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dawson_daniel_epa_gov/Documents/Profile/Documents/OPPT/WaterContaminationModel/"/>
    </mc:Choice>
  </mc:AlternateContent>
  <xr:revisionPtr revIDLastSave="30" documentId="8_{AC30A2D9-4EFD-443B-B33E-FD1E1B5D7CA6}" xr6:coauthVersionLast="47" xr6:coauthVersionMax="47" xr10:uidLastSave="{864F7BF0-CDEA-41BF-8CBD-3E4258BC41F2}"/>
  <bookViews>
    <workbookView xWindow="-108" yWindow="-108" windowWidth="23256" windowHeight="12576" firstSheet="1" activeTab="2" xr2:uid="{862510BB-631A-4E3F-83D4-6A28F410F233}"/>
  </bookViews>
  <sheets>
    <sheet name="README" sheetId="7" r:id="rId1"/>
    <sheet name="Schematic" sheetId="5" r:id="rId2"/>
    <sheet name="To_POTW" sheetId="2" r:id="rId3"/>
    <sheet name="Direct_Release" sheetId="3" r:id="rId4"/>
    <sheet name="Flows" sheetId="8" r:id="rId5"/>
    <sheet name="DownStreamPWS" sheetId="4" r:id="rId6"/>
    <sheet name="Parameters" sheetId="1" r:id="rId7"/>
    <sheet name="Calculations_and_Results" sheetId="6"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 l="1"/>
  <c r="F5" i="2"/>
  <c r="F6" i="2"/>
  <c r="F7" i="2"/>
  <c r="F3" i="2"/>
  <c r="B5" i="4" l="1"/>
  <c r="C89" i="3"/>
  <c r="D48" i="1" s="1"/>
  <c r="E74" i="6" s="1"/>
  <c r="D49" i="1"/>
  <c r="E96" i="6" s="1"/>
  <c r="D258" i="1"/>
  <c r="D257" i="1"/>
  <c r="D256" i="1"/>
  <c r="D255" i="1"/>
  <c r="D254" i="1"/>
  <c r="D253" i="1"/>
  <c r="C108" i="3"/>
  <c r="D259" i="1" s="1"/>
  <c r="C107" i="3"/>
  <c r="C106" i="3"/>
  <c r="C105" i="3"/>
  <c r="C104" i="3"/>
  <c r="C103" i="3"/>
  <c r="C102" i="3"/>
  <c r="C101" i="3"/>
  <c r="D252" i="1" s="1"/>
  <c r="C100" i="3"/>
  <c r="D251" i="1" s="1"/>
  <c r="C99" i="3"/>
  <c r="C79" i="3"/>
  <c r="D47" i="1" s="1"/>
  <c r="E52" i="6" s="1"/>
  <c r="C64" i="3"/>
  <c r="D236" i="1"/>
  <c r="D242" i="1"/>
  <c r="D241" i="1"/>
  <c r="D240" i="1"/>
  <c r="D238" i="1"/>
  <c r="D237" i="1"/>
  <c r="D225" i="1"/>
  <c r="D224" i="1"/>
  <c r="D223" i="1"/>
  <c r="D222" i="1"/>
  <c r="D221" i="1"/>
  <c r="D220" i="1"/>
  <c r="D219" i="1"/>
  <c r="D210" i="1"/>
  <c r="D209" i="1"/>
  <c r="D208" i="1"/>
  <c r="D207" i="1"/>
  <c r="D206" i="1"/>
  <c r="D205" i="1"/>
  <c r="D204" i="1"/>
  <c r="D195" i="1"/>
  <c r="D194" i="1"/>
  <c r="D193" i="1"/>
  <c r="D192" i="1"/>
  <c r="D191" i="1"/>
  <c r="D190" i="1"/>
  <c r="D189" i="1"/>
  <c r="D203" i="1"/>
  <c r="D180" i="1"/>
  <c r="D179" i="1"/>
  <c r="D178" i="1"/>
  <c r="D177" i="1"/>
  <c r="D176" i="1"/>
  <c r="D175" i="1"/>
  <c r="D174" i="1"/>
  <c r="D159" i="1"/>
  <c r="D160" i="1"/>
  <c r="D161" i="1"/>
  <c r="D162" i="1"/>
  <c r="D163" i="1"/>
  <c r="D164" i="1"/>
  <c r="D165" i="1"/>
  <c r="C52" i="3"/>
  <c r="C51" i="3"/>
  <c r="C57" i="3"/>
  <c r="C56" i="3"/>
  <c r="C55" i="3"/>
  <c r="C54" i="3"/>
  <c r="D239" i="1" s="1"/>
  <c r="C53" i="3"/>
  <c r="C58" i="3"/>
  <c r="C50" i="3"/>
  <c r="C34" i="3"/>
  <c r="C18" i="3"/>
  <c r="C135" i="2"/>
  <c r="D41" i="1" s="1"/>
  <c r="E81" i="6" s="1"/>
  <c r="C119" i="2"/>
  <c r="C103" i="2"/>
  <c r="C71" i="2"/>
  <c r="C109" i="3" l="1"/>
  <c r="B36" i="2"/>
  <c r="B43" i="2" l="1"/>
  <c r="D70" i="1" s="1"/>
  <c r="E105" i="6" l="1"/>
  <c r="E104" i="6"/>
  <c r="E103" i="6"/>
  <c r="E102" i="6"/>
  <c r="E101" i="6"/>
  <c r="E100" i="6"/>
  <c r="D233" i="1"/>
  <c r="D232" i="1"/>
  <c r="D231" i="1"/>
  <c r="D230" i="1"/>
  <c r="D229" i="1"/>
  <c r="D228" i="1"/>
  <c r="D227" i="1"/>
  <c r="D226" i="1"/>
  <c r="D218" i="1"/>
  <c r="D217" i="1"/>
  <c r="D216" i="1"/>
  <c r="D215" i="1"/>
  <c r="D214" i="1"/>
  <c r="D213" i="1"/>
  <c r="D212" i="1"/>
  <c r="D211" i="1"/>
  <c r="B40" i="2"/>
  <c r="J40" i="2"/>
  <c r="H40" i="2"/>
  <c r="F40" i="2"/>
  <c r="D40" i="2"/>
  <c r="D60" i="1"/>
  <c r="E85" i="6" s="1"/>
  <c r="D59" i="1"/>
  <c r="E63" i="6" s="1"/>
  <c r="D54" i="1"/>
  <c r="D43" i="1"/>
  <c r="D36" i="1"/>
  <c r="D42" i="1"/>
  <c r="D35" i="1"/>
  <c r="D39" i="1"/>
  <c r="D32" i="1"/>
  <c r="D38" i="1"/>
  <c r="D31" i="1"/>
  <c r="D37" i="1"/>
  <c r="D30" i="1"/>
  <c r="J42" i="2"/>
  <c r="D141" i="1" s="1"/>
  <c r="J50" i="2"/>
  <c r="D149" i="1" s="1"/>
  <c r="J49" i="2"/>
  <c r="D148" i="1" s="1"/>
  <c r="J48" i="2"/>
  <c r="D147" i="1" s="1"/>
  <c r="J47" i="2"/>
  <c r="D146" i="1" s="1"/>
  <c r="J46" i="2"/>
  <c r="D145" i="1" s="1"/>
  <c r="J45" i="2"/>
  <c r="D144" i="1" s="1"/>
  <c r="J44" i="2"/>
  <c r="D143" i="1" s="1"/>
  <c r="J43" i="2"/>
  <c r="D142" i="1" s="1"/>
  <c r="H50" i="2"/>
  <c r="D131" i="1" s="1"/>
  <c r="H49" i="2"/>
  <c r="D130" i="1" s="1"/>
  <c r="H47" i="2"/>
  <c r="D128" i="1" s="1"/>
  <c r="H48" i="2"/>
  <c r="D129" i="1" s="1"/>
  <c r="H46" i="2"/>
  <c r="D127" i="1" s="1"/>
  <c r="H45" i="2"/>
  <c r="D126" i="1" s="1"/>
  <c r="H44" i="2"/>
  <c r="D125" i="1" s="1"/>
  <c r="H43" i="2"/>
  <c r="D124" i="1" s="1"/>
  <c r="H42" i="2"/>
  <c r="D123" i="1" s="1"/>
  <c r="B42" i="2"/>
  <c r="D69" i="1" s="1"/>
  <c r="I21" i="2"/>
  <c r="I20" i="2"/>
  <c r="K50" i="2" s="1"/>
  <c r="D158" i="1" s="1"/>
  <c r="I19" i="2"/>
  <c r="K49" i="2" s="1"/>
  <c r="D157" i="1" s="1"/>
  <c r="I18" i="2"/>
  <c r="K48" i="2" s="1"/>
  <c r="D156" i="1" s="1"/>
  <c r="I17" i="2"/>
  <c r="K47" i="2" s="1"/>
  <c r="D155" i="1" s="1"/>
  <c r="I16" i="2"/>
  <c r="K46" i="2" s="1"/>
  <c r="D154" i="1" s="1"/>
  <c r="I15" i="2"/>
  <c r="K45" i="2" s="1"/>
  <c r="D153" i="1" s="1"/>
  <c r="I14" i="2"/>
  <c r="K44" i="2" s="1"/>
  <c r="D152" i="1" s="1"/>
  <c r="I13" i="2"/>
  <c r="K43" i="2" s="1"/>
  <c r="D151" i="1" s="1"/>
  <c r="I12" i="2"/>
  <c r="K42" i="2" s="1"/>
  <c r="D150" i="1" s="1"/>
  <c r="H21" i="2"/>
  <c r="H20" i="2"/>
  <c r="I50" i="2" s="1"/>
  <c r="D140" i="1" s="1"/>
  <c r="H19" i="2"/>
  <c r="I49" i="2" s="1"/>
  <c r="D139" i="1" s="1"/>
  <c r="H18" i="2"/>
  <c r="I48" i="2" s="1"/>
  <c r="D138" i="1" s="1"/>
  <c r="H17" i="2"/>
  <c r="I47" i="2" s="1"/>
  <c r="D137" i="1" s="1"/>
  <c r="H16" i="2"/>
  <c r="I46" i="2" s="1"/>
  <c r="D136" i="1" s="1"/>
  <c r="H15" i="2"/>
  <c r="I45" i="2" s="1"/>
  <c r="D135" i="1" s="1"/>
  <c r="H14" i="2"/>
  <c r="I44" i="2" s="1"/>
  <c r="D134" i="1" s="1"/>
  <c r="H13" i="2"/>
  <c r="I43" i="2" s="1"/>
  <c r="D133" i="1" s="1"/>
  <c r="H12" i="2"/>
  <c r="I42" i="2" s="1"/>
  <c r="D132" i="1" s="1"/>
  <c r="G21" i="2"/>
  <c r="G20" i="2"/>
  <c r="G19" i="2"/>
  <c r="G18" i="2"/>
  <c r="G17" i="2"/>
  <c r="G16" i="2"/>
  <c r="G15" i="2"/>
  <c r="G14" i="2"/>
  <c r="G13" i="2"/>
  <c r="G12" i="2"/>
  <c r="F19" i="2"/>
  <c r="F21" i="2"/>
  <c r="F20" i="2"/>
  <c r="F18" i="2"/>
  <c r="F17" i="2"/>
  <c r="F16" i="2"/>
  <c r="F15" i="2"/>
  <c r="F14" i="2"/>
  <c r="F13" i="2"/>
  <c r="F12" i="2"/>
  <c r="E42" i="2" s="1"/>
  <c r="D96" i="1" s="1"/>
  <c r="E21" i="2"/>
  <c r="E12" i="2"/>
  <c r="C42" i="2" s="1"/>
  <c r="D78" i="1" s="1"/>
  <c r="E20" i="2"/>
  <c r="E19" i="2"/>
  <c r="E18" i="2"/>
  <c r="E17" i="2"/>
  <c r="E16" i="2"/>
  <c r="E15" i="2"/>
  <c r="E14" i="2"/>
  <c r="E13" i="2"/>
  <c r="D34" i="1"/>
  <c r="E59" i="6" s="1"/>
  <c r="D23" i="1"/>
  <c r="D16" i="1"/>
  <c r="D9" i="1"/>
  <c r="E82" i="6" l="1"/>
  <c r="E77" i="6"/>
  <c r="E60" i="6"/>
  <c r="J51" i="2"/>
  <c r="K51" i="2"/>
  <c r="H22" i="2"/>
  <c r="D33" i="1" s="1"/>
  <c r="E58" i="6" s="1"/>
  <c r="I51" i="2"/>
  <c r="I22" i="2"/>
  <c r="D40" i="1" s="1"/>
  <c r="E80" i="6" s="1"/>
  <c r="H51" i="2"/>
  <c r="D52" i="1"/>
  <c r="E94" i="6" s="1"/>
  <c r="D51" i="1"/>
  <c r="E72" i="6" s="1"/>
  <c r="D50" i="1"/>
  <c r="D202" i="1" l="1"/>
  <c r="D201" i="1"/>
  <c r="D200" i="1"/>
  <c r="D199" i="1"/>
  <c r="D198" i="1"/>
  <c r="D197" i="1"/>
  <c r="D196" i="1"/>
  <c r="D188" i="1"/>
  <c r="D187" i="1"/>
  <c r="D186" i="1"/>
  <c r="D185" i="1"/>
  <c r="D183" i="1"/>
  <c r="D182" i="1"/>
  <c r="D181" i="1"/>
  <c r="D173" i="1"/>
  <c r="D172" i="1"/>
  <c r="D171" i="1"/>
  <c r="D170" i="1"/>
  <c r="D169" i="1"/>
  <c r="D168" i="1"/>
  <c r="D167" i="1"/>
  <c r="D166" i="1"/>
  <c r="C82" i="2" l="1"/>
  <c r="C87" i="2" s="1"/>
  <c r="D58" i="1"/>
  <c r="E41" i="6" s="1"/>
  <c r="D57" i="1"/>
  <c r="E25" i="6" s="1"/>
  <c r="D56" i="1"/>
  <c r="D29" i="1"/>
  <c r="D28" i="1"/>
  <c r="D21" i="1"/>
  <c r="D25" i="1"/>
  <c r="D24" i="1"/>
  <c r="F43" i="2"/>
  <c r="D106" i="1" s="1"/>
  <c r="G50" i="2"/>
  <c r="D122" i="1" s="1"/>
  <c r="F50" i="2"/>
  <c r="D113" i="1" s="1"/>
  <c r="F49" i="2"/>
  <c r="D112" i="1" s="1"/>
  <c r="F48" i="2"/>
  <c r="D111" i="1" s="1"/>
  <c r="F47" i="2"/>
  <c r="D110" i="1" s="1"/>
  <c r="F46" i="2"/>
  <c r="D109" i="1" s="1"/>
  <c r="F45" i="2"/>
  <c r="D108" i="1" s="1"/>
  <c r="F44" i="2"/>
  <c r="D107" i="1" s="1"/>
  <c r="F42" i="2"/>
  <c r="D105" i="1" s="1"/>
  <c r="D42" i="2"/>
  <c r="D87" i="1" s="1"/>
  <c r="G42" i="2"/>
  <c r="D114" i="1" s="1"/>
  <c r="B46" i="2"/>
  <c r="D73" i="1" s="1"/>
  <c r="B44" i="2"/>
  <c r="D71" i="1" s="1"/>
  <c r="B45" i="2"/>
  <c r="D72" i="1" s="1"/>
  <c r="D184" i="1" l="1"/>
  <c r="E237" i="6" s="1"/>
  <c r="E38" i="6"/>
  <c r="G46" i="2"/>
  <c r="D118" i="1" s="1"/>
  <c r="G47" i="2"/>
  <c r="D119" i="1" s="1"/>
  <c r="G45" i="2"/>
  <c r="D117" i="1" s="1"/>
  <c r="G44" i="2"/>
  <c r="D116" i="1" s="1"/>
  <c r="D27" i="1"/>
  <c r="E37" i="6" s="1"/>
  <c r="G49" i="2"/>
  <c r="D121" i="1" s="1"/>
  <c r="G43" i="2"/>
  <c r="D115" i="1" s="1"/>
  <c r="G48" i="2"/>
  <c r="D120" i="1" s="1"/>
  <c r="E9" i="6"/>
  <c r="G22" i="2"/>
  <c r="D26" i="1" s="1"/>
  <c r="E36" i="6" s="1"/>
  <c r="F51" i="2"/>
  <c r="D8" i="1"/>
  <c r="E57" i="6" s="1"/>
  <c r="D55" i="1"/>
  <c r="E99" i="6" s="1"/>
  <c r="D53" i="1"/>
  <c r="E55" i="6" s="1"/>
  <c r="C5" i="4"/>
  <c r="D243" i="1"/>
  <c r="C61" i="3"/>
  <c r="D246" i="1" s="1"/>
  <c r="E236" i="6" s="1"/>
  <c r="C63" i="3"/>
  <c r="D248" i="1" s="1"/>
  <c r="D249" i="1"/>
  <c r="C65" i="3"/>
  <c r="D250" i="1" s="1"/>
  <c r="C62" i="3"/>
  <c r="D247" i="1" s="1"/>
  <c r="C60" i="3"/>
  <c r="D245" i="1" s="1"/>
  <c r="D64" i="1"/>
  <c r="D63" i="1"/>
  <c r="D62" i="1"/>
  <c r="D61" i="1"/>
  <c r="D17" i="1"/>
  <c r="D22" i="1"/>
  <c r="D15" i="1"/>
  <c r="D14" i="1"/>
  <c r="D10" i="1"/>
  <c r="E50" i="6" s="1"/>
  <c r="E238" i="6" l="1"/>
  <c r="F238" i="6" s="1"/>
  <c r="E109" i="6"/>
  <c r="E61" i="6"/>
  <c r="E62" i="6" s="1"/>
  <c r="E79" i="6"/>
  <c r="E83" i="6" s="1"/>
  <c r="E35" i="6"/>
  <c r="E22" i="6"/>
  <c r="E6" i="6"/>
  <c r="G51" i="2"/>
  <c r="D20" i="1"/>
  <c r="E21" i="6" s="1"/>
  <c r="D13" i="1"/>
  <c r="E5" i="6" s="1"/>
  <c r="C59" i="3"/>
  <c r="D46" i="1"/>
  <c r="E95" i="6" s="1"/>
  <c r="D45" i="1"/>
  <c r="E73" i="6" s="1"/>
  <c r="D44" i="1"/>
  <c r="E51" i="6" s="1"/>
  <c r="D18" i="1"/>
  <c r="E19" i="6" s="1"/>
  <c r="D11" i="1"/>
  <c r="E3" i="6" s="1"/>
  <c r="D244" i="1" l="1"/>
  <c r="C66" i="3"/>
  <c r="E89" i="6"/>
  <c r="E92" i="6"/>
  <c r="E67" i="6"/>
  <c r="E64" i="6"/>
  <c r="E65" i="6" s="1"/>
  <c r="E39" i="6"/>
  <c r="E69" i="6"/>
  <c r="E70" i="6"/>
  <c r="E68" i="6"/>
  <c r="E84" i="6"/>
  <c r="E239" i="6" l="1"/>
  <c r="E75" i="6"/>
  <c r="E76" i="6" s="1"/>
  <c r="E42" i="6"/>
  <c r="E43" i="6" s="1"/>
  <c r="E40" i="6"/>
  <c r="E86" i="6"/>
  <c r="E97" i="6" s="1"/>
  <c r="E98" i="6" s="1"/>
  <c r="E48" i="6"/>
  <c r="E45" i="6"/>
  <c r="E46" i="6"/>
  <c r="E47" i="6"/>
  <c r="E71" i="6"/>
  <c r="F71" i="6" s="1"/>
  <c r="E91" i="6"/>
  <c r="E90" i="6"/>
  <c r="E240" i="6"/>
  <c r="D45" i="2"/>
  <c r="D90" i="1" s="1"/>
  <c r="D46" i="2"/>
  <c r="D91" i="1" s="1"/>
  <c r="B47" i="2"/>
  <c r="D74" i="1" s="1"/>
  <c r="D47" i="2"/>
  <c r="D92" i="1" s="1"/>
  <c r="D43" i="2"/>
  <c r="D88" i="1" s="1"/>
  <c r="B48" i="2"/>
  <c r="D75" i="1" s="1"/>
  <c r="D48" i="2"/>
  <c r="D93" i="1" s="1"/>
  <c r="D44" i="2"/>
  <c r="D89" i="1" s="1"/>
  <c r="B49" i="2"/>
  <c r="D76" i="1" s="1"/>
  <c r="D49" i="2"/>
  <c r="D94" i="1" s="1"/>
  <c r="B50" i="2"/>
  <c r="D77" i="1" s="1"/>
  <c r="D50" i="2"/>
  <c r="D95" i="1" s="1"/>
  <c r="E241" i="6" l="1"/>
  <c r="F241" i="6" s="1"/>
  <c r="E87" i="6"/>
  <c r="E93" i="6"/>
  <c r="D51" i="2"/>
  <c r="B51" i="2"/>
  <c r="E50" i="2"/>
  <c r="D104" i="1" s="1"/>
  <c r="E44" i="2"/>
  <c r="D98" i="1" s="1"/>
  <c r="E43" i="2"/>
  <c r="D97" i="1" s="1"/>
  <c r="E48" i="2"/>
  <c r="D102" i="1" s="1"/>
  <c r="E49" i="2"/>
  <c r="D103" i="1" s="1"/>
  <c r="E45" i="2"/>
  <c r="D99" i="1" s="1"/>
  <c r="E46" i="2"/>
  <c r="D100" i="1" s="1"/>
  <c r="C48" i="2"/>
  <c r="D84" i="1" s="1"/>
  <c r="C46" i="2"/>
  <c r="D82" i="1" s="1"/>
  <c r="C44" i="2"/>
  <c r="D80" i="1" s="1"/>
  <c r="C50" i="2"/>
  <c r="D86" i="1" s="1"/>
  <c r="C43" i="2"/>
  <c r="D79" i="1" s="1"/>
  <c r="C49" i="2"/>
  <c r="D85" i="1" s="1"/>
  <c r="C45" i="2"/>
  <c r="D81" i="1" s="1"/>
  <c r="E47" i="2" l="1"/>
  <c r="D101" i="1" s="1"/>
  <c r="C47" i="2"/>
  <c r="D83" i="1" s="1"/>
  <c r="E22" i="2"/>
  <c r="D12" i="1" s="1"/>
  <c r="E4" i="6" s="1"/>
  <c r="F22" i="2"/>
  <c r="D19" i="1" s="1"/>
  <c r="F93" i="6" l="1"/>
  <c r="C51" i="2"/>
  <c r="E7" i="6"/>
  <c r="E20" i="6"/>
  <c r="E23" i="6" s="1"/>
  <c r="E51" i="2"/>
  <c r="E24" i="6" l="1"/>
  <c r="E26" i="6"/>
  <c r="E27" i="6" s="1"/>
  <c r="E10" i="6"/>
  <c r="E8" i="6"/>
  <c r="E15" i="6"/>
  <c r="E16" i="6"/>
  <c r="E13" i="6"/>
  <c r="E14" i="6"/>
  <c r="E49" i="6"/>
  <c r="F49" i="6" s="1"/>
  <c r="E11" i="6" l="1"/>
  <c r="E53" i="6"/>
  <c r="E54" i="6" s="1"/>
  <c r="E32" i="6"/>
  <c r="E31" i="6"/>
  <c r="E29" i="6"/>
  <c r="E30" i="6"/>
  <c r="E17" i="6"/>
  <c r="F17" i="6" s="1"/>
  <c r="E108" i="6" l="1"/>
  <c r="E33" i="6"/>
  <c r="F33" i="6" s="1"/>
  <c r="E166" i="6" l="1"/>
  <c r="E110" i="6"/>
  <c r="E167" i="6"/>
  <c r="E169" i="6"/>
  <c r="E174" i="6"/>
  <c r="E113" i="6"/>
  <c r="E173" i="6"/>
  <c r="E172" i="6"/>
  <c r="E171" i="6"/>
  <c r="E170" i="6"/>
  <c r="E168" i="6"/>
  <c r="E156" i="6"/>
  <c r="E163" i="6"/>
  <c r="E162" i="6"/>
  <c r="E160" i="6"/>
  <c r="E164" i="6"/>
  <c r="E161" i="6"/>
  <c r="E159" i="6"/>
  <c r="E158" i="6"/>
  <c r="E157" i="6"/>
  <c r="E176" i="6"/>
  <c r="E112" i="6"/>
  <c r="E261" i="6"/>
  <c r="E259" i="6"/>
  <c r="E274" i="6"/>
  <c r="E275" i="6"/>
  <c r="E276" i="6"/>
  <c r="E277" i="6"/>
  <c r="E279" i="6"/>
  <c r="E280" i="6"/>
  <c r="E249" i="6"/>
  <c r="E258" i="6"/>
  <c r="E264" i="6"/>
  <c r="E263" i="6"/>
  <c r="E262" i="6"/>
  <c r="E260" i="6"/>
  <c r="E278" i="6"/>
  <c r="E243" i="6"/>
  <c r="E244" i="6"/>
  <c r="E245" i="6"/>
  <c r="E246" i="6"/>
  <c r="E247" i="6"/>
  <c r="E248" i="6"/>
  <c r="E242" i="6"/>
  <c r="E144" i="6"/>
  <c r="E143" i="6"/>
  <c r="E142" i="6"/>
  <c r="E141" i="6"/>
  <c r="E118" i="6"/>
  <c r="E140" i="6"/>
  <c r="E139" i="6"/>
  <c r="E138" i="6"/>
  <c r="E137" i="6"/>
  <c r="E136" i="6"/>
  <c r="E117" i="6"/>
  <c r="E115" i="6"/>
  <c r="E268" i="6"/>
  <c r="E267" i="6"/>
  <c r="E266" i="6"/>
  <c r="E288" i="6"/>
  <c r="E287" i="6"/>
  <c r="E265" i="6"/>
  <c r="E286" i="6"/>
  <c r="E285" i="6"/>
  <c r="E284" i="6"/>
  <c r="E283" i="6"/>
  <c r="E256" i="6"/>
  <c r="E282" i="6"/>
  <c r="E255" i="6"/>
  <c r="E270" i="6"/>
  <c r="E281" i="6"/>
  <c r="E254" i="6"/>
  <c r="E252" i="6"/>
  <c r="E253" i="6"/>
  <c r="E272" i="6"/>
  <c r="E251" i="6"/>
  <c r="E271" i="6"/>
  <c r="E250" i="6"/>
  <c r="E269" i="6"/>
  <c r="E114" i="6"/>
  <c r="E119" i="6"/>
  <c r="E149" i="6"/>
  <c r="E180" i="6"/>
  <c r="E184" i="6"/>
  <c r="E179" i="6"/>
  <c r="E182" i="6"/>
  <c r="E177" i="6"/>
  <c r="E153" i="6"/>
  <c r="E150" i="6"/>
  <c r="E146" i="6"/>
  <c r="E178" i="6"/>
  <c r="E151" i="6"/>
  <c r="E154" i="6"/>
  <c r="E147" i="6"/>
  <c r="E152" i="6"/>
  <c r="E183" i="6"/>
  <c r="E148" i="6"/>
  <c r="E181" i="6"/>
  <c r="E120" i="6"/>
  <c r="E175" i="6" l="1"/>
  <c r="F175" i="6" s="1"/>
  <c r="E257" i="6"/>
  <c r="F257" i="6" s="1"/>
  <c r="E289" i="6"/>
  <c r="F289" i="6" s="1"/>
  <c r="E273" i="6"/>
  <c r="F273" i="6" s="1"/>
  <c r="E165" i="6"/>
  <c r="F165" i="6" s="1"/>
  <c r="E116" i="6"/>
  <c r="F116" i="6" s="1"/>
  <c r="E145" i="6"/>
  <c r="F145" i="6" s="1"/>
  <c r="E121" i="6"/>
  <c r="F121" i="6" s="1"/>
  <c r="E185" i="6"/>
  <c r="E155" i="6"/>
  <c r="F155" i="6" s="1"/>
  <c r="E111" i="6"/>
  <c r="E212" i="6" l="1"/>
  <c r="E221" i="6"/>
  <c r="E220" i="6"/>
  <c r="E210" i="6"/>
  <c r="E209" i="6"/>
  <c r="E211" i="6"/>
  <c r="E213" i="6"/>
  <c r="E222" i="6"/>
  <c r="E208" i="6"/>
  <c r="E207" i="6"/>
  <c r="E214" i="6"/>
  <c r="E206" i="6"/>
  <c r="E219" i="6"/>
  <c r="E218" i="6"/>
  <c r="E217" i="6"/>
  <c r="E216" i="6"/>
  <c r="E224" i="6"/>
  <c r="E223" i="6"/>
  <c r="E226" i="6"/>
  <c r="E127" i="6"/>
  <c r="E128" i="6"/>
  <c r="E325" i="6"/>
  <c r="E291" i="6"/>
  <c r="E324" i="6"/>
  <c r="E290" i="6"/>
  <c r="E323" i="6"/>
  <c r="E322" i="6"/>
  <c r="E312" i="6"/>
  <c r="E311" i="6"/>
  <c r="E309" i="6"/>
  <c r="E308" i="6"/>
  <c r="E294" i="6"/>
  <c r="E327" i="6"/>
  <c r="E292" i="6"/>
  <c r="E307" i="6"/>
  <c r="E306" i="6"/>
  <c r="E296" i="6"/>
  <c r="E295" i="6"/>
  <c r="E328" i="6"/>
  <c r="E293" i="6"/>
  <c r="E310" i="6"/>
  <c r="E326" i="6"/>
  <c r="E186" i="6"/>
  <c r="E131" i="6"/>
  <c r="E132" i="6"/>
  <c r="F185" i="6"/>
  <c r="E302" i="6"/>
  <c r="E329" i="6"/>
  <c r="E297" i="6"/>
  <c r="E320" i="6"/>
  <c r="E319" i="6"/>
  <c r="E318" i="6"/>
  <c r="E313" i="6"/>
  <c r="E304" i="6"/>
  <c r="E303" i="6"/>
  <c r="E332" i="6"/>
  <c r="E330" i="6"/>
  <c r="E298" i="6"/>
  <c r="E317" i="6"/>
  <c r="E316" i="6"/>
  <c r="E335" i="6"/>
  <c r="E333" i="6"/>
  <c r="E331" i="6"/>
  <c r="E299" i="6"/>
  <c r="E315" i="6"/>
  <c r="E314" i="6"/>
  <c r="E336" i="6"/>
  <c r="E334" i="6"/>
  <c r="E301" i="6"/>
  <c r="E300" i="6"/>
  <c r="E122" i="6"/>
  <c r="E228" i="6"/>
  <c r="E203" i="6"/>
  <c r="E194" i="6"/>
  <c r="E192" i="6"/>
  <c r="E187" i="6"/>
  <c r="E234" i="6"/>
  <c r="E227" i="6"/>
  <c r="E202" i="6"/>
  <c r="E232" i="6"/>
  <c r="E191" i="6"/>
  <c r="E201" i="6"/>
  <c r="E231" i="6"/>
  <c r="E190" i="6"/>
  <c r="E200" i="6"/>
  <c r="E230" i="6"/>
  <c r="E189" i="6"/>
  <c r="E229" i="6"/>
  <c r="E204" i="6"/>
  <c r="E197" i="6"/>
  <c r="E193" i="6"/>
  <c r="E188" i="6"/>
  <c r="E199" i="6"/>
  <c r="E198" i="6"/>
  <c r="E233" i="6"/>
  <c r="E196" i="6"/>
  <c r="E129" i="6"/>
  <c r="E126" i="6"/>
  <c r="E133" i="6"/>
  <c r="E134" i="6"/>
  <c r="E124" i="6"/>
  <c r="E123" i="6"/>
  <c r="E215" i="6" l="1"/>
  <c r="F215" i="6" s="1"/>
  <c r="E225" i="6"/>
  <c r="F225" i="6" s="1"/>
  <c r="E305" i="6"/>
  <c r="F305" i="6" s="1"/>
  <c r="E337" i="6"/>
  <c r="F337" i="6" s="1"/>
  <c r="E321" i="6"/>
  <c r="F321" i="6" s="1"/>
  <c r="E205" i="6"/>
  <c r="F205" i="6" s="1"/>
  <c r="E235" i="6"/>
  <c r="F235" i="6" s="1"/>
  <c r="E195" i="6"/>
  <c r="F195" i="6" s="1"/>
  <c r="E130" i="6"/>
  <c r="F130" i="6" s="1"/>
  <c r="E135" i="6"/>
  <c r="F135" i="6" s="1"/>
  <c r="E125" i="6"/>
  <c r="F125" i="6" s="1"/>
</calcChain>
</file>

<file path=xl/sharedStrings.xml><?xml version="1.0" encoding="utf-8"?>
<sst xmlns="http://schemas.openxmlformats.org/spreadsheetml/2006/main" count="2676" uniqueCount="327">
  <si>
    <t xml:space="preserve">Water Source Contamination Model </t>
  </si>
  <si>
    <t xml:space="preserve">Use instructions: to calculate concentrations and proportions of concentrations, enter parameter values into the parameter table "Values" column. Then, see output table for all calculated outputs, output names and explanations, and units. Note, proportion sections are colored yellow, and include sanity checks to make sure proportions sum to 1, or in the case of subsets, sum to the subset </t>
  </si>
  <si>
    <t>Description</t>
  </si>
  <si>
    <t>Parameter name</t>
  </si>
  <si>
    <t>Values</t>
  </si>
  <si>
    <t>Units</t>
  </si>
  <si>
    <t>Data source</t>
  </si>
  <si>
    <t>NA</t>
  </si>
  <si>
    <t>Per capita DTD contribution from consumer product use</t>
  </si>
  <si>
    <t>DTD_Consumer</t>
  </si>
  <si>
    <t>g/day</t>
  </si>
  <si>
    <t>Worksheet: To_POTW</t>
  </si>
  <si>
    <t>DW Concentration</t>
  </si>
  <si>
    <t>ug/l</t>
  </si>
  <si>
    <t>Upstream population of non-commercial consumers</t>
  </si>
  <si>
    <t>Popcons</t>
  </si>
  <si>
    <t>people</t>
  </si>
  <si>
    <t>Total DTD from commercial users</t>
  </si>
  <si>
    <t>kg/day</t>
  </si>
  <si>
    <r>
      <t>DWconc</t>
    </r>
    <r>
      <rPr>
        <vertAlign val="subscript"/>
        <sz val="11"/>
        <color theme="1"/>
        <rFont val="Calibri"/>
        <family val="2"/>
        <scheme val="minor"/>
      </rPr>
      <t>upstream</t>
    </r>
  </si>
  <si>
    <r>
      <t>DTDpc</t>
    </r>
    <r>
      <rPr>
        <vertAlign val="subscript"/>
        <sz val="11"/>
        <color theme="1"/>
        <rFont val="Calibri"/>
        <family val="2"/>
        <scheme val="minor"/>
      </rPr>
      <t>com</t>
    </r>
  </si>
  <si>
    <t>Industrial Release</t>
  </si>
  <si>
    <t>Worksheet: Direct_Release</t>
  </si>
  <si>
    <t>Cubic Feet per second</t>
  </si>
  <si>
    <t>Proportion reduction</t>
  </si>
  <si>
    <t>Proportion of downstream DW source derived from SW</t>
  </si>
  <si>
    <r>
      <t>PropDW</t>
    </r>
    <r>
      <rPr>
        <vertAlign val="subscript"/>
        <sz val="11"/>
        <color theme="1"/>
        <rFont val="Calibri"/>
        <family val="2"/>
        <scheme val="minor"/>
      </rPr>
      <t>SW</t>
    </r>
  </si>
  <si>
    <t>Proportion</t>
  </si>
  <si>
    <t>Worksheet: DownStreamPWS</t>
  </si>
  <si>
    <t>Proportion of downstream DW source derived from groundwater</t>
  </si>
  <si>
    <r>
      <t>PropDW</t>
    </r>
    <r>
      <rPr>
        <vertAlign val="subscript"/>
        <sz val="11"/>
        <color theme="1"/>
        <rFont val="Calibri"/>
        <family val="2"/>
        <scheme val="minor"/>
      </rPr>
      <t>GW</t>
    </r>
  </si>
  <si>
    <t>Proportion of downstream DW source derived from re-used wastewater</t>
  </si>
  <si>
    <r>
      <t>PropDW</t>
    </r>
    <r>
      <rPr>
        <vertAlign val="subscript"/>
        <sz val="11"/>
        <color theme="1"/>
        <rFont val="Calibri"/>
        <family val="2"/>
        <scheme val="minor"/>
      </rPr>
      <t>WW</t>
    </r>
  </si>
  <si>
    <t>Concentration of groundwater source</t>
  </si>
  <si>
    <t>GWconc</t>
  </si>
  <si>
    <t>Constants</t>
  </si>
  <si>
    <t>Convert kg to ug</t>
  </si>
  <si>
    <t>Covert flow rate per second to liters/day</t>
  </si>
  <si>
    <t>POTW INFO</t>
  </si>
  <si>
    <t>POTW NAME</t>
  </si>
  <si>
    <t>DW Concentration (ug/l)</t>
  </si>
  <si>
    <t>Total Population</t>
  </si>
  <si>
    <t>Municipal Flow Rate_influent</t>
  </si>
  <si>
    <t>Municipal Flow Rate_effluent</t>
  </si>
  <si>
    <t>Proportion of treatment Reduction</t>
  </si>
  <si>
    <t xml:space="preserve">Commercial </t>
  </si>
  <si>
    <t>Product categories and proportion of populations</t>
  </si>
  <si>
    <t xml:space="preserve">Chemical Information </t>
  </si>
  <si>
    <t>Product</t>
  </si>
  <si>
    <t>Occupation</t>
  </si>
  <si>
    <t>Antifreeze</t>
  </si>
  <si>
    <t>Automotive service technicians and mechanics</t>
  </si>
  <si>
    <t>Dish Soap</t>
  </si>
  <si>
    <t>Dishwashers</t>
  </si>
  <si>
    <t>Dishwasher Detergent</t>
  </si>
  <si>
    <t>Spray Polyurethane</t>
  </si>
  <si>
    <t>Insulation workers</t>
  </si>
  <si>
    <t>Surface Cleaner</t>
  </si>
  <si>
    <t>Janitors and building cleaners</t>
  </si>
  <si>
    <t>Laundry Detergent</t>
  </si>
  <si>
    <t>Laundry and dry-cleaning workers</t>
  </si>
  <si>
    <t>Maids and housekeeping cleaners</t>
  </si>
  <si>
    <t>Textile Dye</t>
  </si>
  <si>
    <t>Textile machine setters, operators, and tenders</t>
  </si>
  <si>
    <t>Floor Lacquer</t>
  </si>
  <si>
    <t>Carpet, floor, and tile installers and finishers</t>
  </si>
  <si>
    <t>Latex Wall Paint</t>
  </si>
  <si>
    <t>Painters and paperhangers</t>
  </si>
  <si>
    <t>Total DTD</t>
  </si>
  <si>
    <t>Per Capita DTD (g)</t>
  </si>
  <si>
    <t>Total PCDTD</t>
  </si>
  <si>
    <t>Summation Table</t>
  </si>
  <si>
    <t>Consumer Products</t>
  </si>
  <si>
    <t>Non-Commercial</t>
  </si>
  <si>
    <t>Commercial</t>
  </si>
  <si>
    <t>SUMS</t>
  </si>
  <si>
    <t xml:space="preserve">Industrial </t>
  </si>
  <si>
    <t>POTW</t>
  </si>
  <si>
    <t>COU</t>
  </si>
  <si>
    <t>Total</t>
  </si>
  <si>
    <t>Combined</t>
  </si>
  <si>
    <t>River Segment</t>
  </si>
  <si>
    <t>POTW concentration calculations</t>
  </si>
  <si>
    <t>DTD contribution to POTW from non-commercial consumer product use</t>
  </si>
  <si>
    <t>ug</t>
  </si>
  <si>
    <t>DTD contribution to POTW from commercial use of consumer products</t>
  </si>
  <si>
    <t>DTDcomm</t>
  </si>
  <si>
    <t>DTD contribution to POTW from industrial use</t>
  </si>
  <si>
    <t>DTD contribution from contaminated water</t>
  </si>
  <si>
    <t>Upstream POTW effluent concentration</t>
  </si>
  <si>
    <t>Proportion of concentration attributable to different pathways</t>
  </si>
  <si>
    <t>Proportion of POTW influence due to down the drain product use from consumers</t>
  </si>
  <si>
    <t>Proportion of POTW influence due to down the drain product use from commercial</t>
  </si>
  <si>
    <t>Proportion of POTW influence due to down the drain from industry</t>
  </si>
  <si>
    <t>Proportion of POTW influence due to upstream water concentration</t>
  </si>
  <si>
    <t>Sanity Check</t>
  </si>
  <si>
    <t>Total DTD contribution from non-commercial consumer use</t>
  </si>
  <si>
    <t>Proportion of POTW influence due to down the drain from consumers</t>
  </si>
  <si>
    <t>Proportion of POTW influence due to down the drain from commercial</t>
  </si>
  <si>
    <t>Total mass of chemical in surface water section</t>
  </si>
  <si>
    <t>Total surface water flows per day for section</t>
  </si>
  <si>
    <t>l/day</t>
  </si>
  <si>
    <t>Consumer products</t>
  </si>
  <si>
    <t>Direct Data Entry</t>
  </si>
  <si>
    <t>Cell Key</t>
  </si>
  <si>
    <t>Results cell</t>
  </si>
  <si>
    <t>Sanity Check cell</t>
  </si>
  <si>
    <t>PASS</t>
  </si>
  <si>
    <t>FAIL</t>
  </si>
  <si>
    <t>Sanity check passed</t>
  </si>
  <si>
    <t>Sanity check failed</t>
  </si>
  <si>
    <t xml:space="preserve">Water Pathway Contamination Model </t>
  </si>
  <si>
    <t xml:space="preserve">This is a model to estimate the concentration of surfacewater at the drinking water intakes (DWI) and finished drinking water of water systems located immediately downstream of publically-owned treatment works (POTW) facilities and industrial release sites.  This model acts a framework to incorporate information from various sources, including upstream down the drain and industrial releases, flow information, and municipal drinking water information, into an estimate of downstream water contamination within a bounded section of a watershed. In addition, this model allows for the partitioning of the estimated concentration into its proportional contributors, including both main sources(POTW releases vs industrial releases) and individual conditions of use.                                              </t>
  </si>
  <si>
    <t>General Description</t>
  </si>
  <si>
    <t>Model Composition</t>
  </si>
  <si>
    <t xml:space="preserve">The model is composed of 3 main worksheet sections. These include 1) the schematic(1 worksheet), 2)data and parameter entry and 3)Calculated parameters and results. The schematic describes all of the included components of the model, and includes references to the specific parameters included on the "Parameters" worksheet. The data and parameter entry section consists of 3 worksheets(To_POTW, Direct_Release, DownStreamPWS) in which data/parameters are directly entered by the user. The Calculated parameters and results section has two worksheets(Parameters, Calculations_and_Results) in which all final parameters are shown, calculations are made,  and results are shown. </t>
  </si>
  <si>
    <t>Worksheets</t>
  </si>
  <si>
    <r>
      <rPr>
        <b/>
        <sz val="11"/>
        <color theme="1"/>
        <rFont val="Calibri"/>
        <family val="2"/>
        <scheme val="minor"/>
      </rPr>
      <t xml:space="preserve">To_POTW: </t>
    </r>
    <r>
      <rPr>
        <sz val="11"/>
        <color theme="1"/>
        <rFont val="Calibri"/>
        <family val="2"/>
        <scheme val="minor"/>
      </rPr>
      <t>This worksheet contains space to enter in municipality specificy information, including populations, municipal flow rates, and drinking water concentration. Also included are spaces to enter information for down the drain releases for both commercial and non-commercial use of consumer products, information that may be generated from CEM or SHEDS-HT. Finally, there is a section for indirect industrial releases by COU. In all data entry locations, cells coded white are data entry cells, while cells coded yellow are calculation cells used by other worksheets.</t>
    </r>
  </si>
  <si>
    <r>
      <rPr>
        <b/>
        <sz val="11"/>
        <color theme="1"/>
        <rFont val="Calibri"/>
        <family val="2"/>
        <scheme val="minor"/>
      </rPr>
      <t>Direct_Release</t>
    </r>
    <r>
      <rPr>
        <sz val="11"/>
        <color theme="1"/>
        <rFont val="Calibri"/>
        <family val="2"/>
        <scheme val="minor"/>
      </rPr>
      <t xml:space="preserve">: This worksheet contains space to enter direct releases (in kg/day) by each COU in each main river segment(i.e., Haw, Deep, Cape Fear). </t>
    </r>
  </si>
  <si>
    <t>Data Entry</t>
  </si>
  <si>
    <t>Parameters</t>
  </si>
  <si>
    <t>Schematic</t>
  </si>
  <si>
    <t xml:space="preserve">Created in MS Visio, this is a schematic of the bounds of the water system of interest. Release sources are shown in red, dilution sources are shown in the blue, and outputs are shown in green. Numbers in parentheses reflect parameter numbers listed in "Parameters" worksheet. </t>
  </si>
  <si>
    <r>
      <rPr>
        <b/>
        <sz val="11"/>
        <color theme="1"/>
        <rFont val="Calibri"/>
        <family val="2"/>
        <scheme val="minor"/>
      </rPr>
      <t>DownStreamPWS:</t>
    </r>
    <r>
      <rPr>
        <sz val="11"/>
        <color theme="1"/>
        <rFont val="Calibri"/>
        <family val="2"/>
        <scheme val="minor"/>
      </rPr>
      <t xml:space="preserve"> This worksheet contains proportional allocation of drinking water source for the City of Sanford. In this case, it is 100% surface water</t>
    </r>
  </si>
  <si>
    <t xml:space="preserve">This worksheet groups parameters into major sections of the model, including per capita down the drain contributions from consumers(which is considered constant), contributions from POTW's, flows  and direct industrial releases from each river segment, POTW treatment to reduce concentration(by proportional decrease), proportions of finished drinking water makeup(i.e.,surfacewater, groundwater, re-used wastewater), and constants. </t>
  </si>
  <si>
    <t>Reduction of finished water by treatment concentration</t>
  </si>
  <si>
    <t>Concentration of POTW effluent</t>
  </si>
  <si>
    <t>Finished Drinking Water</t>
  </si>
  <si>
    <t>Proportions from direct industrial release</t>
  </si>
  <si>
    <t>Calculations_and_Results</t>
  </si>
  <si>
    <t>Flows</t>
  </si>
  <si>
    <r>
      <rPr>
        <b/>
        <sz val="11"/>
        <color theme="1"/>
        <rFont val="Calibri"/>
        <family val="2"/>
        <scheme val="minor"/>
      </rPr>
      <t>Flows</t>
    </r>
    <r>
      <rPr>
        <sz val="11"/>
        <color theme="1"/>
        <rFont val="Calibri"/>
        <family val="2"/>
        <scheme val="minor"/>
      </rPr>
      <t>: This worksheet contains aggregate incremental flows over all tributaries of the bounded hydrological area of the case study. This data is extracted from the NHDPlus dataset using a custom Rscript.</t>
    </r>
  </si>
  <si>
    <t xml:space="preserve">This worksheet includes all model calculations and outputs. Calculations proceed in a stepwise fashion to avoid coding errors. The two overall outputs include water concentration at the DWI and finished water concentration, and proportions of concentrations due to different inputs.                                                 For source contributions to water concentration, major divisions include the proportions of  contamination deriving from upstream POTW's and the proportions of contamination deriving from direct industrial releases.                                                                                                                                                                                                                    POTW-derived contamination is further divided into down the drain consumer product contributions versus indirect industrial releases. Consumer product contributions are further divided into commercial vs non-commercial use, and contributions from each COU. Indirect industrial releaes are divided into contributions from individual COU's.                                                                                                    Direct industrial releases are divided into contributions by individual COU.                                                               Note that each section of the proportion results is acccompanied by "Sanity Checks" in yellow, which checks the proportions against previous totals to make sure they add up. If they do, they should read "PASS". If not, they'll read "FAIL". Note that rounding errors may result in occassional "FAIL" messages. </t>
  </si>
  <si>
    <t>Adapting model to new water system</t>
  </si>
  <si>
    <t>User instructions</t>
  </si>
  <si>
    <t xml:space="preserve">To adapt this model to a new system, the user should create a schematic of the system. Using the schematic as a guide, the user should make the appropriate code connections between the data input sections and Parameters worksheet, and then between the Parameters section and the Calculations_and_Results section.Modular sections of the case study code can be used where appropriate. Once connections should be made, pass-fail sanity checks should be checked to ensure correct calculations. </t>
  </si>
  <si>
    <t>Non-commercial use</t>
  </si>
  <si>
    <t>Commercial use</t>
  </si>
  <si>
    <t>By COU</t>
  </si>
  <si>
    <t>At DWI</t>
  </si>
  <si>
    <t>Water concentration</t>
  </si>
  <si>
    <t>System specific values</t>
  </si>
  <si>
    <t>Calulation Cell</t>
  </si>
  <si>
    <t>Data entry cells</t>
  </si>
  <si>
    <t>No data entry</t>
  </si>
  <si>
    <t>Default values for chemical</t>
  </si>
  <si>
    <t>Aggregate Incremental Flow (cfps)</t>
  </si>
  <si>
    <t>CONSUMER INFORMATION FROM SHEDS-HT</t>
  </si>
  <si>
    <t>Paint</t>
  </si>
  <si>
    <t>Mean</t>
  </si>
  <si>
    <t>SD</t>
  </si>
  <si>
    <t>Dish_Soap</t>
  </si>
  <si>
    <t>Dishwashing_Detergent</t>
  </si>
  <si>
    <t>Dye</t>
  </si>
  <si>
    <t>Laundry_Detergent</t>
  </si>
  <si>
    <t>SPF</t>
  </si>
  <si>
    <t>Surface_Cleaner</t>
  </si>
  <si>
    <t>Q1%</t>
  </si>
  <si>
    <t>Q10%</t>
  </si>
  <si>
    <t>Q25%</t>
  </si>
  <si>
    <t>Q50%</t>
  </si>
  <si>
    <t>Q75%</t>
  </si>
  <si>
    <t>Q90%</t>
  </si>
  <si>
    <t>Q99%</t>
  </si>
  <si>
    <t xml:space="preserve"> SHEDS-HT OUTPUT HERE</t>
  </si>
  <si>
    <t xml:space="preserve">Floor Laquer </t>
  </si>
  <si>
    <t>MLD</t>
  </si>
  <si>
    <t>Covert million liters per day(MLD) to liters per day(LPD)</t>
  </si>
  <si>
    <t xml:space="preserve">Notes: Produced using default SHEDS-HT parameter values except for grams of product used, and weight fraction, which were derived from the risk evaluation.  </t>
  </si>
  <si>
    <t>Upstream POTW 2</t>
  </si>
  <si>
    <t>Upstream POTW 3</t>
  </si>
  <si>
    <t>Upstream POTW 1</t>
  </si>
  <si>
    <t>River Segment 1</t>
  </si>
  <si>
    <t>River Segment 2</t>
  </si>
  <si>
    <t>River Segment 3</t>
  </si>
  <si>
    <t>Downstream PWS</t>
  </si>
  <si>
    <t>Aggregate industrial effluent to River segment</t>
  </si>
  <si>
    <t>Aggregate incremental flow to river segments</t>
  </si>
  <si>
    <t>Proportion of reduction of concentation at POTW</t>
  </si>
  <si>
    <t>Industrial contribution to POTW</t>
  </si>
  <si>
    <r>
      <t>POTW</t>
    </r>
    <r>
      <rPr>
        <vertAlign val="subscript"/>
        <sz val="11"/>
        <color theme="1"/>
        <rFont val="Calibri"/>
        <family val="2"/>
        <scheme val="minor"/>
      </rPr>
      <t>indu</t>
    </r>
  </si>
  <si>
    <t>MFRinfluent</t>
  </si>
  <si>
    <t>MFReffluent</t>
  </si>
  <si>
    <r>
      <t>POTW</t>
    </r>
    <r>
      <rPr>
        <vertAlign val="subscript"/>
        <sz val="11"/>
        <color theme="1"/>
        <rFont val="Calibri"/>
        <family val="2"/>
        <scheme val="minor"/>
      </rPr>
      <t>induP</t>
    </r>
  </si>
  <si>
    <t xml:space="preserve">*Note: Increasing influent rate decreases the concentration rate going into the plant (and the system) by diluting the pcMRDTD. We could make this a constant(pop * effluent rate). Conversely, increasing the effluent rate increases the amount of material going into the system. </t>
  </si>
  <si>
    <t>Upstream POTW influent concentration</t>
  </si>
  <si>
    <t>Proportional reduction of conc at POTW</t>
  </si>
  <si>
    <t>unitless</t>
  </si>
  <si>
    <t>Conc of POTW Effluent</t>
  </si>
  <si>
    <t xml:space="preserve">Reduction of finished water concentration by treatment </t>
  </si>
  <si>
    <t>proportion</t>
  </si>
  <si>
    <t>Total mass to POTW from non-commercial users, commercial users, and industrial inputs, and water</t>
  </si>
  <si>
    <t>Total mass contribution from non-commercial users, commercial users, and industrial inputs</t>
  </si>
  <si>
    <t>Convert grams to micrograms</t>
  </si>
  <si>
    <t>Proportion from  upstream POTW contributions</t>
  </si>
  <si>
    <t>Total mass of chemical in main channel</t>
  </si>
  <si>
    <t>Main stem flow (cpfs)</t>
  </si>
  <si>
    <t>Main Step flows</t>
  </si>
  <si>
    <t>Fayetteville Cross Creek WRF</t>
  </si>
  <si>
    <t>Rockfish Creek WWTP</t>
  </si>
  <si>
    <t xml:space="preserve">Elizabethtown </t>
  </si>
  <si>
    <t>Inputs and Flows</t>
  </si>
  <si>
    <t>Upstream POTW 4</t>
  </si>
  <si>
    <t>Upstream POTW 5</t>
  </si>
  <si>
    <t>Stream Segment</t>
  </si>
  <si>
    <t>Total POTW release to surface water section</t>
  </si>
  <si>
    <t>Watershed</t>
  </si>
  <si>
    <t>Total mass following reduction by treatment</t>
  </si>
  <si>
    <t>Proportions from previous water contamination not going through POTWs</t>
  </si>
  <si>
    <t>Recycled Water</t>
  </si>
  <si>
    <t>Surface water</t>
  </si>
  <si>
    <t>Downstream System</t>
  </si>
  <si>
    <t>Ground Water</t>
  </si>
  <si>
    <t>Proportion from upstream consumer DTD release into wastewater</t>
  </si>
  <si>
    <t>Proportion from upstream commercial DTD release into wastewater</t>
  </si>
  <si>
    <t>Proportion from indirect upstream industrial release into wastewater</t>
  </si>
  <si>
    <t>Proportion from upstream dw contamination</t>
  </si>
  <si>
    <t>RESULTS</t>
  </si>
  <si>
    <t>Direct_Release</t>
  </si>
  <si>
    <t>Worksheet: Flows</t>
  </si>
  <si>
    <t>DWI</t>
  </si>
  <si>
    <t>Finished Water</t>
  </si>
  <si>
    <t>Indirect release to POTW</t>
  </si>
  <si>
    <t>Direct Release</t>
  </si>
  <si>
    <t>From upstream POTW</t>
  </si>
  <si>
    <t>Proporption concentration from main sources of water</t>
  </si>
  <si>
    <t>Proportion of concentration from SW sources</t>
  </si>
  <si>
    <t>Proportion of concentration from POTW release</t>
  </si>
  <si>
    <t>Water concentration proportional contributions</t>
  </si>
  <si>
    <t>Proportion from upstream drinking water contamination</t>
  </si>
  <si>
    <t xml:space="preserve">To use the model, the user enters parameter values into all of the appropriate places in the four data entry sheets: To_POTW, Direct_Release Flows, and DownStreamPWS. Note that data is only entered into the white cells within tables. Yellow cells are summation cells. All parameters are collected onto the Parameters page, which is used as the input to the Calculations_and_Results page.  </t>
  </si>
  <si>
    <t>Manufacturing</t>
  </si>
  <si>
    <t>Recycling</t>
  </si>
  <si>
    <t>Disposal</t>
  </si>
  <si>
    <t>POINT-SOURCE RELEASE OF TEIR 2 COU's: INDUSTRIAL RELEASE</t>
  </si>
  <si>
    <t>COMMERCIAL POINT-SOURCE RELEASE OF TIER 1 COU's: CONSUMER PRODUCTS</t>
  </si>
  <si>
    <t>Aggregate commercial/industrial release of consumer COU's from point source</t>
  </si>
  <si>
    <t>Total commercial point source release to surface water of consumer COU</t>
  </si>
  <si>
    <t>Total point source release to surface water of industrial COU</t>
  </si>
  <si>
    <t>Output_Category</t>
  </si>
  <si>
    <t>Output_Class</t>
  </si>
  <si>
    <t>Output_Value</t>
  </si>
  <si>
    <t>Concentration</t>
  </si>
  <si>
    <t>Output_Check</t>
  </si>
  <si>
    <t>System</t>
  </si>
  <si>
    <t>CHECKSUM</t>
  </si>
  <si>
    <t>Mass</t>
  </si>
  <si>
    <t>Output_Type</t>
  </si>
  <si>
    <t>SW</t>
  </si>
  <si>
    <t>SWI_Sources</t>
  </si>
  <si>
    <t>FW_Sources</t>
  </si>
  <si>
    <t>Bin_2_COU_All</t>
  </si>
  <si>
    <t>Bin_2_COU_Com_Total</t>
  </si>
  <si>
    <t>Bin_2_COU_Com_DR</t>
  </si>
  <si>
    <t>Bin_2_COU_Com_POTW</t>
  </si>
  <si>
    <t>Total_Mass</t>
  </si>
  <si>
    <t>Total_Flow</t>
  </si>
  <si>
    <t>Total_SWI_Conc</t>
  </si>
  <si>
    <t>Total_FW_Conc</t>
  </si>
  <si>
    <t>FW_All</t>
  </si>
  <si>
    <t>FW_Sources_SW_ALL</t>
  </si>
  <si>
    <t>FW_Sources_SW_POTW</t>
  </si>
  <si>
    <t>SWI_Sources_All</t>
  </si>
  <si>
    <t>SWI_Sources_POTW</t>
  </si>
  <si>
    <t>Total_Mass_ug</t>
  </si>
  <si>
    <t>SWI_Conc_ug_per_l</t>
  </si>
  <si>
    <t>Total_Flows_l_per_day</t>
  </si>
  <si>
    <t>FW_ug_per_l</t>
  </si>
  <si>
    <t>Bin_2_Com_DR</t>
  </si>
  <si>
    <t>Bin_1_DR</t>
  </si>
  <si>
    <t>Prev_SW_Contamination</t>
  </si>
  <si>
    <t>DTD_Con</t>
  </si>
  <si>
    <t>DTD_Com</t>
  </si>
  <si>
    <t>IR_Bin_1</t>
  </si>
  <si>
    <t>GW</t>
  </si>
  <si>
    <t>RW</t>
  </si>
  <si>
    <t>Dishwasher_Detergent</t>
  </si>
  <si>
    <t>Textile_Dye</t>
  </si>
  <si>
    <t>Floor_Lacquer</t>
  </si>
  <si>
    <t>Bin_1_Total</t>
  </si>
  <si>
    <t>Bin_1_COU_Total</t>
  </si>
  <si>
    <t>Bin_1_COU_DR</t>
  </si>
  <si>
    <t>Bin_1_COU_POTW</t>
  </si>
  <si>
    <t>Import_and_repackaging</t>
  </si>
  <si>
    <t>Industrial_uses</t>
  </si>
  <si>
    <t>Functional_fluids_open_system</t>
  </si>
  <si>
    <t>Functional fluids_closed_system</t>
  </si>
  <si>
    <t>Laboratory_chemicals</t>
  </si>
  <si>
    <t>Film_cement</t>
  </si>
  <si>
    <t>Spray_polyurethane_foam</t>
  </si>
  <si>
    <t>Printing_ink_3D</t>
  </si>
  <si>
    <t>Dry_film_lubricant</t>
  </si>
  <si>
    <t>PETE_byproduct</t>
  </si>
  <si>
    <t>Ethoxylation_process_byproduct</t>
  </si>
  <si>
    <t>Hydraulic_fracturing</t>
  </si>
  <si>
    <t>Output_Subclass</t>
  </si>
  <si>
    <t>DR_Bin_1</t>
  </si>
  <si>
    <t>POTW_1</t>
  </si>
  <si>
    <t>POTW_2</t>
  </si>
  <si>
    <t>POTW_3</t>
  </si>
  <si>
    <t>POTW_4</t>
  </si>
  <si>
    <t>POTW_5</t>
  </si>
  <si>
    <t>Prop_SW</t>
  </si>
  <si>
    <t>Prop_GW</t>
  </si>
  <si>
    <t>Prop_RW</t>
  </si>
  <si>
    <t>GW_Conc</t>
  </si>
  <si>
    <t>POTW_Eff_Conc</t>
  </si>
  <si>
    <t>Treat_Reduct</t>
  </si>
  <si>
    <t>Stream_Segment</t>
  </si>
  <si>
    <t>Parameter</t>
  </si>
  <si>
    <t>CheckSum</t>
  </si>
  <si>
    <t>Check</t>
  </si>
  <si>
    <t>POTW_Treatment_Reduction</t>
  </si>
  <si>
    <t>FW_Makeup</t>
  </si>
  <si>
    <t>COU Sources</t>
  </si>
  <si>
    <t>Bin_2_COU_Con</t>
  </si>
  <si>
    <t>Parameter_Class</t>
  </si>
  <si>
    <t>Parameter_Name</t>
  </si>
  <si>
    <t>Parameter_Value</t>
  </si>
  <si>
    <t>Parameter_Unit</t>
  </si>
  <si>
    <t>Direct_Release_Bin_1</t>
  </si>
  <si>
    <t>Parameter_Type</t>
  </si>
  <si>
    <t>CF1_g_to_ug</t>
  </si>
  <si>
    <t>CF2_kg_to_ug</t>
  </si>
  <si>
    <t>CF3_MLD_to_liters_per_day</t>
  </si>
  <si>
    <t>CF4_CFpS_to_Liters_per_Day</t>
  </si>
  <si>
    <t>Municipal Flow Rate(Influent=effluent)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</si>
</sst>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00"/>
    <numFmt numFmtId="167" formatCode="0.00000"/>
    <numFmt numFmtId="168" formatCode="0.000000000"/>
    <numFmt numFmtId="169" formatCode="0.000000"/>
  </numFmts>
  <fonts count="22" x14ac:knownFonts="1">
    <font>
      <sz val="11"/>
      <color theme="1"/>
      <name val="Calibri"/>
      <family val="2"/>
      <scheme val="minor"/>
    </font>
    <font>
      <b/>
      <sz val="11"/>
      <color theme="1"/>
      <name val="Calibri"/>
      <family val="2"/>
      <scheme val="minor"/>
    </font>
    <font>
      <vertAlign val="subscript"/>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sz val="16"/>
      <color theme="1"/>
      <name val="Times New Roman"/>
      <family val="1"/>
    </font>
    <font>
      <b/>
      <sz val="16"/>
      <color theme="1"/>
      <name val="Calibri"/>
      <family val="2"/>
      <scheme val="minor"/>
    </font>
    <font>
      <b/>
      <sz val="18"/>
      <color theme="1"/>
      <name val="Calibri"/>
      <family val="2"/>
      <scheme val="minor"/>
    </font>
    <font>
      <b/>
      <sz val="22"/>
      <color theme="1"/>
      <name val="Calibri"/>
      <family val="2"/>
      <scheme val="minor"/>
    </font>
    <font>
      <b/>
      <sz val="20"/>
      <color theme="1"/>
      <name val="Calibri"/>
      <family val="2"/>
      <scheme val="minor"/>
    </font>
    <font>
      <b/>
      <sz val="24"/>
      <color theme="1"/>
      <name val="Calibri"/>
      <family val="2"/>
      <scheme val="minor"/>
    </font>
    <font>
      <b/>
      <sz val="12"/>
      <color theme="1"/>
      <name val="Calibri"/>
      <family val="2"/>
      <scheme val="minor"/>
    </font>
    <font>
      <sz val="8"/>
      <color rgb="FF000000"/>
      <name val="Lucida Console"/>
      <family val="3"/>
    </font>
    <font>
      <sz val="22"/>
      <color theme="1"/>
      <name val="Calibri"/>
      <family val="2"/>
      <scheme val="minor"/>
    </font>
    <font>
      <sz val="22"/>
      <color rgb="FFFF0000"/>
      <name val="Calibri"/>
      <family val="2"/>
      <scheme val="minor"/>
    </font>
    <font>
      <b/>
      <u/>
      <sz val="22"/>
      <color theme="1"/>
      <name val="Calibri"/>
      <family val="2"/>
      <scheme val="minor"/>
    </font>
    <font>
      <sz val="11"/>
      <color theme="1"/>
      <name val="Calibri"/>
      <family val="2"/>
    </font>
  </fonts>
  <fills count="1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FFFF"/>
        <bgColor indexed="64"/>
      </patternFill>
    </fill>
    <fill>
      <patternFill patternType="solid">
        <fgColor theme="4"/>
        <bgColor indexed="64"/>
      </patternFill>
    </fill>
    <fill>
      <patternFill patternType="solid">
        <fgColor theme="6"/>
        <bgColor indexed="64"/>
      </patternFill>
    </fill>
    <fill>
      <patternFill patternType="solid">
        <fgColor theme="9" tint="0.59999389629810485"/>
        <bgColor indexed="64"/>
      </patternFill>
    </fill>
  </fills>
  <borders count="41">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right/>
      <top style="thick">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ck">
        <color indexed="64"/>
      </right>
      <top style="thick">
        <color indexed="64"/>
      </top>
      <bottom/>
      <diagonal/>
    </border>
    <border>
      <left/>
      <right style="thick">
        <color indexed="64"/>
      </right>
      <top/>
      <bottom style="thick">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thin">
        <color indexed="64"/>
      </left>
      <right style="thin">
        <color indexed="64"/>
      </right>
      <top/>
      <bottom style="thin">
        <color indexed="64"/>
      </bottom>
      <diagonal/>
    </border>
    <border>
      <left/>
      <right/>
      <top/>
      <bottom style="thick">
        <color indexed="64"/>
      </bottom>
      <diagonal/>
    </border>
    <border>
      <left style="thin">
        <color indexed="64"/>
      </left>
      <right style="thin">
        <color indexed="64"/>
      </right>
      <top/>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311">
    <xf numFmtId="0" fontId="0" fillId="0" borderId="0" xfId="0"/>
    <xf numFmtId="0" fontId="0" fillId="0" borderId="0" xfId="0" applyAlignment="1">
      <alignment wrapText="1"/>
    </xf>
    <xf numFmtId="11" fontId="0" fillId="0" borderId="0" xfId="0" applyNumberFormat="1"/>
    <xf numFmtId="0" fontId="0" fillId="0" borderId="0" xfId="0" applyBorder="1" applyAlignment="1">
      <alignment wrapText="1"/>
    </xf>
    <xf numFmtId="0" fontId="0" fillId="0" borderId="0" xfId="0" applyBorder="1"/>
    <xf numFmtId="11" fontId="0" fillId="0" borderId="0" xfId="0" applyNumberFormat="1" applyBorder="1"/>
    <xf numFmtId="0" fontId="0" fillId="0" borderId="2" xfId="0" applyBorder="1" applyAlignment="1">
      <alignment wrapText="1"/>
    </xf>
    <xf numFmtId="0" fontId="0" fillId="0" borderId="2" xfId="0" applyBorder="1"/>
    <xf numFmtId="0" fontId="0" fillId="2" borderId="0" xfId="0" applyFill="1" applyBorder="1"/>
    <xf numFmtId="0" fontId="0" fillId="2" borderId="0" xfId="0" applyFill="1"/>
    <xf numFmtId="0" fontId="0" fillId="0" borderId="0" xfId="0" applyFill="1" applyBorder="1"/>
    <xf numFmtId="0" fontId="1" fillId="0" borderId="0" xfId="0" applyFont="1" applyFill="1" applyBorder="1"/>
    <xf numFmtId="0" fontId="8" fillId="0" borderId="0" xfId="0" applyFont="1"/>
    <xf numFmtId="0" fontId="9" fillId="0" borderId="0" xfId="0" applyFont="1"/>
    <xf numFmtId="0" fontId="9" fillId="0" borderId="0" xfId="0" applyFont="1" applyAlignment="1">
      <alignment wrapText="1"/>
    </xf>
    <xf numFmtId="0" fontId="0" fillId="0" borderId="0" xfId="0" applyFill="1" applyBorder="1" applyAlignment="1">
      <alignment wrapText="1"/>
    </xf>
    <xf numFmtId="0" fontId="0" fillId="0" borderId="3" xfId="0" applyBorder="1"/>
    <xf numFmtId="0" fontId="5" fillId="0" borderId="3" xfId="0" applyFont="1" applyBorder="1"/>
    <xf numFmtId="0" fontId="6" fillId="0" borderId="0" xfId="0" applyFont="1" applyBorder="1"/>
    <xf numFmtId="0" fontId="4" fillId="0" borderId="0" xfId="0" applyFont="1" applyBorder="1"/>
    <xf numFmtId="0" fontId="0" fillId="0" borderId="0" xfId="0" applyFill="1"/>
    <xf numFmtId="0" fontId="0" fillId="0" borderId="1" xfId="0" applyBorder="1"/>
    <xf numFmtId="0" fontId="0" fillId="0" borderId="2" xfId="0" applyFill="1" applyBorder="1" applyAlignment="1">
      <alignment wrapText="1"/>
    </xf>
    <xf numFmtId="0" fontId="0" fillId="0" borderId="1" xfId="0" applyFill="1" applyBorder="1" applyAlignment="1">
      <alignment wrapText="1"/>
    </xf>
    <xf numFmtId="0" fontId="0" fillId="0" borderId="3" xfId="0" applyFill="1" applyBorder="1"/>
    <xf numFmtId="0" fontId="0" fillId="0" borderId="0" xfId="0" applyFill="1" applyBorder="1" applyAlignment="1">
      <alignment horizontal="center" wrapText="1"/>
    </xf>
    <xf numFmtId="0" fontId="0" fillId="0" borderId="0" xfId="0" applyBorder="1" applyAlignment="1"/>
    <xf numFmtId="0" fontId="0" fillId="0" borderId="0" xfId="0" applyFill="1" applyBorder="1" applyAlignment="1">
      <alignment horizontal="center"/>
    </xf>
    <xf numFmtId="0" fontId="0" fillId="0" borderId="2" xfId="0" applyFill="1" applyBorder="1"/>
    <xf numFmtId="0" fontId="0" fillId="0" borderId="1" xfId="0" applyFill="1" applyBorder="1" applyAlignment="1">
      <alignment horizontal="center" wrapText="1"/>
    </xf>
    <xf numFmtId="0" fontId="0" fillId="0" borderId="1" xfId="0" applyBorder="1" applyAlignment="1"/>
    <xf numFmtId="0" fontId="0" fillId="0" borderId="6" xfId="0" applyBorder="1"/>
    <xf numFmtId="0" fontId="0" fillId="0" borderId="3" xfId="0" applyBorder="1" applyAlignment="1">
      <alignment wrapText="1"/>
    </xf>
    <xf numFmtId="0" fontId="0" fillId="2" borderId="3" xfId="0" applyFill="1" applyBorder="1"/>
    <xf numFmtId="0" fontId="0" fillId="0" borderId="1" xfId="0" applyBorder="1" applyAlignment="1">
      <alignment wrapText="1"/>
    </xf>
    <xf numFmtId="0" fontId="0" fillId="2" borderId="1" xfId="0" applyFill="1" applyBorder="1"/>
    <xf numFmtId="0" fontId="11" fillId="0" borderId="0" xfId="0" applyFont="1" applyAlignment="1">
      <alignment horizontal="center" wrapText="1"/>
    </xf>
    <xf numFmtId="2" fontId="1" fillId="0" borderId="0" xfId="0" applyNumberFormat="1" applyFont="1" applyFill="1" applyAlignment="1">
      <alignment horizontal="center"/>
    </xf>
    <xf numFmtId="0" fontId="1" fillId="0" borderId="0" xfId="0" applyFont="1" applyFill="1"/>
    <xf numFmtId="0" fontId="0" fillId="0" borderId="0" xfId="0" applyNumberFormat="1"/>
    <xf numFmtId="0" fontId="8" fillId="0" borderId="6" xfId="0" applyFont="1" applyBorder="1"/>
    <xf numFmtId="0" fontId="6" fillId="0" borderId="1" xfId="0" applyFont="1" applyBorder="1"/>
    <xf numFmtId="0" fontId="6" fillId="0" borderId="1" xfId="0" applyFont="1" applyBorder="1" applyAlignment="1">
      <alignment horizontal="center"/>
    </xf>
    <xf numFmtId="0" fontId="0" fillId="0" borderId="3" xfId="0" applyNumberFormat="1" applyBorder="1"/>
    <xf numFmtId="2" fontId="0" fillId="0" borderId="0" xfId="0" applyNumberFormat="1"/>
    <xf numFmtId="164" fontId="1" fillId="0" borderId="0" xfId="0" applyNumberFormat="1" applyFont="1" applyFill="1" applyBorder="1" applyAlignment="1">
      <alignment horizontal="center"/>
    </xf>
    <xf numFmtId="0" fontId="5" fillId="0" borderId="0" xfId="0" applyFont="1" applyBorder="1"/>
    <xf numFmtId="0" fontId="15" fillId="0" borderId="7" xfId="0" applyFont="1" applyBorder="1" applyAlignment="1">
      <alignment horizontal="center" wrapText="1"/>
    </xf>
    <xf numFmtId="0" fontId="0" fillId="0" borderId="7" xfId="0" applyBorder="1"/>
    <xf numFmtId="164" fontId="1" fillId="2" borderId="0" xfId="0" applyNumberFormat="1" applyFont="1" applyFill="1" applyBorder="1" applyAlignment="1">
      <alignment horizontal="right"/>
    </xf>
    <xf numFmtId="0" fontId="0" fillId="0" borderId="0" xfId="0" applyFont="1" applyFill="1" applyBorder="1"/>
    <xf numFmtId="0" fontId="1" fillId="0" borderId="0" xfId="0" applyNumberFormat="1" applyFont="1" applyFill="1" applyBorder="1"/>
    <xf numFmtId="164" fontId="0" fillId="0" borderId="0" xfId="0" applyNumberFormat="1" applyFill="1" applyBorder="1"/>
    <xf numFmtId="0" fontId="3" fillId="0" borderId="0" xfId="0" applyFont="1" applyFill="1" applyBorder="1" applyAlignment="1">
      <alignment horizontal="center" wrapText="1"/>
    </xf>
    <xf numFmtId="0" fontId="0" fillId="0" borderId="0" xfId="0" applyNumberFormat="1" applyFill="1" applyBorder="1"/>
    <xf numFmtId="0" fontId="1" fillId="2" borderId="0" xfId="0" applyFont="1" applyFill="1" applyBorder="1"/>
    <xf numFmtId="2" fontId="1" fillId="0" borderId="0" xfId="0" applyNumberFormat="1" applyFont="1" applyFill="1" applyBorder="1" applyAlignment="1">
      <alignment horizontal="right"/>
    </xf>
    <xf numFmtId="2" fontId="1" fillId="0" borderId="0" xfId="0" applyNumberFormat="1" applyFont="1" applyFill="1" applyBorder="1"/>
    <xf numFmtId="0" fontId="1" fillId="0" borderId="0" xfId="0" applyFont="1" applyFill="1" applyBorder="1" applyAlignment="1">
      <alignment horizontal="right"/>
    </xf>
    <xf numFmtId="165" fontId="1" fillId="0" borderId="0" xfId="0" applyNumberFormat="1" applyFont="1" applyFill="1" applyBorder="1" applyAlignment="1">
      <alignment horizontal="right"/>
    </xf>
    <xf numFmtId="0" fontId="0" fillId="2" borderId="6" xfId="0" applyFill="1" applyBorder="1"/>
    <xf numFmtId="0" fontId="0" fillId="0" borderId="9" xfId="0"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wrapText="1"/>
    </xf>
    <xf numFmtId="11" fontId="1" fillId="0" borderId="0" xfId="0" applyNumberFormat="1" applyFont="1" applyFill="1" applyBorder="1"/>
    <xf numFmtId="0" fontId="1" fillId="0" borderId="0" xfId="0" applyFont="1" applyFill="1" applyBorder="1" applyAlignment="1">
      <alignment horizontal="right" wrapText="1"/>
    </xf>
    <xf numFmtId="164" fontId="0" fillId="0" borderId="0" xfId="0" applyNumberFormat="1" applyBorder="1"/>
    <xf numFmtId="165" fontId="1" fillId="0" borderId="0" xfId="0" applyNumberFormat="1" applyFont="1" applyFill="1" applyBorder="1"/>
    <xf numFmtId="0" fontId="1" fillId="0" borderId="0" xfId="0" applyFont="1" applyFill="1" applyBorder="1" applyAlignment="1">
      <alignment wrapText="1"/>
    </xf>
    <xf numFmtId="167" fontId="0" fillId="0" borderId="0" xfId="0" applyNumberFormat="1" applyFill="1" applyBorder="1"/>
    <xf numFmtId="166" fontId="0" fillId="0" borderId="0" xfId="0" applyNumberFormat="1" applyFill="1" applyBorder="1"/>
    <xf numFmtId="166" fontId="3" fillId="0" borderId="0" xfId="0" applyNumberFormat="1" applyFont="1" applyFill="1" applyBorder="1"/>
    <xf numFmtId="0" fontId="1" fillId="0" borderId="0" xfId="0" applyFont="1" applyFill="1" applyBorder="1" applyAlignment="1"/>
    <xf numFmtId="0" fontId="1" fillId="0" borderId="0" xfId="0" applyFont="1" applyFill="1" applyBorder="1" applyAlignment="1">
      <alignment horizontal="center"/>
    </xf>
    <xf numFmtId="0" fontId="15" fillId="0" borderId="0" xfId="0" applyFont="1" applyFill="1" applyBorder="1" applyAlignment="1">
      <alignment horizontal="center" wrapText="1"/>
    </xf>
    <xf numFmtId="0" fontId="0" fillId="0" borderId="0" xfId="0" applyFill="1" applyBorder="1" applyAlignment="1">
      <alignment vertical="top" wrapText="1"/>
    </xf>
    <xf numFmtId="0" fontId="7" fillId="0" borderId="0" xfId="0" applyFont="1" applyFill="1" applyBorder="1"/>
    <xf numFmtId="2" fontId="0" fillId="0" borderId="0" xfId="0" applyNumberFormat="1" applyFill="1" applyBorder="1"/>
    <xf numFmtId="0" fontId="11" fillId="0" borderId="0" xfId="0" applyFont="1" applyFill="1" applyBorder="1" applyAlignment="1">
      <alignment horizontal="center" vertical="center"/>
    </xf>
    <xf numFmtId="0" fontId="5" fillId="0" borderId="0" xfId="0" applyFont="1" applyFill="1" applyBorder="1"/>
    <xf numFmtId="0" fontId="3" fillId="0" borderId="0" xfId="0" applyFont="1" applyFill="1" applyBorder="1"/>
    <xf numFmtId="164" fontId="1" fillId="0" borderId="0" xfId="0" applyNumberFormat="1" applyFont="1" applyFill="1" applyBorder="1" applyAlignment="1">
      <alignment horizontal="right"/>
    </xf>
    <xf numFmtId="11" fontId="0" fillId="0" borderId="0" xfId="0" applyNumberFormat="1" applyFill="1" applyBorder="1"/>
    <xf numFmtId="0" fontId="0" fillId="0" borderId="0" xfId="0" applyFill="1" applyBorder="1" applyAlignment="1"/>
    <xf numFmtId="165" fontId="0" fillId="0" borderId="0" xfId="0" applyNumberFormat="1"/>
    <xf numFmtId="165" fontId="0" fillId="0" borderId="0" xfId="0" applyNumberFormat="1" applyFill="1" applyBorder="1"/>
    <xf numFmtId="165" fontId="0" fillId="0" borderId="0" xfId="0" applyNumberFormat="1" applyBorder="1"/>
    <xf numFmtId="165" fontId="0" fillId="0" borderId="0" xfId="0" applyNumberFormat="1" applyFont="1" applyFill="1" applyBorder="1"/>
    <xf numFmtId="168" fontId="0" fillId="0" borderId="0" xfId="0" applyNumberFormat="1"/>
    <xf numFmtId="0" fontId="0" fillId="0" borderId="1" xfId="0" applyFill="1" applyBorder="1" applyAlignment="1">
      <alignment horizontal="center" vertical="center"/>
    </xf>
    <xf numFmtId="0" fontId="16" fillId="0" borderId="1" xfId="0" applyFont="1" applyBorder="1" applyAlignment="1">
      <alignment horizontal="center"/>
    </xf>
    <xf numFmtId="0" fontId="16" fillId="0" borderId="1" xfId="0" applyFont="1" applyBorder="1" applyAlignment="1">
      <alignment horizontal="center" wrapText="1"/>
    </xf>
    <xf numFmtId="0" fontId="0" fillId="0" borderId="0" xfId="0" applyFont="1"/>
    <xf numFmtId="0" fontId="0" fillId="0" borderId="3" xfId="0" applyBorder="1" applyAlignment="1"/>
    <xf numFmtId="0" fontId="0" fillId="3" borderId="4" xfId="0" applyFill="1" applyBorder="1"/>
    <xf numFmtId="0" fontId="0" fillId="3" borderId="4" xfId="0" applyFill="1" applyBorder="1" applyAlignment="1">
      <alignment wrapText="1"/>
    </xf>
    <xf numFmtId="0" fontId="0" fillId="5" borderId="4" xfId="0" applyFill="1" applyBorder="1"/>
    <xf numFmtId="0" fontId="0" fillId="2" borderId="21" xfId="0" applyFill="1" applyBorder="1"/>
    <xf numFmtId="0" fontId="0" fillId="4" borderId="21" xfId="0" applyFill="1" applyBorder="1"/>
    <xf numFmtId="0" fontId="0" fillId="3" borderId="21" xfId="0" applyFill="1" applyBorder="1"/>
    <xf numFmtId="0" fontId="0" fillId="0" borderId="22" xfId="0" applyBorder="1"/>
    <xf numFmtId="0" fontId="0" fillId="2" borderId="4" xfId="0" applyFill="1" applyBorder="1"/>
    <xf numFmtId="0" fontId="0" fillId="0" borderId="3" xfId="0" applyBorder="1" applyAlignment="1">
      <alignment horizontal="center" wrapText="1"/>
    </xf>
    <xf numFmtId="0" fontId="17" fillId="0" borderId="0" xfId="0" applyFont="1" applyAlignment="1">
      <alignment vertical="center"/>
    </xf>
    <xf numFmtId="0" fontId="17" fillId="6" borderId="0" xfId="0" applyFont="1" applyFill="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2" borderId="2" xfId="0" applyFill="1" applyBorder="1"/>
    <xf numFmtId="0" fontId="0" fillId="0" borderId="25" xfId="0" applyBorder="1"/>
    <xf numFmtId="0" fontId="0" fillId="0" borderId="31" xfId="0" applyBorder="1"/>
    <xf numFmtId="0" fontId="0" fillId="0" borderId="14" xfId="0" applyFill="1" applyBorder="1"/>
    <xf numFmtId="0" fontId="0" fillId="0" borderId="32" xfId="0" applyBorder="1"/>
    <xf numFmtId="0" fontId="0" fillId="0" borderId="33" xfId="0" applyBorder="1"/>
    <xf numFmtId="0" fontId="1" fillId="0" borderId="14" xfId="0" applyFont="1" applyBorder="1"/>
    <xf numFmtId="0" fontId="1" fillId="0" borderId="34" xfId="0" applyFont="1" applyBorder="1" applyAlignment="1"/>
    <xf numFmtId="0" fontId="1" fillId="0" borderId="8" xfId="0" applyFont="1" applyBorder="1" applyAlignment="1"/>
    <xf numFmtId="0" fontId="1" fillId="0" borderId="35" xfId="0" applyFont="1" applyBorder="1" applyAlignment="1"/>
    <xf numFmtId="0" fontId="1" fillId="0" borderId="36" xfId="0" applyFont="1" applyBorder="1"/>
    <xf numFmtId="0" fontId="0" fillId="0" borderId="0" xfId="0" applyNumberFormat="1" applyBorder="1"/>
    <xf numFmtId="0" fontId="0" fillId="0" borderId="0" xfId="0" applyFill="1" applyBorder="1" applyAlignment="1">
      <alignment horizontal="left" wrapText="1"/>
    </xf>
    <xf numFmtId="164" fontId="1" fillId="2" borderId="2" xfId="0" applyNumberFormat="1" applyFont="1" applyFill="1" applyBorder="1" applyAlignment="1">
      <alignment horizontal="right"/>
    </xf>
    <xf numFmtId="0" fontId="1" fillId="2" borderId="2" xfId="0" applyFont="1" applyFill="1" applyBorder="1"/>
    <xf numFmtId="0" fontId="0" fillId="0" borderId="17" xfId="0" applyBorder="1" applyAlignment="1">
      <alignment wrapText="1"/>
    </xf>
    <xf numFmtId="11" fontId="0" fillId="0" borderId="17" xfId="0" applyNumberFormat="1" applyBorder="1"/>
    <xf numFmtId="0" fontId="5" fillId="0" borderId="12" xfId="0" applyFont="1" applyBorder="1"/>
    <xf numFmtId="0" fontId="0" fillId="0" borderId="38" xfId="0" applyBorder="1" applyAlignment="1">
      <alignment wrapText="1"/>
    </xf>
    <xf numFmtId="0" fontId="0" fillId="0" borderId="38" xfId="0" applyBorder="1"/>
    <xf numFmtId="0" fontId="12" fillId="0" borderId="3" xfId="0" applyFont="1" applyBorder="1" applyAlignment="1">
      <alignment horizontal="center"/>
    </xf>
    <xf numFmtId="0" fontId="1" fillId="0" borderId="0" xfId="0" applyFont="1" applyFill="1" applyBorder="1" applyAlignment="1">
      <alignment vertical="center"/>
    </xf>
    <xf numFmtId="0" fontId="0" fillId="0" borderId="3" xfId="0" applyFill="1" applyBorder="1" applyAlignment="1">
      <alignment wrapText="1"/>
    </xf>
    <xf numFmtId="0" fontId="19" fillId="9" borderId="0" xfId="0" applyFont="1" applyFill="1" applyBorder="1" applyAlignment="1">
      <alignment horizontal="center" vertical="center"/>
    </xf>
    <xf numFmtId="0" fontId="0" fillId="0" borderId="0" xfId="0" applyBorder="1" applyAlignment="1">
      <alignment horizontal="center" vertical="center"/>
    </xf>
    <xf numFmtId="0" fontId="8" fillId="0" borderId="0" xfId="0" applyFont="1" applyFill="1" applyBorder="1"/>
    <xf numFmtId="2" fontId="1" fillId="0" borderId="0" xfId="0" applyNumberFormat="1" applyFont="1" applyFill="1" applyBorder="1" applyAlignment="1">
      <alignment horizontal="center"/>
    </xf>
    <xf numFmtId="0" fontId="13" fillId="0" borderId="0" xfId="0" applyFont="1" applyFill="1" applyBorder="1"/>
    <xf numFmtId="0" fontId="13" fillId="0" borderId="0" xfId="0" applyFont="1"/>
    <xf numFmtId="0" fontId="20" fillId="0" borderId="0" xfId="0" applyFont="1" applyAlignment="1">
      <alignment wrapText="1"/>
    </xf>
    <xf numFmtId="0" fontId="20" fillId="0" borderId="0" xfId="0" applyFont="1"/>
    <xf numFmtId="0" fontId="13" fillId="0" borderId="1" xfId="0" applyFont="1" applyBorder="1" applyAlignment="1">
      <alignment horizontal="center"/>
    </xf>
    <xf numFmtId="0" fontId="13" fillId="0" borderId="1" xfId="0" applyFont="1" applyBorder="1" applyAlignment="1">
      <alignment horizontal="center" wrapText="1"/>
    </xf>
    <xf numFmtId="0" fontId="13" fillId="0" borderId="1" xfId="0" applyFont="1" applyFill="1" applyBorder="1" applyAlignment="1">
      <alignment horizontal="center"/>
    </xf>
    <xf numFmtId="0" fontId="13" fillId="0" borderId="5" xfId="0" applyFont="1" applyFill="1" applyBorder="1" applyAlignment="1">
      <alignment horizontal="center"/>
    </xf>
    <xf numFmtId="0" fontId="0" fillId="0" borderId="0" xfId="0" applyBorder="1" applyAlignment="1">
      <alignment vertical="center"/>
    </xf>
    <xf numFmtId="169" fontId="0" fillId="0" borderId="0" xfId="0" applyNumberFormat="1" applyFill="1" applyBorder="1"/>
    <xf numFmtId="0" fontId="5" fillId="0" borderId="0" xfId="0" applyFont="1" applyFill="1" applyBorder="1" applyAlignment="1">
      <alignment vertical="center" wrapText="1"/>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0" fillId="0" borderId="2" xfId="0" applyFill="1" applyBorder="1" applyAlignment="1"/>
    <xf numFmtId="0" fontId="0" fillId="0" borderId="6" xfId="0" applyFill="1" applyBorder="1"/>
    <xf numFmtId="0" fontId="13" fillId="0" borderId="0" xfId="0" applyFont="1" applyBorder="1" applyAlignment="1">
      <alignment horizontal="center" vertical="center"/>
    </xf>
    <xf numFmtId="0" fontId="15" fillId="0" borderId="0" xfId="0" applyFont="1" applyBorder="1" applyAlignment="1">
      <alignment horizontal="center" vertical="center"/>
    </xf>
    <xf numFmtId="0" fontId="15" fillId="0" borderId="17" xfId="0" applyFont="1" applyBorder="1" applyAlignment="1">
      <alignment horizontal="center" vertical="center"/>
    </xf>
    <xf numFmtId="0" fontId="1" fillId="0" borderId="0" xfId="0" applyFont="1" applyFill="1" applyBorder="1" applyAlignment="1">
      <alignment horizontal="center"/>
    </xf>
    <xf numFmtId="0" fontId="13" fillId="0" borderId="0" xfId="0" applyFont="1" applyFill="1" applyBorder="1" applyAlignment="1">
      <alignment horizontal="center" vertical="center"/>
    </xf>
    <xf numFmtId="0" fontId="13" fillId="0" borderId="3" xfId="0" applyFont="1" applyBorder="1" applyAlignment="1">
      <alignment horizontal="center" vertical="center"/>
    </xf>
    <xf numFmtId="0" fontId="15" fillId="0" borderId="38" xfId="0" applyFont="1" applyBorder="1" applyAlignment="1">
      <alignment horizontal="center" vertical="center"/>
    </xf>
    <xf numFmtId="0" fontId="13" fillId="0" borderId="12" xfId="0" applyFont="1" applyBorder="1" applyAlignment="1">
      <alignment horizontal="center" vertical="center"/>
    </xf>
    <xf numFmtId="0" fontId="15" fillId="0" borderId="3" xfId="0" applyFont="1" applyBorder="1" applyAlignment="1">
      <alignment horizontal="center" vertical="center"/>
    </xf>
    <xf numFmtId="0" fontId="11" fillId="0" borderId="0" xfId="0" applyFont="1" applyFill="1" applyBorder="1" applyAlignment="1">
      <alignment horizontal="center" vertical="center"/>
    </xf>
    <xf numFmtId="0" fontId="0" fillId="3" borderId="20" xfId="0" applyFill="1" applyBorder="1"/>
    <xf numFmtId="0" fontId="6" fillId="0" borderId="3" xfId="0" applyFont="1" applyBorder="1"/>
    <xf numFmtId="0" fontId="21" fillId="0" borderId="0" xfId="0" applyFont="1" applyBorder="1" applyAlignment="1">
      <alignment vertical="center" wrapText="1"/>
    </xf>
    <xf numFmtId="0" fontId="21" fillId="0" borderId="3" xfId="0" applyFont="1" applyBorder="1" applyAlignment="1">
      <alignment vertical="center" wrapText="1"/>
    </xf>
    <xf numFmtId="11" fontId="0" fillId="0" borderId="2" xfId="0" applyNumberFormat="1" applyBorder="1"/>
    <xf numFmtId="0" fontId="21" fillId="0" borderId="3" xfId="0" applyFont="1" applyFill="1" applyBorder="1" applyAlignment="1">
      <alignment vertical="center" wrapText="1"/>
    </xf>
    <xf numFmtId="11" fontId="12" fillId="0" borderId="0" xfId="0" applyNumberFormat="1" applyFont="1" applyFill="1" applyBorder="1"/>
    <xf numFmtId="0" fontId="15" fillId="0" borderId="0" xfId="0" applyFont="1" applyFill="1" applyBorder="1" applyAlignment="1">
      <alignment vertical="center"/>
    </xf>
    <xf numFmtId="0" fontId="0" fillId="0" borderId="0" xfId="0" applyFont="1" applyFill="1" applyBorder="1" applyAlignment="1">
      <alignment wrapText="1"/>
    </xf>
    <xf numFmtId="0" fontId="7" fillId="0" borderId="0" xfId="0" applyFont="1" applyFill="1" applyBorder="1" applyAlignment="1">
      <alignment vertical="center" wrapText="1"/>
    </xf>
    <xf numFmtId="169" fontId="0" fillId="0" borderId="0" xfId="0" applyNumberFormat="1" applyFont="1" applyFill="1" applyBorder="1"/>
    <xf numFmtId="0" fontId="15" fillId="0" borderId="3" xfId="0" applyFont="1" applyFill="1" applyBorder="1" applyAlignment="1">
      <alignment vertical="center"/>
    </xf>
    <xf numFmtId="0" fontId="8" fillId="0" borderId="0" xfId="0" applyFont="1" applyFill="1" applyBorder="1" applyAlignment="1">
      <alignment horizontal="left"/>
    </xf>
    <xf numFmtId="11" fontId="0" fillId="0" borderId="0" xfId="0" applyNumberFormat="1" applyFont="1" applyFill="1" applyBorder="1"/>
    <xf numFmtId="0" fontId="8" fillId="0" borderId="0" xfId="0" applyFont="1" applyFill="1" applyBorder="1" applyAlignment="1">
      <alignment horizontal="left" wrapText="1"/>
    </xf>
    <xf numFmtId="0" fontId="0" fillId="0" borderId="0" xfId="0" applyFont="1" applyFill="1" applyBorder="1" applyAlignment="1">
      <alignment vertical="top" wrapText="1"/>
    </xf>
    <xf numFmtId="0" fontId="8" fillId="0" borderId="0" xfId="0" applyFont="1" applyFill="1" applyBorder="1" applyAlignment="1">
      <alignment vertical="center"/>
    </xf>
    <xf numFmtId="0" fontId="0" fillId="0" borderId="0" xfId="0" applyFont="1" applyFill="1" applyBorder="1" applyAlignment="1">
      <alignment vertical="center"/>
    </xf>
    <xf numFmtId="165" fontId="0" fillId="0" borderId="0" xfId="0" applyNumberFormat="1" applyFont="1" applyFill="1" applyBorder="1" applyAlignment="1">
      <alignment horizontal="right"/>
    </xf>
    <xf numFmtId="164" fontId="0" fillId="0" borderId="0" xfId="0" applyNumberFormat="1" applyFont="1" applyFill="1" applyBorder="1" applyAlignment="1">
      <alignment horizontal="right"/>
    </xf>
    <xf numFmtId="0" fontId="8" fillId="0" borderId="0" xfId="0" applyFont="1" applyFill="1" applyBorder="1" applyAlignment="1">
      <alignment vertical="center" wrapText="1"/>
    </xf>
    <xf numFmtId="0" fontId="0" fillId="0" borderId="0" xfId="0" applyFont="1" applyFill="1" applyBorder="1" applyAlignment="1">
      <alignment vertical="center" wrapText="1"/>
    </xf>
    <xf numFmtId="167" fontId="0" fillId="0" borderId="0" xfId="0" applyNumberFormat="1" applyFont="1" applyFill="1" applyBorder="1"/>
    <xf numFmtId="2" fontId="0" fillId="0" borderId="0" xfId="0" applyNumberFormat="1" applyFont="1" applyFill="1" applyBorder="1"/>
    <xf numFmtId="0" fontId="21" fillId="0" borderId="0" xfId="0" applyFont="1" applyFill="1" applyBorder="1" applyAlignment="1">
      <alignment vertical="center" wrapText="1"/>
    </xf>
    <xf numFmtId="164" fontId="0" fillId="0" borderId="0" xfId="0" applyNumberFormat="1" applyFont="1" applyFill="1" applyBorder="1"/>
    <xf numFmtId="165" fontId="0" fillId="0" borderId="0" xfId="0" applyNumberFormat="1" applyFont="1" applyFill="1" applyBorder="1" applyAlignment="1"/>
    <xf numFmtId="0" fontId="0" fillId="0" borderId="2" xfId="0" applyFont="1" applyFill="1" applyBorder="1" applyAlignment="1">
      <alignment vertical="center" wrapText="1"/>
    </xf>
    <xf numFmtId="0" fontId="21" fillId="0" borderId="2" xfId="0" applyFont="1" applyFill="1" applyBorder="1" applyAlignment="1">
      <alignment vertical="center" wrapText="1"/>
    </xf>
    <xf numFmtId="0" fontId="0" fillId="0" borderId="2" xfId="0" applyFont="1" applyFill="1" applyBorder="1" applyAlignment="1">
      <alignment vertical="center"/>
    </xf>
    <xf numFmtId="165" fontId="0" fillId="0" borderId="2" xfId="0" applyNumberFormat="1" applyFont="1" applyFill="1" applyBorder="1" applyAlignment="1"/>
    <xf numFmtId="0" fontId="0" fillId="0" borderId="2" xfId="0" applyFont="1" applyFill="1" applyBorder="1"/>
    <xf numFmtId="0" fontId="0" fillId="0" borderId="3" xfId="0" applyBorder="1" applyAlignment="1">
      <alignment vertical="center"/>
    </xf>
    <xf numFmtId="0" fontId="0" fillId="0" borderId="1" xfId="0" applyFill="1" applyBorder="1"/>
    <xf numFmtId="0" fontId="1" fillId="0" borderId="2" xfId="0" applyFont="1" applyFill="1" applyBorder="1"/>
    <xf numFmtId="0" fontId="0" fillId="0" borderId="39" xfId="0" applyFill="1" applyBorder="1"/>
    <xf numFmtId="0" fontId="0" fillId="0" borderId="37" xfId="0" applyFill="1" applyBorder="1"/>
    <xf numFmtId="0" fontId="1" fillId="0" borderId="1" xfId="0" applyFont="1" applyFill="1" applyBorder="1"/>
    <xf numFmtId="0" fontId="0" fillId="0" borderId="10" xfId="0" applyFill="1" applyBorder="1"/>
    <xf numFmtId="0" fontId="0" fillId="0" borderId="11" xfId="0" applyFill="1" applyBorder="1"/>
    <xf numFmtId="0" fontId="0" fillId="0" borderId="13" xfId="0" applyFill="1" applyBorder="1"/>
    <xf numFmtId="0" fontId="0" fillId="0" borderId="22" xfId="0" applyFill="1" applyBorder="1"/>
    <xf numFmtId="0" fontId="0" fillId="0" borderId="26" xfId="0" applyFill="1" applyBorder="1"/>
    <xf numFmtId="0" fontId="0" fillId="0" borderId="15" xfId="0" applyFill="1" applyBorder="1"/>
    <xf numFmtId="0" fontId="0" fillId="0" borderId="40" xfId="0" applyFill="1" applyBorder="1"/>
    <xf numFmtId="0" fontId="0" fillId="0" borderId="19" xfId="0" applyFill="1" applyBorder="1"/>
    <xf numFmtId="0" fontId="0" fillId="0" borderId="25" xfId="0" applyFill="1" applyBorder="1" applyAlignment="1">
      <alignment vertical="center"/>
    </xf>
    <xf numFmtId="0" fontId="0" fillId="0" borderId="27" xfId="0" applyFill="1" applyBorder="1"/>
    <xf numFmtId="0" fontId="0" fillId="0" borderId="16" xfId="0" applyFill="1" applyBorder="1"/>
    <xf numFmtId="0" fontId="0" fillId="0" borderId="17" xfId="0" applyFill="1" applyBorder="1"/>
    <xf numFmtId="0" fontId="0" fillId="0" borderId="0" xfId="0" applyFill="1" applyAlignment="1">
      <alignment vertical="center"/>
    </xf>
    <xf numFmtId="0" fontId="0" fillId="0" borderId="4" xfId="0" applyFill="1" applyBorder="1"/>
    <xf numFmtId="0" fontId="0" fillId="0" borderId="5" xfId="0" applyFill="1" applyBorder="1" applyAlignment="1"/>
    <xf numFmtId="0" fontId="0" fillId="0" borderId="4" xfId="0" applyFill="1" applyBorder="1" applyAlignment="1">
      <alignment wrapText="1"/>
    </xf>
    <xf numFmtId="0" fontId="0" fillId="0" borderId="5" xfId="0" applyFill="1" applyBorder="1"/>
    <xf numFmtId="0" fontId="0" fillId="0" borderId="30" xfId="0" applyFill="1" applyBorder="1" applyAlignment="1">
      <alignment wrapText="1"/>
    </xf>
    <xf numFmtId="0" fontId="0" fillId="0" borderId="29" xfId="0" applyFill="1" applyBorder="1"/>
    <xf numFmtId="0" fontId="0" fillId="0" borderId="18" xfId="0" applyFill="1" applyBorder="1"/>
    <xf numFmtId="0" fontId="21" fillId="0" borderId="1" xfId="0" applyFont="1" applyFill="1" applyBorder="1" applyAlignment="1">
      <alignment vertical="center" wrapText="1"/>
    </xf>
    <xf numFmtId="0" fontId="0" fillId="0" borderId="3" xfId="0" applyFill="1" applyBorder="1" applyAlignment="1">
      <alignment vertical="center"/>
    </xf>
    <xf numFmtId="0" fontId="0" fillId="0" borderId="0" xfId="0" applyFill="1" applyBorder="1" applyAlignment="1">
      <alignment vertical="center"/>
    </xf>
    <xf numFmtId="0" fontId="0" fillId="0" borderId="2" xfId="0" applyFill="1" applyBorder="1" applyAlignment="1">
      <alignment vertical="center"/>
    </xf>
    <xf numFmtId="0" fontId="0" fillId="0" borderId="16" xfId="0" applyFill="1" applyBorder="1" applyAlignment="1">
      <alignment horizontal="center" vertical="center"/>
    </xf>
    <xf numFmtId="0" fontId="11" fillId="0" borderId="0" xfId="0" applyFont="1" applyBorder="1" applyAlignment="1">
      <alignment horizontal="center" vertical="center" wrapText="1"/>
    </xf>
    <xf numFmtId="0" fontId="15" fillId="0" borderId="0" xfId="0" applyFont="1" applyFill="1" applyBorder="1" applyAlignment="1">
      <alignment horizontal="center" vertical="center"/>
    </xf>
    <xf numFmtId="0" fontId="12" fillId="0" borderId="3" xfId="0" applyFont="1" applyBorder="1" applyAlignment="1">
      <alignment vertical="center" wrapText="1"/>
    </xf>
    <xf numFmtId="0" fontId="12" fillId="0" borderId="0"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wrapText="1"/>
    </xf>
    <xf numFmtId="0" fontId="11" fillId="0" borderId="3" xfId="0" applyFont="1" applyBorder="1" applyAlignment="1">
      <alignment vertical="center" wrapText="1"/>
    </xf>
    <xf numFmtId="0" fontId="11" fillId="0" borderId="0" xfId="0" applyFont="1" applyBorder="1" applyAlignment="1">
      <alignment vertical="center" wrapText="1"/>
    </xf>
    <xf numFmtId="0" fontId="11" fillId="0" borderId="2" xfId="0" applyFont="1" applyBorder="1" applyAlignment="1">
      <alignment vertical="center" wrapText="1"/>
    </xf>
    <xf numFmtId="0" fontId="12" fillId="0" borderId="3" xfId="0" applyFont="1" applyBorder="1" applyAlignment="1">
      <alignment vertical="center"/>
    </xf>
    <xf numFmtId="0" fontId="11" fillId="0" borderId="1" xfId="0" applyFont="1" applyBorder="1" applyAlignment="1">
      <alignment horizontal="center" vertical="center" wrapText="1"/>
    </xf>
    <xf numFmtId="0" fontId="0" fillId="0" borderId="3" xfId="0" applyFont="1" applyFill="1" applyBorder="1"/>
    <xf numFmtId="0" fontId="6" fillId="0" borderId="0" xfId="0" applyFont="1" applyBorder="1" applyAlignment="1">
      <alignment vertical="center" wrapText="1"/>
    </xf>
    <xf numFmtId="0" fontId="6" fillId="0" borderId="2" xfId="0" applyFont="1" applyBorder="1" applyAlignment="1">
      <alignment vertical="center" wrapText="1"/>
    </xf>
    <xf numFmtId="0" fontId="11" fillId="0" borderId="3" xfId="0" applyFont="1" applyFill="1" applyBorder="1" applyAlignment="1">
      <alignment vertical="center" wrapText="1"/>
    </xf>
    <xf numFmtId="0" fontId="1" fillId="0" borderId="3" xfId="0" applyFont="1" applyFill="1" applyBorder="1" applyAlignment="1">
      <alignment vertical="center"/>
    </xf>
    <xf numFmtId="0" fontId="1" fillId="0" borderId="2" xfId="0" applyFont="1" applyFill="1" applyBorder="1" applyAlignment="1">
      <alignment vertical="center"/>
    </xf>
    <xf numFmtId="0" fontId="11" fillId="0" borderId="1" xfId="0" applyFont="1" applyBorder="1" applyAlignment="1">
      <alignment vertical="center" wrapText="1"/>
    </xf>
    <xf numFmtId="0" fontId="1" fillId="0" borderId="1" xfId="0" applyFont="1" applyFill="1" applyBorder="1" applyAlignment="1">
      <alignment horizontal="center" vertical="center"/>
    </xf>
    <xf numFmtId="0" fontId="12" fillId="0" borderId="1" xfId="0" applyFont="1" applyBorder="1" applyAlignment="1">
      <alignment vertical="center"/>
    </xf>
    <xf numFmtId="0" fontId="15" fillId="0" borderId="2" xfId="0" applyFont="1" applyFill="1" applyBorder="1" applyAlignment="1">
      <alignment vertical="center"/>
    </xf>
    <xf numFmtId="0" fontId="5" fillId="0" borderId="1" xfId="0" applyFont="1" applyBorder="1" applyAlignment="1">
      <alignment horizontal="center"/>
    </xf>
    <xf numFmtId="0" fontId="0" fillId="0" borderId="0" xfId="0" applyAlignment="1">
      <alignment horizontal="center" vertical="center"/>
    </xf>
    <xf numFmtId="0" fontId="0" fillId="0" borderId="0" xfId="0" applyFill="1" applyBorder="1" applyAlignment="1">
      <alignment horizontal="center" wrapText="1"/>
    </xf>
    <xf numFmtId="0" fontId="0" fillId="0" borderId="0" xfId="0" applyBorder="1" applyAlignment="1">
      <alignment horizontal="center" vertical="center"/>
    </xf>
    <xf numFmtId="0" fontId="14" fillId="0" borderId="3"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0" borderId="0" xfId="0" applyAlignment="1">
      <alignment horizontal="center" vertical="center" wrapText="1"/>
    </xf>
    <xf numFmtId="0" fontId="0" fillId="0" borderId="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2" xfId="0" applyFill="1" applyBorder="1" applyAlignment="1">
      <alignment horizontal="left" wrapText="1"/>
    </xf>
    <xf numFmtId="0" fontId="0" fillId="0" borderId="0" xfId="0" applyFill="1" applyBorder="1" applyAlignment="1">
      <alignment horizontal="left" wrapText="1"/>
    </xf>
    <xf numFmtId="0" fontId="0" fillId="0" borderId="28" xfId="0" applyFill="1" applyBorder="1" applyAlignment="1">
      <alignment horizontal="center" vertical="center"/>
    </xf>
    <xf numFmtId="0" fontId="0" fillId="0" borderId="16" xfId="0" applyFill="1" applyBorder="1" applyAlignment="1">
      <alignment horizontal="center" vertical="center"/>
    </xf>
    <xf numFmtId="0" fontId="11" fillId="0" borderId="1" xfId="0" applyFont="1" applyBorder="1" applyAlignment="1">
      <alignment horizontal="center" vertical="center" wrapText="1"/>
    </xf>
    <xf numFmtId="0" fontId="11" fillId="0" borderId="0" xfId="0" applyFont="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15" fillId="0" borderId="0" xfId="0" applyFont="1" applyFill="1" applyBorder="1" applyAlignment="1">
      <alignment horizontal="center" vertical="center"/>
    </xf>
    <xf numFmtId="0" fontId="15" fillId="0" borderId="3" xfId="0" applyFont="1" applyFill="1" applyBorder="1" applyAlignment="1">
      <alignment horizontal="center" vertical="center"/>
    </xf>
    <xf numFmtId="0" fontId="10" fillId="0" borderId="0" xfId="0" applyFont="1" applyAlignment="1">
      <alignment horizontal="center" wrapText="1"/>
    </xf>
    <xf numFmtId="0" fontId="14" fillId="0" borderId="1" xfId="0" applyFont="1" applyBorder="1" applyAlignment="1">
      <alignment horizontal="center"/>
    </xf>
    <xf numFmtId="0" fontId="15" fillId="0" borderId="2" xfId="0" applyFont="1" applyFill="1" applyBorder="1" applyAlignment="1">
      <alignment horizontal="center" vertical="center"/>
    </xf>
    <xf numFmtId="0" fontId="18" fillId="2" borderId="0" xfId="0" applyFont="1" applyFill="1" applyBorder="1" applyAlignment="1">
      <alignment horizontal="center" vertical="center"/>
    </xf>
    <xf numFmtId="0" fontId="18" fillId="2" borderId="17" xfId="0" applyFont="1" applyFill="1" applyBorder="1" applyAlignment="1">
      <alignment horizontal="center" vertical="center"/>
    </xf>
    <xf numFmtId="0" fontId="1" fillId="0" borderId="0" xfId="0" applyFont="1" applyFill="1" applyBorder="1" applyAlignment="1">
      <alignment horizontal="center"/>
    </xf>
    <xf numFmtId="0" fontId="15" fillId="0" borderId="0" xfId="0" applyFont="1" applyBorder="1" applyAlignment="1">
      <alignment horizontal="center" vertical="center"/>
    </xf>
    <xf numFmtId="0" fontId="15" fillId="0" borderId="2" xfId="0" applyFont="1" applyBorder="1" applyAlignment="1">
      <alignment horizontal="center" vertical="center"/>
    </xf>
    <xf numFmtId="0" fontId="13" fillId="0" borderId="0"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3" xfId="0" applyFont="1" applyBorder="1" applyAlignment="1">
      <alignment horizontal="center" vertical="center"/>
    </xf>
    <xf numFmtId="0" fontId="13" fillId="0" borderId="0" xfId="0" applyFont="1" applyBorder="1" applyAlignment="1">
      <alignment horizontal="center" vertical="center"/>
    </xf>
    <xf numFmtId="0" fontId="15" fillId="0" borderId="38" xfId="0" applyFont="1" applyBorder="1" applyAlignment="1">
      <alignment horizontal="center" vertical="center"/>
    </xf>
    <xf numFmtId="0" fontId="13" fillId="0" borderId="12" xfId="0" applyFont="1" applyBorder="1" applyAlignment="1">
      <alignment horizontal="center" vertical="center"/>
    </xf>
    <xf numFmtId="0" fontId="15" fillId="0" borderId="3" xfId="0" applyFont="1" applyBorder="1" applyAlignment="1">
      <alignment horizontal="center" vertical="center"/>
    </xf>
    <xf numFmtId="0" fontId="11" fillId="0" borderId="0" xfId="0" applyFont="1" applyFill="1" applyBorder="1" applyAlignment="1">
      <alignment horizontal="center" vertical="center"/>
    </xf>
    <xf numFmtId="0" fontId="15" fillId="0" borderId="12" xfId="0" applyFont="1" applyBorder="1" applyAlignment="1">
      <alignment horizontal="center" vertical="center"/>
    </xf>
    <xf numFmtId="0" fontId="18" fillId="7" borderId="12"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38" xfId="0" applyFont="1" applyFill="1" applyBorder="1" applyAlignment="1">
      <alignment horizontal="center" vertical="center"/>
    </xf>
    <xf numFmtId="0" fontId="18" fillId="8"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5" fillId="0" borderId="17" xfId="0" applyFont="1" applyBorder="1" applyAlignment="1">
      <alignment horizontal="center" vertical="center"/>
    </xf>
    <xf numFmtId="0" fontId="0" fillId="7" borderId="4" xfId="0" applyFill="1" applyBorder="1"/>
  </cellXfs>
  <cellStyles count="1">
    <cellStyle name="Normal" xfId="0" builtinId="0"/>
  </cellStyles>
  <dxfs count="9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152400</xdr:colOff>
          <xdr:row>1</xdr:row>
          <xdr:rowOff>19050</xdr:rowOff>
        </xdr:from>
        <xdr:to>
          <xdr:col>15</xdr:col>
          <xdr:colOff>600075</xdr:colOff>
          <xdr:row>41</xdr:row>
          <xdr:rowOff>19050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3406FF4-B229-4903-82F5-9B78E99D17C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5A709-3A3C-412A-9572-F5EE649C7AF5}">
  <dimension ref="A2:F77"/>
  <sheetViews>
    <sheetView topLeftCell="B10" workbookViewId="0">
      <selection activeCell="B8" sqref="B8"/>
    </sheetView>
  </sheetViews>
  <sheetFormatPr defaultRowHeight="14.4" x14ac:dyDescent="0.3"/>
  <cols>
    <col min="1" max="1" width="23" customWidth="1"/>
    <col min="2" max="2" width="88.5546875" customWidth="1"/>
    <col min="3" max="3" width="24.33203125" customWidth="1"/>
    <col min="4" max="4" width="46.109375" customWidth="1"/>
    <col min="5" max="5" width="37.77734375" customWidth="1"/>
  </cols>
  <sheetData>
    <row r="2" spans="1:5" ht="18" x14ac:dyDescent="0.35">
      <c r="A2" s="254" t="s">
        <v>111</v>
      </c>
      <c r="B2" s="254"/>
    </row>
    <row r="3" spans="1:5" ht="117" customHeight="1" x14ac:dyDescent="0.3">
      <c r="A3" t="s">
        <v>113</v>
      </c>
      <c r="B3" s="1" t="s">
        <v>112</v>
      </c>
    </row>
    <row r="4" spans="1:5" ht="113.4" customHeight="1" x14ac:dyDescent="0.3">
      <c r="A4" t="s">
        <v>114</v>
      </c>
      <c r="B4" s="1" t="s">
        <v>115</v>
      </c>
    </row>
    <row r="5" spans="1:5" ht="15.6" x14ac:dyDescent="0.3">
      <c r="A5" s="101" t="s">
        <v>116</v>
      </c>
      <c r="B5" s="102" t="s">
        <v>2</v>
      </c>
    </row>
    <row r="6" spans="1:5" ht="43.2" x14ac:dyDescent="0.3">
      <c r="A6" s="73" t="s">
        <v>121</v>
      </c>
      <c r="B6" s="1" t="s">
        <v>122</v>
      </c>
    </row>
    <row r="7" spans="1:5" ht="86.4" x14ac:dyDescent="0.3">
      <c r="A7" s="255" t="s">
        <v>119</v>
      </c>
      <c r="B7" s="1" t="s">
        <v>117</v>
      </c>
    </row>
    <row r="8" spans="1:5" ht="28.8" x14ac:dyDescent="0.3">
      <c r="A8" s="255"/>
      <c r="B8" s="1" t="s">
        <v>118</v>
      </c>
    </row>
    <row r="9" spans="1:5" ht="28.8" x14ac:dyDescent="0.3">
      <c r="A9" s="255"/>
      <c r="B9" s="1" t="s">
        <v>123</v>
      </c>
    </row>
    <row r="10" spans="1:5" ht="43.2" x14ac:dyDescent="0.3">
      <c r="A10" s="255"/>
      <c r="B10" s="1" t="s">
        <v>131</v>
      </c>
    </row>
    <row r="11" spans="1:5" ht="83.4" customHeight="1" x14ac:dyDescent="0.3">
      <c r="A11" s="73" t="s">
        <v>120</v>
      </c>
      <c r="B11" s="1" t="s">
        <v>124</v>
      </c>
    </row>
    <row r="12" spans="1:5" ht="204.6" customHeight="1" x14ac:dyDescent="0.3">
      <c r="A12" s="72" t="s">
        <v>129</v>
      </c>
      <c r="B12" s="6" t="s">
        <v>132</v>
      </c>
    </row>
    <row r="13" spans="1:5" ht="15" customHeight="1" x14ac:dyDescent="0.3">
      <c r="A13" s="142"/>
      <c r="B13" s="263" t="s">
        <v>140</v>
      </c>
      <c r="C13" s="30" t="s">
        <v>139</v>
      </c>
    </row>
    <row r="14" spans="1:5" ht="15" customHeight="1" x14ac:dyDescent="0.3">
      <c r="A14" s="142"/>
      <c r="B14" s="264"/>
      <c r="C14" s="26" t="s">
        <v>127</v>
      </c>
    </row>
    <row r="15" spans="1:5" ht="16.8" customHeight="1" x14ac:dyDescent="0.3">
      <c r="A15" s="142"/>
      <c r="B15" s="258" t="s">
        <v>228</v>
      </c>
      <c r="C15" s="261" t="s">
        <v>220</v>
      </c>
      <c r="D15" s="140" t="s">
        <v>194</v>
      </c>
      <c r="E15" s="16"/>
    </row>
    <row r="16" spans="1:5" ht="15" customHeight="1" x14ac:dyDescent="0.3">
      <c r="A16" s="142"/>
      <c r="B16" s="259"/>
      <c r="C16" s="257"/>
      <c r="D16" s="15" t="s">
        <v>128</v>
      </c>
      <c r="E16" s="4"/>
    </row>
    <row r="17" spans="1:6" ht="26.4" customHeight="1" x14ac:dyDescent="0.3">
      <c r="A17" s="142"/>
      <c r="B17" s="259"/>
      <c r="C17" s="257"/>
      <c r="D17" s="22" t="s">
        <v>208</v>
      </c>
      <c r="E17" s="4"/>
    </row>
    <row r="18" spans="1:6" ht="28.8" customHeight="1" x14ac:dyDescent="0.3">
      <c r="A18" s="142"/>
      <c r="B18" s="259"/>
      <c r="C18" s="257"/>
      <c r="D18" s="265" t="s">
        <v>224</v>
      </c>
      <c r="E18" s="104" t="s">
        <v>213</v>
      </c>
    </row>
    <row r="19" spans="1:6" ht="27" customHeight="1" x14ac:dyDescent="0.3">
      <c r="A19" s="142"/>
      <c r="B19" s="259"/>
      <c r="C19" s="257"/>
      <c r="D19" s="265"/>
      <c r="E19" s="104" t="s">
        <v>214</v>
      </c>
    </row>
    <row r="20" spans="1:6" ht="36.6" customHeight="1" x14ac:dyDescent="0.3">
      <c r="A20" s="142"/>
      <c r="B20" s="259"/>
      <c r="C20" s="257"/>
      <c r="D20" s="265"/>
      <c r="E20" s="104" t="s">
        <v>215</v>
      </c>
    </row>
    <row r="21" spans="1:6" ht="30" customHeight="1" x14ac:dyDescent="0.3">
      <c r="A21" s="142"/>
      <c r="B21" s="259"/>
      <c r="C21" s="262"/>
      <c r="D21" s="266"/>
      <c r="E21" s="104" t="s">
        <v>229</v>
      </c>
    </row>
    <row r="22" spans="1:6" ht="30" customHeight="1" x14ac:dyDescent="0.3">
      <c r="A22" s="142"/>
      <c r="B22" s="259"/>
      <c r="C22" s="257" t="s">
        <v>127</v>
      </c>
      <c r="D22" s="267" t="s">
        <v>225</v>
      </c>
      <c r="E22" s="104" t="s">
        <v>210</v>
      </c>
    </row>
    <row r="23" spans="1:6" ht="30" customHeight="1" x14ac:dyDescent="0.3">
      <c r="A23" s="142"/>
      <c r="B23" s="259"/>
      <c r="C23" s="257"/>
      <c r="D23" s="265"/>
      <c r="E23" s="104" t="s">
        <v>212</v>
      </c>
    </row>
    <row r="24" spans="1:6" ht="30" customHeight="1" x14ac:dyDescent="0.3">
      <c r="A24" s="142"/>
      <c r="B24" s="259"/>
      <c r="C24" s="257"/>
      <c r="D24" s="266"/>
      <c r="E24" s="104" t="s">
        <v>209</v>
      </c>
    </row>
    <row r="25" spans="1:6" ht="30" customHeight="1" x14ac:dyDescent="0.3">
      <c r="A25" s="142"/>
      <c r="B25" s="259"/>
      <c r="C25" s="257"/>
      <c r="D25" s="268" t="s">
        <v>226</v>
      </c>
      <c r="E25" s="104" t="s">
        <v>194</v>
      </c>
    </row>
    <row r="26" spans="1:6" ht="30" customHeight="1" x14ac:dyDescent="0.3">
      <c r="A26" s="142"/>
      <c r="B26" s="259"/>
      <c r="C26" s="257"/>
      <c r="D26" s="256"/>
      <c r="E26" s="104" t="s">
        <v>128</v>
      </c>
    </row>
    <row r="27" spans="1:6" ht="30" customHeight="1" x14ac:dyDescent="0.3">
      <c r="A27" s="142"/>
      <c r="B27" s="259"/>
      <c r="C27" s="257"/>
      <c r="D27" s="269"/>
      <c r="E27" s="104" t="s">
        <v>208</v>
      </c>
    </row>
    <row r="28" spans="1:6" ht="30" customHeight="1" x14ac:dyDescent="0.3">
      <c r="A28" s="142"/>
      <c r="B28" s="259"/>
      <c r="C28" s="257"/>
      <c r="D28" s="256" t="s">
        <v>227</v>
      </c>
      <c r="E28" s="104" t="s">
        <v>213</v>
      </c>
    </row>
    <row r="29" spans="1:6" ht="30" customHeight="1" x14ac:dyDescent="0.3">
      <c r="A29" s="142"/>
      <c r="B29" s="259"/>
      <c r="C29" s="257"/>
      <c r="D29" s="256"/>
      <c r="E29" s="104" t="s">
        <v>214</v>
      </c>
    </row>
    <row r="30" spans="1:6" ht="30" customHeight="1" x14ac:dyDescent="0.3">
      <c r="A30" s="142"/>
      <c r="B30" s="259"/>
      <c r="C30" s="257"/>
      <c r="D30" s="256"/>
      <c r="E30" s="104" t="s">
        <v>215</v>
      </c>
    </row>
    <row r="31" spans="1:6" ht="30" customHeight="1" x14ac:dyDescent="0.3">
      <c r="A31" s="142"/>
      <c r="B31" s="259"/>
      <c r="C31" s="257"/>
      <c r="D31" s="256"/>
      <c r="E31" s="104" t="s">
        <v>216</v>
      </c>
    </row>
    <row r="32" spans="1:6" ht="19.95" customHeight="1" x14ac:dyDescent="0.3">
      <c r="A32" s="153"/>
      <c r="B32" s="259"/>
      <c r="C32" s="261" t="s">
        <v>102</v>
      </c>
      <c r="D32" s="261" t="s">
        <v>220</v>
      </c>
      <c r="E32" s="104" t="s">
        <v>79</v>
      </c>
      <c r="F32" s="16" t="s">
        <v>138</v>
      </c>
    </row>
    <row r="33" spans="1:6" ht="19.95" customHeight="1" x14ac:dyDescent="0.3">
      <c r="A33" s="153"/>
      <c r="B33" s="259"/>
      <c r="C33" s="257"/>
      <c r="D33" s="257"/>
      <c r="E33" s="104" t="s">
        <v>136</v>
      </c>
      <c r="F33" s="16" t="s">
        <v>138</v>
      </c>
    </row>
    <row r="34" spans="1:6" ht="19.95" customHeight="1" x14ac:dyDescent="0.3">
      <c r="A34" s="153"/>
      <c r="B34" s="259"/>
      <c r="C34" s="257"/>
      <c r="D34" s="262"/>
      <c r="E34" s="30" t="s">
        <v>137</v>
      </c>
      <c r="F34" s="21" t="s">
        <v>138</v>
      </c>
    </row>
    <row r="35" spans="1:6" ht="19.95" customHeight="1" x14ac:dyDescent="0.3">
      <c r="A35" s="153"/>
      <c r="B35" s="259"/>
      <c r="C35" s="257"/>
      <c r="D35" s="261" t="s">
        <v>221</v>
      </c>
      <c r="E35" s="94" t="s">
        <v>79</v>
      </c>
      <c r="F35" s="16" t="s">
        <v>138</v>
      </c>
    </row>
    <row r="36" spans="1:6" ht="19.95" customHeight="1" x14ac:dyDescent="0.3">
      <c r="A36" s="153"/>
      <c r="B36" s="259"/>
      <c r="C36" s="257"/>
      <c r="D36" s="257"/>
      <c r="E36" s="104" t="s">
        <v>136</v>
      </c>
      <c r="F36" s="16" t="s">
        <v>138</v>
      </c>
    </row>
    <row r="37" spans="1:6" ht="19.95" customHeight="1" x14ac:dyDescent="0.3">
      <c r="A37" s="153"/>
      <c r="B37" s="259"/>
      <c r="C37" s="262"/>
      <c r="D37" s="262"/>
      <c r="E37" s="30" t="s">
        <v>137</v>
      </c>
      <c r="F37" s="21" t="s">
        <v>138</v>
      </c>
    </row>
    <row r="38" spans="1:6" ht="19.95" customHeight="1" x14ac:dyDescent="0.3">
      <c r="A38" s="153"/>
      <c r="B38" s="259"/>
      <c r="C38" s="261" t="s">
        <v>21</v>
      </c>
      <c r="D38" s="261" t="s">
        <v>220</v>
      </c>
      <c r="E38" s="4" t="s">
        <v>79</v>
      </c>
      <c r="F38" s="16" t="s">
        <v>138</v>
      </c>
    </row>
    <row r="39" spans="1:6" ht="19.95" customHeight="1" x14ac:dyDescent="0.3">
      <c r="A39" s="153"/>
      <c r="B39" s="259"/>
      <c r="C39" s="257"/>
      <c r="D39" s="257"/>
      <c r="E39" s="104" t="s">
        <v>222</v>
      </c>
      <c r="F39" s="16" t="s">
        <v>138</v>
      </c>
    </row>
    <row r="40" spans="1:6" ht="19.95" customHeight="1" x14ac:dyDescent="0.3">
      <c r="A40" s="153"/>
      <c r="B40" s="259"/>
      <c r="C40" s="257"/>
      <c r="D40" s="262"/>
      <c r="E40" s="30" t="s">
        <v>223</v>
      </c>
      <c r="F40" s="16" t="s">
        <v>138</v>
      </c>
    </row>
    <row r="41" spans="1:6" ht="19.95" customHeight="1" x14ac:dyDescent="0.3">
      <c r="A41" s="153"/>
      <c r="B41" s="259"/>
      <c r="C41" s="257"/>
      <c r="D41" s="261" t="s">
        <v>221</v>
      </c>
      <c r="E41" s="4" t="s">
        <v>79</v>
      </c>
      <c r="F41" s="16" t="s">
        <v>138</v>
      </c>
    </row>
    <row r="42" spans="1:6" ht="19.95" customHeight="1" x14ac:dyDescent="0.3">
      <c r="A42" s="153"/>
      <c r="B42" s="259"/>
      <c r="C42" s="257"/>
      <c r="D42" s="257"/>
      <c r="E42" s="104" t="s">
        <v>222</v>
      </c>
      <c r="F42" s="16" t="s">
        <v>138</v>
      </c>
    </row>
    <row r="43" spans="1:6" ht="19.95" customHeight="1" x14ac:dyDescent="0.3">
      <c r="A43" s="153"/>
      <c r="B43" s="260"/>
      <c r="C43" s="262"/>
      <c r="D43" s="262"/>
      <c r="E43" s="30" t="s">
        <v>223</v>
      </c>
      <c r="F43" s="16" t="s">
        <v>138</v>
      </c>
    </row>
    <row r="44" spans="1:6" ht="61.2" customHeight="1" x14ac:dyDescent="0.3">
      <c r="A44" s="100" t="s">
        <v>134</v>
      </c>
      <c r="B44" s="23" t="s">
        <v>230</v>
      </c>
    </row>
    <row r="45" spans="1:6" ht="87.6" x14ac:dyDescent="0.4">
      <c r="A45" s="74" t="s">
        <v>133</v>
      </c>
      <c r="B45" s="34" t="s">
        <v>135</v>
      </c>
      <c r="D45" s="103"/>
      <c r="E45" s="36"/>
      <c r="F45" s="15"/>
    </row>
    <row r="46" spans="1:6" x14ac:dyDescent="0.3">
      <c r="D46" s="103"/>
    </row>
    <row r="47" spans="1:6" x14ac:dyDescent="0.3">
      <c r="D47" s="103"/>
    </row>
    <row r="48" spans="1:6" x14ac:dyDescent="0.3">
      <c r="D48" s="103"/>
    </row>
    <row r="49" spans="2:4" x14ac:dyDescent="0.3">
      <c r="D49" s="103"/>
    </row>
    <row r="50" spans="2:4" x14ac:dyDescent="0.3">
      <c r="D50" s="103"/>
    </row>
    <row r="51" spans="2:4" ht="14.4" customHeight="1" x14ac:dyDescent="0.3"/>
    <row r="53" spans="2:4" x14ac:dyDescent="0.3">
      <c r="D53" s="103"/>
    </row>
    <row r="54" spans="2:4" s="103" customFormat="1" ht="15" customHeight="1" x14ac:dyDescent="0.3">
      <c r="B54" s="156"/>
      <c r="C54" s="15"/>
      <c r="D54" s="98"/>
    </row>
    <row r="55" spans="2:4" s="103" customFormat="1" ht="15" customHeight="1" x14ac:dyDescent="0.3">
      <c r="B55" s="156"/>
      <c r="C55" s="15"/>
      <c r="D55" s="98"/>
    </row>
    <row r="56" spans="2:4" s="103" customFormat="1" ht="15" customHeight="1" x14ac:dyDescent="0.3">
      <c r="B56" s="156"/>
      <c r="C56" s="15"/>
      <c r="D56" s="98"/>
    </row>
    <row r="57" spans="2:4" s="103" customFormat="1" ht="15" customHeight="1" x14ac:dyDescent="0.3">
      <c r="B57" s="156"/>
      <c r="C57" s="11"/>
      <c r="D57" s="59"/>
    </row>
    <row r="58" spans="2:4" s="103" customFormat="1" ht="15" customHeight="1" x14ac:dyDescent="0.3">
      <c r="B58" s="155"/>
      <c r="C58" s="15"/>
      <c r="D58" s="96"/>
    </row>
    <row r="59" spans="2:4" s="103" customFormat="1" ht="15" customHeight="1" x14ac:dyDescent="0.3">
      <c r="B59" s="155"/>
      <c r="C59" s="15"/>
      <c r="D59" s="96"/>
    </row>
    <row r="60" spans="2:4" s="103" customFormat="1" ht="15" customHeight="1" x14ac:dyDescent="0.3">
      <c r="B60" s="155"/>
      <c r="C60" s="15"/>
      <c r="D60" s="96"/>
    </row>
    <row r="61" spans="2:4" s="103" customFormat="1" ht="15" customHeight="1" x14ac:dyDescent="0.3">
      <c r="B61" s="155"/>
      <c r="C61" s="15"/>
      <c r="D61" s="96"/>
    </row>
    <row r="62" spans="2:4" s="103" customFormat="1" ht="15" customHeight="1" x14ac:dyDescent="0.3">
      <c r="B62" s="155"/>
      <c r="C62" s="91"/>
      <c r="D62" s="92"/>
    </row>
    <row r="63" spans="2:4" s="103" customFormat="1" ht="15" customHeight="1" x14ac:dyDescent="0.3">
      <c r="B63" s="157"/>
      <c r="C63" s="15"/>
      <c r="D63" s="96"/>
    </row>
    <row r="64" spans="2:4" s="103" customFormat="1" ht="15" customHeight="1" x14ac:dyDescent="0.3">
      <c r="B64" s="157"/>
      <c r="C64" s="15"/>
      <c r="D64" s="96"/>
    </row>
    <row r="65" spans="2:4" s="103" customFormat="1" ht="15" customHeight="1" x14ac:dyDescent="0.3">
      <c r="B65" s="157"/>
      <c r="C65" s="15"/>
      <c r="D65" s="96"/>
    </row>
    <row r="66" spans="2:4" s="103" customFormat="1" ht="15" customHeight="1" x14ac:dyDescent="0.3">
      <c r="B66" s="157"/>
      <c r="C66" s="11"/>
      <c r="D66" s="59"/>
    </row>
    <row r="67" spans="2:4" s="103" customFormat="1" ht="15" customHeight="1" x14ac:dyDescent="0.3">
      <c r="B67" s="157"/>
      <c r="C67" s="15"/>
      <c r="D67" s="98"/>
    </row>
    <row r="68" spans="2:4" s="103" customFormat="1" ht="15" customHeight="1" x14ac:dyDescent="0.3">
      <c r="B68" s="157"/>
      <c r="C68" s="15"/>
      <c r="D68" s="98"/>
    </row>
    <row r="69" spans="2:4" s="103" customFormat="1" ht="15" customHeight="1" x14ac:dyDescent="0.3">
      <c r="B69" s="157"/>
      <c r="C69" s="15"/>
      <c r="D69" s="98"/>
    </row>
    <row r="70" spans="2:4" s="103" customFormat="1" ht="15" customHeight="1" x14ac:dyDescent="0.3">
      <c r="B70" s="157"/>
      <c r="C70" s="11"/>
      <c r="D70" s="59"/>
    </row>
    <row r="71" spans="2:4" s="103" customFormat="1" ht="15" customHeight="1" x14ac:dyDescent="0.3">
      <c r="B71" s="155"/>
      <c r="C71" s="15"/>
      <c r="D71" s="96"/>
    </row>
    <row r="72" spans="2:4" s="103" customFormat="1" ht="15" customHeight="1" x14ac:dyDescent="0.3">
      <c r="B72" s="155"/>
      <c r="C72" s="15"/>
      <c r="D72" s="154"/>
    </row>
    <row r="73" spans="2:4" s="103" customFormat="1" ht="15" customHeight="1" x14ac:dyDescent="0.3">
      <c r="B73" s="155"/>
      <c r="C73" s="15"/>
      <c r="D73" s="96"/>
    </row>
    <row r="74" spans="2:4" s="103" customFormat="1" ht="15" customHeight="1" x14ac:dyDescent="0.3">
      <c r="B74" s="155"/>
      <c r="C74" s="15"/>
      <c r="D74" s="96"/>
    </row>
    <row r="75" spans="2:4" s="103" customFormat="1" ht="15" customHeight="1" x14ac:dyDescent="0.3">
      <c r="B75" s="155"/>
      <c r="C75" s="91"/>
      <c r="D75" s="78"/>
    </row>
    <row r="76" spans="2:4" s="103" customFormat="1" ht="15" customHeight="1" x14ac:dyDescent="0.3"/>
    <row r="77" spans="2:4" s="103" customFormat="1" ht="15" customHeight="1" x14ac:dyDescent="0.3"/>
  </sheetData>
  <mergeCells count="16">
    <mergeCell ref="A2:B2"/>
    <mergeCell ref="A7:A10"/>
    <mergeCell ref="D28:D31"/>
    <mergeCell ref="C22:C31"/>
    <mergeCell ref="B15:B43"/>
    <mergeCell ref="C38:C43"/>
    <mergeCell ref="D38:D40"/>
    <mergeCell ref="D41:D43"/>
    <mergeCell ref="D35:D37"/>
    <mergeCell ref="D32:D34"/>
    <mergeCell ref="C32:C37"/>
    <mergeCell ref="B13:B14"/>
    <mergeCell ref="D18:D21"/>
    <mergeCell ref="C15:C21"/>
    <mergeCell ref="D22:D24"/>
    <mergeCell ref="D25: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812A-3444-4CBD-9497-C91A0322CF39}">
  <dimension ref="A1"/>
  <sheetViews>
    <sheetView workbookViewId="0">
      <selection activeCell="S17" sqref="S17"/>
    </sheetView>
  </sheetViews>
  <sheetFormatPr defaultRowHeight="14.4" x14ac:dyDescent="0.3"/>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5127" r:id="rId4">
          <objectPr defaultSize="0" r:id="rId5">
            <anchor moveWithCells="1">
              <from>
                <xdr:col>0</xdr:col>
                <xdr:colOff>152400</xdr:colOff>
                <xdr:row>1</xdr:row>
                <xdr:rowOff>22860</xdr:rowOff>
              </from>
              <to>
                <xdr:col>15</xdr:col>
                <xdr:colOff>601980</xdr:colOff>
                <xdr:row>41</xdr:row>
                <xdr:rowOff>22860</xdr:rowOff>
              </to>
            </anchor>
          </objectPr>
        </oleObject>
      </mc:Choice>
      <mc:Fallback>
        <oleObject progId="Visio.Drawing.15" shapeId="5127"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649C5-F025-40DC-A23C-E013409B5359}">
  <dimension ref="A1:U153"/>
  <sheetViews>
    <sheetView tabSelected="1" topLeftCell="A4" zoomScaleNormal="100" workbookViewId="0">
      <selection activeCell="D3" sqref="D3"/>
    </sheetView>
  </sheetViews>
  <sheetFormatPr defaultRowHeight="14.4" x14ac:dyDescent="0.3"/>
  <cols>
    <col min="1" max="1" width="41.6640625" customWidth="1"/>
    <col min="2" max="2" width="43" customWidth="1"/>
    <col min="3" max="3" width="13.5546875" customWidth="1"/>
    <col min="4" max="4" width="13" customWidth="1"/>
    <col min="5" max="5" width="13.33203125" customWidth="1"/>
    <col min="6" max="6" width="14.33203125" customWidth="1"/>
    <col min="7" max="7" width="15.109375" customWidth="1"/>
    <col min="8" max="8" width="14.109375" customWidth="1"/>
    <col min="9" max="9" width="24.33203125" customWidth="1"/>
    <col min="10" max="10" width="18.33203125" customWidth="1"/>
    <col min="11" max="11" width="24.6640625" customWidth="1"/>
  </cols>
  <sheetData>
    <row r="1" spans="1:21" s="12" customFormat="1" ht="21.6" thickBot="1" x14ac:dyDescent="0.45">
      <c r="A1" s="12" t="s">
        <v>38</v>
      </c>
      <c r="G1" s="63"/>
      <c r="H1" s="64" t="s">
        <v>104</v>
      </c>
      <c r="I1" s="66"/>
      <c r="K1" s="65"/>
    </row>
    <row r="2" spans="1:21" ht="44.4" thickTop="1" thickBot="1" x14ac:dyDescent="0.35">
      <c r="A2" s="32" t="s">
        <v>39</v>
      </c>
      <c r="B2" s="21" t="s">
        <v>204</v>
      </c>
      <c r="C2" s="32" t="s">
        <v>40</v>
      </c>
      <c r="D2" s="113" t="s">
        <v>41</v>
      </c>
      <c r="E2" s="113" t="s">
        <v>326</v>
      </c>
      <c r="F2" s="113" t="s">
        <v>43</v>
      </c>
      <c r="G2" s="113" t="s">
        <v>44</v>
      </c>
      <c r="H2" s="111" t="s">
        <v>142</v>
      </c>
      <c r="I2" s="108" t="s">
        <v>144</v>
      </c>
      <c r="J2" s="68"/>
      <c r="K2" s="4"/>
      <c r="R2" s="4"/>
      <c r="S2" s="4"/>
      <c r="T2" s="4"/>
    </row>
    <row r="3" spans="1:21" ht="15.6" thickTop="1" thickBot="1" x14ac:dyDescent="0.35">
      <c r="A3" s="106" t="s">
        <v>297</v>
      </c>
      <c r="B3" s="105">
        <v>1</v>
      </c>
      <c r="C3" s="105">
        <v>0.7</v>
      </c>
      <c r="D3" s="105">
        <v>100000</v>
      </c>
      <c r="E3" s="105">
        <v>12</v>
      </c>
      <c r="F3" s="310">
        <f>E3</f>
        <v>12</v>
      </c>
      <c r="G3" s="105">
        <v>0</v>
      </c>
      <c r="H3" s="116" t="s">
        <v>143</v>
      </c>
      <c r="I3" s="109" t="s">
        <v>145</v>
      </c>
      <c r="J3" s="68"/>
      <c r="K3" s="4"/>
      <c r="T3" s="4"/>
    </row>
    <row r="4" spans="1:21" ht="15.6" thickTop="1" thickBot="1" x14ac:dyDescent="0.35">
      <c r="A4" s="106" t="s">
        <v>298</v>
      </c>
      <c r="B4" s="105">
        <v>1</v>
      </c>
      <c r="C4" s="105">
        <v>0</v>
      </c>
      <c r="D4" s="105">
        <v>0</v>
      </c>
      <c r="E4" s="105">
        <v>0</v>
      </c>
      <c r="F4" s="310">
        <f>E4</f>
        <v>0</v>
      </c>
      <c r="G4" s="105">
        <v>0</v>
      </c>
      <c r="H4" s="117"/>
      <c r="I4" s="110" t="s">
        <v>141</v>
      </c>
      <c r="J4" s="68"/>
      <c r="K4" s="4"/>
    </row>
    <row r="5" spans="1:21" ht="15" thickBot="1" x14ac:dyDescent="0.35">
      <c r="A5" s="106" t="s">
        <v>299</v>
      </c>
      <c r="B5" s="105">
        <v>1</v>
      </c>
      <c r="C5" s="105">
        <v>0</v>
      </c>
      <c r="D5" s="105">
        <v>0</v>
      </c>
      <c r="E5" s="105">
        <v>0</v>
      </c>
      <c r="F5" s="310">
        <f>E5</f>
        <v>0</v>
      </c>
      <c r="G5" s="105">
        <v>0</v>
      </c>
      <c r="H5" s="69"/>
      <c r="I5" s="70"/>
      <c r="J5" s="71"/>
      <c r="K5" s="4"/>
    </row>
    <row r="6" spans="1:21" x14ac:dyDescent="0.3">
      <c r="A6" s="106" t="s">
        <v>300</v>
      </c>
      <c r="B6" s="105">
        <v>2</v>
      </c>
      <c r="C6" s="105">
        <v>0</v>
      </c>
      <c r="D6" s="105">
        <v>0</v>
      </c>
      <c r="E6" s="105">
        <v>0</v>
      </c>
      <c r="F6" s="310">
        <f>E6</f>
        <v>0</v>
      </c>
      <c r="G6" s="105">
        <v>0</v>
      </c>
      <c r="H6" s="4"/>
      <c r="I6" s="4"/>
      <c r="J6" s="4"/>
      <c r="K6" s="4"/>
    </row>
    <row r="7" spans="1:21" x14ac:dyDescent="0.3">
      <c r="A7" s="106" t="s">
        <v>301</v>
      </c>
      <c r="B7" s="105">
        <v>3</v>
      </c>
      <c r="C7" s="105">
        <v>0</v>
      </c>
      <c r="D7" s="105">
        <v>0</v>
      </c>
      <c r="E7" s="105">
        <v>0</v>
      </c>
      <c r="F7" s="310">
        <f>E7</f>
        <v>0</v>
      </c>
      <c r="G7" s="105">
        <v>0</v>
      </c>
      <c r="H7" s="4"/>
      <c r="I7" s="4"/>
      <c r="J7" s="4"/>
      <c r="K7" s="4"/>
    </row>
    <row r="8" spans="1:21" ht="46.95" customHeight="1" thickBot="1" x14ac:dyDescent="0.35">
      <c r="A8" s="15"/>
      <c r="B8" s="4"/>
      <c r="D8" t="s">
        <v>184</v>
      </c>
      <c r="K8" s="70"/>
      <c r="L8" s="70"/>
      <c r="M8" s="70"/>
      <c r="N8" s="70"/>
      <c r="O8" s="70"/>
      <c r="P8" s="70"/>
      <c r="Q8" s="70"/>
      <c r="R8" s="70"/>
      <c r="S8" s="70"/>
      <c r="T8" s="70"/>
      <c r="U8" s="4"/>
    </row>
    <row r="9" spans="1:21" ht="21.6" thickBot="1" x14ac:dyDescent="0.45">
      <c r="A9" s="40" t="s">
        <v>45</v>
      </c>
      <c r="B9" s="31"/>
      <c r="C9" s="31"/>
      <c r="D9" s="159"/>
      <c r="E9" s="159"/>
      <c r="F9" s="159"/>
      <c r="G9" s="159"/>
      <c r="H9" s="159"/>
      <c r="I9" s="159"/>
      <c r="J9" s="24"/>
      <c r="K9" s="125" t="s">
        <v>164</v>
      </c>
      <c r="L9" s="126"/>
      <c r="M9" s="126"/>
      <c r="N9" s="126"/>
      <c r="O9" s="126"/>
      <c r="P9" s="126"/>
      <c r="Q9" s="126"/>
      <c r="R9" s="126"/>
      <c r="S9" s="126"/>
      <c r="T9" s="127"/>
      <c r="U9" s="67"/>
    </row>
    <row r="10" spans="1:21" x14ac:dyDescent="0.3">
      <c r="A10" s="4" t="s">
        <v>46</v>
      </c>
      <c r="B10" s="4"/>
      <c r="C10" s="4"/>
      <c r="D10" s="270" t="s">
        <v>47</v>
      </c>
      <c r="E10" s="270"/>
      <c r="F10" s="270"/>
      <c r="G10" s="270"/>
      <c r="H10" s="158"/>
      <c r="I10" s="7"/>
      <c r="J10" s="26"/>
      <c r="K10" s="128" t="s">
        <v>74</v>
      </c>
      <c r="L10" s="4"/>
      <c r="M10" s="4"/>
      <c r="N10" s="4"/>
      <c r="O10" s="4"/>
      <c r="P10" s="4"/>
      <c r="Q10" s="4"/>
      <c r="R10" s="4"/>
      <c r="S10" s="4"/>
      <c r="T10" s="68"/>
    </row>
    <row r="11" spans="1:21" ht="32.4" customHeight="1" x14ac:dyDescent="0.3">
      <c r="A11" s="21" t="s">
        <v>48</v>
      </c>
      <c r="B11" s="34" t="s">
        <v>49</v>
      </c>
      <c r="C11" s="34" t="s">
        <v>27</v>
      </c>
      <c r="D11" s="74" t="s">
        <v>69</v>
      </c>
      <c r="E11" s="29" t="s">
        <v>171</v>
      </c>
      <c r="F11" s="29" t="s">
        <v>169</v>
      </c>
      <c r="G11" s="29" t="s">
        <v>170</v>
      </c>
      <c r="H11" s="29" t="s">
        <v>202</v>
      </c>
      <c r="I11" s="29" t="s">
        <v>203</v>
      </c>
      <c r="K11" s="119" t="s">
        <v>78</v>
      </c>
      <c r="L11" s="21" t="s">
        <v>157</v>
      </c>
      <c r="M11" s="21" t="s">
        <v>158</v>
      </c>
      <c r="N11" s="21" t="s">
        <v>159</v>
      </c>
      <c r="O11" s="21" t="s">
        <v>160</v>
      </c>
      <c r="P11" s="21" t="s">
        <v>161</v>
      </c>
      <c r="Q11" s="21" t="s">
        <v>162</v>
      </c>
      <c r="R11" s="21" t="s">
        <v>163</v>
      </c>
      <c r="S11" s="21" t="s">
        <v>149</v>
      </c>
      <c r="T11" s="120" t="s">
        <v>150</v>
      </c>
    </row>
    <row r="12" spans="1:21" x14ac:dyDescent="0.3">
      <c r="A12" s="107" t="s">
        <v>50</v>
      </c>
      <c r="B12" s="107" t="s">
        <v>51</v>
      </c>
      <c r="C12" s="107">
        <v>2.2590361445783101E-3</v>
      </c>
      <c r="D12" s="4">
        <v>0</v>
      </c>
      <c r="E12" s="9">
        <f t="shared" ref="E12:E21" si="0">$C12*$D12*$D$3</f>
        <v>0</v>
      </c>
      <c r="F12" s="9">
        <f>$C12*$D12*$D$4</f>
        <v>0</v>
      </c>
      <c r="G12" s="9">
        <f>$C12*$D12*$D$5</f>
        <v>0</v>
      </c>
      <c r="H12" s="9">
        <f>$C12*$D12*$D$6</f>
        <v>0</v>
      </c>
      <c r="I12" s="9">
        <f>$C12*$D12*$D$7</f>
        <v>0</v>
      </c>
      <c r="K12" s="67" t="s">
        <v>50</v>
      </c>
      <c r="L12" s="4">
        <v>0</v>
      </c>
      <c r="M12" s="4">
        <v>0</v>
      </c>
      <c r="N12" s="4">
        <v>0</v>
      </c>
      <c r="O12" s="4">
        <v>0</v>
      </c>
      <c r="P12" s="4">
        <v>0</v>
      </c>
      <c r="Q12" s="4">
        <v>0</v>
      </c>
      <c r="R12" s="4">
        <v>0</v>
      </c>
      <c r="S12" s="4">
        <v>0</v>
      </c>
      <c r="T12" s="68">
        <v>0</v>
      </c>
    </row>
    <row r="13" spans="1:21" x14ac:dyDescent="0.3">
      <c r="A13" s="107" t="s">
        <v>52</v>
      </c>
      <c r="B13" s="107" t="s">
        <v>53</v>
      </c>
      <c r="C13" s="107">
        <v>5.5421686746987995E-4</v>
      </c>
      <c r="D13" s="4">
        <v>0.20762729999999999</v>
      </c>
      <c r="E13" s="9">
        <f t="shared" si="0"/>
        <v>11.507055180722901</v>
      </c>
      <c r="F13" s="9">
        <f t="shared" ref="F13:F21" si="1">$C13*$D13*$D$4</f>
        <v>0</v>
      </c>
      <c r="G13" s="9">
        <f t="shared" ref="G13:G21" si="2">$C13*$D13*$D$5</f>
        <v>0</v>
      </c>
      <c r="H13" s="9">
        <f t="shared" ref="H13:H21" si="3">$C13*$D13*$D$6</f>
        <v>0</v>
      </c>
      <c r="I13" s="9">
        <f t="shared" ref="I13:I21" si="4">$C13*$D13*$D$7</f>
        <v>0</v>
      </c>
      <c r="K13" s="67" t="s">
        <v>151</v>
      </c>
      <c r="L13" s="4">
        <v>0</v>
      </c>
      <c r="M13" s="4">
        <v>0</v>
      </c>
      <c r="N13" s="4">
        <v>0</v>
      </c>
      <c r="O13" s="4">
        <v>9.9699999999999997E-3</v>
      </c>
      <c r="P13" s="4">
        <v>2.698325E-2</v>
      </c>
      <c r="Q13" s="4">
        <v>5.8091900000000002E-2</v>
      </c>
      <c r="R13" s="4">
        <v>0.20762729999999999</v>
      </c>
      <c r="S13" s="4">
        <v>2.3526457899999999E-2</v>
      </c>
      <c r="T13" s="68">
        <v>5.0384724300000003E-2</v>
      </c>
    </row>
    <row r="14" spans="1:21" x14ac:dyDescent="0.3">
      <c r="A14" s="107" t="s">
        <v>54</v>
      </c>
      <c r="B14" s="107" t="s">
        <v>53</v>
      </c>
      <c r="C14" s="107">
        <v>5.5421686746987995E-4</v>
      </c>
      <c r="D14" s="4">
        <v>4.6293300000000001E-3</v>
      </c>
      <c r="E14" s="9">
        <f t="shared" si="0"/>
        <v>0.25656527710843391</v>
      </c>
      <c r="F14" s="9">
        <f t="shared" si="1"/>
        <v>0</v>
      </c>
      <c r="G14" s="9">
        <f t="shared" si="2"/>
        <v>0</v>
      </c>
      <c r="H14" s="9">
        <f t="shared" si="3"/>
        <v>0</v>
      </c>
      <c r="I14" s="9">
        <f t="shared" si="4"/>
        <v>0</v>
      </c>
      <c r="K14" s="67" t="s">
        <v>152</v>
      </c>
      <c r="L14" s="4">
        <v>0</v>
      </c>
      <c r="M14" s="4">
        <v>0</v>
      </c>
      <c r="N14" s="4">
        <v>0</v>
      </c>
      <c r="O14" s="4">
        <v>0</v>
      </c>
      <c r="P14" s="4">
        <v>5.325E-5</v>
      </c>
      <c r="Q14" s="4">
        <v>8.6499999999999999E-4</v>
      </c>
      <c r="R14" s="4">
        <v>4.6293300000000001E-3</v>
      </c>
      <c r="S14" s="4">
        <v>3.0618950000000001E-4</v>
      </c>
      <c r="T14" s="68">
        <v>1.0569462000000001E-3</v>
      </c>
    </row>
    <row r="15" spans="1:21" x14ac:dyDescent="0.3">
      <c r="A15" s="107" t="s">
        <v>55</v>
      </c>
      <c r="B15" s="107" t="s">
        <v>56</v>
      </c>
      <c r="C15" s="107">
        <v>1.5963855421686701E-4</v>
      </c>
      <c r="D15" s="4">
        <v>0</v>
      </c>
      <c r="E15" s="9">
        <f t="shared" si="0"/>
        <v>0</v>
      </c>
      <c r="F15" s="9">
        <f t="shared" si="1"/>
        <v>0</v>
      </c>
      <c r="G15" s="9">
        <f t="shared" si="2"/>
        <v>0</v>
      </c>
      <c r="H15" s="9">
        <f t="shared" si="3"/>
        <v>0</v>
      </c>
      <c r="I15" s="9">
        <f t="shared" si="4"/>
        <v>0</v>
      </c>
      <c r="K15" s="67" t="s">
        <v>155</v>
      </c>
      <c r="L15" s="4">
        <v>0</v>
      </c>
      <c r="M15" s="4">
        <v>0</v>
      </c>
      <c r="N15" s="4">
        <v>0</v>
      </c>
      <c r="O15" s="4">
        <v>0</v>
      </c>
      <c r="P15" s="4">
        <v>0</v>
      </c>
      <c r="Q15" s="4">
        <v>0</v>
      </c>
      <c r="R15" s="4">
        <v>0</v>
      </c>
      <c r="S15" s="4">
        <v>0</v>
      </c>
      <c r="T15" s="68">
        <v>0</v>
      </c>
    </row>
    <row r="16" spans="1:21" x14ac:dyDescent="0.3">
      <c r="A16" s="107" t="s">
        <v>57</v>
      </c>
      <c r="B16" s="107" t="s">
        <v>58</v>
      </c>
      <c r="C16" s="107">
        <v>6.1536144578313197E-3</v>
      </c>
      <c r="D16" s="4">
        <v>2.0902E-2</v>
      </c>
      <c r="E16" s="9">
        <f t="shared" si="0"/>
        <v>12.862284939759025</v>
      </c>
      <c r="F16" s="9">
        <f t="shared" si="1"/>
        <v>0</v>
      </c>
      <c r="G16" s="9">
        <f t="shared" si="2"/>
        <v>0</v>
      </c>
      <c r="H16" s="9">
        <f t="shared" si="3"/>
        <v>0</v>
      </c>
      <c r="I16" s="9">
        <f t="shared" si="4"/>
        <v>0</v>
      </c>
      <c r="K16" s="67" t="s">
        <v>156</v>
      </c>
      <c r="L16" s="4">
        <v>0</v>
      </c>
      <c r="M16" s="4">
        <v>0</v>
      </c>
      <c r="N16" s="4">
        <v>0</v>
      </c>
      <c r="O16" s="4">
        <v>0</v>
      </c>
      <c r="P16" s="4">
        <v>4.57E-4</v>
      </c>
      <c r="Q16" s="4">
        <v>4.0879999999999996E-3</v>
      </c>
      <c r="R16" s="4">
        <v>2.0902E-2</v>
      </c>
      <c r="S16" s="4">
        <v>1.4292839E-3</v>
      </c>
      <c r="T16" s="68">
        <v>4.8381987E-3</v>
      </c>
    </row>
    <row r="17" spans="1:20" x14ac:dyDescent="0.3">
      <c r="A17" s="107" t="s">
        <v>59</v>
      </c>
      <c r="B17" s="107" t="s">
        <v>60</v>
      </c>
      <c r="C17" s="107">
        <v>3.6144578313253002E-4</v>
      </c>
      <c r="D17" s="4">
        <v>3.5260500000000002E-3</v>
      </c>
      <c r="E17" s="9">
        <f t="shared" si="0"/>
        <v>0.12744759036144576</v>
      </c>
      <c r="F17" s="9">
        <f t="shared" si="1"/>
        <v>0</v>
      </c>
      <c r="G17" s="9">
        <f t="shared" si="2"/>
        <v>0</v>
      </c>
      <c r="H17" s="9">
        <f t="shared" si="3"/>
        <v>0</v>
      </c>
      <c r="I17" s="9">
        <f t="shared" si="4"/>
        <v>0</v>
      </c>
      <c r="K17" s="67" t="s">
        <v>154</v>
      </c>
      <c r="L17" s="4">
        <v>0</v>
      </c>
      <c r="M17" s="4">
        <v>0</v>
      </c>
      <c r="N17" s="4">
        <v>0</v>
      </c>
      <c r="O17" s="4">
        <v>1.4999999999999999E-4</v>
      </c>
      <c r="P17" s="4">
        <v>4.5724999999999997E-4</v>
      </c>
      <c r="Q17" s="4">
        <v>1.0321E-3</v>
      </c>
      <c r="R17" s="4">
        <v>3.5260500000000002E-3</v>
      </c>
      <c r="S17" s="4">
        <v>4.0119610000000002E-4</v>
      </c>
      <c r="T17" s="68">
        <v>8.8627479999999999E-4</v>
      </c>
    </row>
    <row r="18" spans="1:20" x14ac:dyDescent="0.3">
      <c r="A18" s="107" t="s">
        <v>57</v>
      </c>
      <c r="B18" s="107" t="s">
        <v>61</v>
      </c>
      <c r="C18" s="107">
        <v>3.5030120481927699E-3</v>
      </c>
      <c r="D18" s="4">
        <v>2.0902E-2</v>
      </c>
      <c r="E18" s="9">
        <f t="shared" si="0"/>
        <v>7.3219957831325271</v>
      </c>
      <c r="F18" s="9">
        <f t="shared" si="1"/>
        <v>0</v>
      </c>
      <c r="G18" s="9">
        <f t="shared" si="2"/>
        <v>0</v>
      </c>
      <c r="H18" s="9">
        <f t="shared" si="3"/>
        <v>0</v>
      </c>
      <c r="I18" s="9">
        <f t="shared" si="4"/>
        <v>0</v>
      </c>
      <c r="K18" s="67" t="s">
        <v>156</v>
      </c>
      <c r="L18" s="4">
        <v>0</v>
      </c>
      <c r="M18" s="4">
        <v>0</v>
      </c>
      <c r="N18" s="4">
        <v>0</v>
      </c>
      <c r="O18" s="4">
        <v>0</v>
      </c>
      <c r="P18" s="4">
        <v>4.57E-4</v>
      </c>
      <c r="Q18" s="4">
        <v>4.0879999999999996E-3</v>
      </c>
      <c r="R18" s="4">
        <v>2.0902E-2</v>
      </c>
      <c r="S18" s="4">
        <v>1.4292839E-3</v>
      </c>
      <c r="T18" s="68">
        <v>4.8381987E-3</v>
      </c>
    </row>
    <row r="19" spans="1:20" x14ac:dyDescent="0.3">
      <c r="A19" s="107" t="s">
        <v>62</v>
      </c>
      <c r="B19" s="107" t="s">
        <v>63</v>
      </c>
      <c r="C19" s="107">
        <v>4.81927710843373E-5</v>
      </c>
      <c r="D19" s="4">
        <v>0</v>
      </c>
      <c r="E19" s="9">
        <f t="shared" si="0"/>
        <v>0</v>
      </c>
      <c r="F19" s="9">
        <f>$C19*$D19*$D$4</f>
        <v>0</v>
      </c>
      <c r="G19" s="9">
        <f t="shared" si="2"/>
        <v>0</v>
      </c>
      <c r="H19" s="9">
        <f t="shared" si="3"/>
        <v>0</v>
      </c>
      <c r="I19" s="9">
        <f t="shared" si="4"/>
        <v>0</v>
      </c>
      <c r="K19" s="67" t="s">
        <v>153</v>
      </c>
      <c r="L19" s="4">
        <v>0</v>
      </c>
      <c r="M19" s="4">
        <v>0</v>
      </c>
      <c r="N19" s="4">
        <v>0</v>
      </c>
      <c r="O19" s="4">
        <v>0</v>
      </c>
      <c r="P19" s="4">
        <v>0</v>
      </c>
      <c r="Q19" s="4">
        <v>0</v>
      </c>
      <c r="R19" s="4">
        <v>0</v>
      </c>
      <c r="S19" s="4">
        <v>0</v>
      </c>
      <c r="T19" s="68">
        <v>0</v>
      </c>
    </row>
    <row r="20" spans="1:20" x14ac:dyDescent="0.3">
      <c r="A20" s="107" t="s">
        <v>64</v>
      </c>
      <c r="B20" s="107" t="s">
        <v>65</v>
      </c>
      <c r="C20" s="107">
        <v>5.1807228915662698E-4</v>
      </c>
      <c r="D20" s="4">
        <v>0</v>
      </c>
      <c r="E20" s="9">
        <f t="shared" si="0"/>
        <v>0</v>
      </c>
      <c r="F20" s="9">
        <f t="shared" si="1"/>
        <v>0</v>
      </c>
      <c r="G20" s="9">
        <f t="shared" si="2"/>
        <v>0</v>
      </c>
      <c r="H20" s="9">
        <f t="shared" si="3"/>
        <v>0</v>
      </c>
      <c r="I20" s="9">
        <f t="shared" si="4"/>
        <v>0</v>
      </c>
      <c r="K20" s="121" t="s">
        <v>64</v>
      </c>
      <c r="L20" s="4">
        <v>0</v>
      </c>
      <c r="M20" s="4">
        <v>0</v>
      </c>
      <c r="N20" s="4">
        <v>0</v>
      </c>
      <c r="O20" s="4">
        <v>0</v>
      </c>
      <c r="P20" s="4">
        <v>0</v>
      </c>
      <c r="Q20" s="4">
        <v>0</v>
      </c>
      <c r="R20" s="4">
        <v>0</v>
      </c>
      <c r="S20" s="4">
        <v>0</v>
      </c>
      <c r="T20" s="68">
        <v>0</v>
      </c>
    </row>
    <row r="21" spans="1:20" x14ac:dyDescent="0.3">
      <c r="A21" s="107" t="s">
        <v>66</v>
      </c>
      <c r="B21" s="107" t="s">
        <v>67</v>
      </c>
      <c r="C21" s="107">
        <v>1.5783132530120499E-3</v>
      </c>
      <c r="D21" s="7">
        <v>0</v>
      </c>
      <c r="E21" s="9">
        <f t="shared" si="0"/>
        <v>0</v>
      </c>
      <c r="F21" s="9">
        <f t="shared" si="1"/>
        <v>0</v>
      </c>
      <c r="G21" s="9">
        <f t="shared" si="2"/>
        <v>0</v>
      </c>
      <c r="H21" s="9">
        <f t="shared" si="3"/>
        <v>0</v>
      </c>
      <c r="I21" s="9">
        <f t="shared" si="4"/>
        <v>0</v>
      </c>
      <c r="K21" s="122" t="s">
        <v>148</v>
      </c>
      <c r="L21" s="7">
        <v>0</v>
      </c>
      <c r="M21" s="7">
        <v>0</v>
      </c>
      <c r="N21" s="7">
        <v>0</v>
      </c>
      <c r="O21" s="7">
        <v>0</v>
      </c>
      <c r="P21" s="7">
        <v>0</v>
      </c>
      <c r="Q21" s="7">
        <v>0</v>
      </c>
      <c r="R21" s="7">
        <v>0</v>
      </c>
      <c r="S21" s="7">
        <v>7.8742799999999996E-4</v>
      </c>
      <c r="T21" s="123">
        <v>2.8826936099999999E-2</v>
      </c>
    </row>
    <row r="22" spans="1:20" x14ac:dyDescent="0.3">
      <c r="A22" s="16"/>
      <c r="B22" s="16"/>
      <c r="C22" s="16"/>
      <c r="D22" s="33" t="s">
        <v>68</v>
      </c>
      <c r="E22" s="33">
        <f>SUM(E12:E21)</f>
        <v>32.075348771084329</v>
      </c>
      <c r="F22" s="33">
        <f>SUM(F12:F21)</f>
        <v>0</v>
      </c>
      <c r="G22" s="33">
        <f>SUM(G12:G21)</f>
        <v>0</v>
      </c>
      <c r="H22" s="33">
        <f t="shared" ref="H22:I22" si="5">SUM(H12:H21)</f>
        <v>0</v>
      </c>
      <c r="I22" s="33">
        <f t="shared" si="5"/>
        <v>0</v>
      </c>
      <c r="K22" s="67"/>
      <c r="L22" s="4"/>
      <c r="M22" s="4"/>
      <c r="N22" s="4"/>
      <c r="O22" s="4"/>
      <c r="P22" s="4"/>
      <c r="Q22" s="4"/>
      <c r="R22" s="4"/>
      <c r="S22" s="4"/>
      <c r="T22" s="68"/>
    </row>
    <row r="23" spans="1:20" s="4" customFormat="1" x14ac:dyDescent="0.3">
      <c r="G23" s="28"/>
      <c r="H23" s="10"/>
      <c r="I23" s="114"/>
      <c r="K23" s="67"/>
      <c r="T23" s="68"/>
    </row>
    <row r="24" spans="1:20" ht="21.6" thickBot="1" x14ac:dyDescent="0.45">
      <c r="A24" s="40" t="s">
        <v>147</v>
      </c>
      <c r="B24" s="31"/>
      <c r="C24" s="31"/>
      <c r="D24" s="31"/>
      <c r="E24" s="31"/>
      <c r="F24" s="31"/>
      <c r="G24" s="70"/>
      <c r="H24" s="70"/>
      <c r="I24" s="114"/>
      <c r="K24" s="67"/>
      <c r="L24" s="4"/>
      <c r="M24" s="4"/>
      <c r="N24" s="4"/>
      <c r="O24" s="4"/>
      <c r="P24" s="4"/>
      <c r="Q24" s="4"/>
      <c r="R24" s="4"/>
      <c r="S24" s="4"/>
      <c r="T24" s="68"/>
    </row>
    <row r="25" spans="1:20" ht="17.399999999999999" customHeight="1" x14ac:dyDescent="0.3">
      <c r="B25" s="272"/>
      <c r="C25" s="272"/>
      <c r="D25" s="272"/>
      <c r="E25" s="273"/>
      <c r="F25" s="273"/>
      <c r="I25" s="114"/>
      <c r="K25" s="124" t="s">
        <v>73</v>
      </c>
      <c r="L25" s="4"/>
      <c r="M25" s="4"/>
      <c r="N25" s="4"/>
      <c r="O25" s="4"/>
      <c r="P25" s="4"/>
      <c r="Q25" s="4"/>
      <c r="R25" s="4"/>
      <c r="S25" s="4"/>
      <c r="T25" s="68"/>
    </row>
    <row r="26" spans="1:20" ht="29.4" customHeight="1" x14ac:dyDescent="0.3">
      <c r="A26" s="21" t="s">
        <v>48</v>
      </c>
      <c r="B26" s="74" t="s">
        <v>69</v>
      </c>
      <c r="D26" s="15"/>
      <c r="E26" s="25"/>
      <c r="K26" s="119" t="s">
        <v>78</v>
      </c>
      <c r="L26" s="21" t="s">
        <v>157</v>
      </c>
      <c r="M26" s="21" t="s">
        <v>158</v>
      </c>
      <c r="N26" s="21" t="s">
        <v>159</v>
      </c>
      <c r="O26" s="21" t="s">
        <v>160</v>
      </c>
      <c r="P26" s="21" t="s">
        <v>161</v>
      </c>
      <c r="Q26" s="21" t="s">
        <v>162</v>
      </c>
      <c r="R26" s="21" t="s">
        <v>163</v>
      </c>
      <c r="S26" s="21" t="s">
        <v>149</v>
      </c>
      <c r="T26" s="120" t="s">
        <v>150</v>
      </c>
    </row>
    <row r="27" spans="1:20" x14ac:dyDescent="0.3">
      <c r="A27" s="50" t="s">
        <v>50</v>
      </c>
      <c r="B27" s="4">
        <v>0</v>
      </c>
      <c r="D27" s="114"/>
      <c r="E27" s="114"/>
      <c r="K27" s="67" t="s">
        <v>50</v>
      </c>
      <c r="L27" s="4">
        <v>0</v>
      </c>
      <c r="M27" s="4">
        <v>0</v>
      </c>
      <c r="N27" s="4">
        <v>0</v>
      </c>
      <c r="O27" s="4">
        <v>0</v>
      </c>
      <c r="P27" s="4">
        <v>0</v>
      </c>
      <c r="Q27" s="4">
        <v>0</v>
      </c>
      <c r="R27" s="4">
        <v>0</v>
      </c>
      <c r="S27" s="4">
        <v>0</v>
      </c>
      <c r="T27" s="68">
        <v>0</v>
      </c>
    </row>
    <row r="28" spans="1:20" x14ac:dyDescent="0.3">
      <c r="A28" s="50" t="s">
        <v>151</v>
      </c>
      <c r="B28" s="4">
        <v>2.3526457899999999E-2</v>
      </c>
      <c r="D28" s="114"/>
      <c r="E28" s="114"/>
      <c r="K28" s="67" t="s">
        <v>151</v>
      </c>
      <c r="L28" s="4">
        <v>0</v>
      </c>
      <c r="M28" s="4">
        <v>0</v>
      </c>
      <c r="N28" s="4">
        <v>0</v>
      </c>
      <c r="O28" s="4">
        <v>9.9699999999999997E-3</v>
      </c>
      <c r="P28" s="4">
        <v>2.698325E-2</v>
      </c>
      <c r="Q28" s="4">
        <v>5.8091900000000002E-2</v>
      </c>
      <c r="R28" s="4">
        <v>0.20762729999999999</v>
      </c>
      <c r="S28" s="4">
        <v>2.3526457899999999E-2</v>
      </c>
      <c r="T28" s="68">
        <v>5.0384724300000003E-2</v>
      </c>
    </row>
    <row r="29" spans="1:20" x14ac:dyDescent="0.3">
      <c r="A29" s="50" t="s">
        <v>276</v>
      </c>
      <c r="B29" s="4">
        <v>3.0618950000000001E-4</v>
      </c>
      <c r="D29" s="114"/>
      <c r="E29" s="114"/>
      <c r="K29" s="67" t="s">
        <v>152</v>
      </c>
      <c r="L29" s="4">
        <v>0</v>
      </c>
      <c r="M29" s="4">
        <v>0</v>
      </c>
      <c r="N29" s="4">
        <v>0</v>
      </c>
      <c r="O29" s="4">
        <v>0</v>
      </c>
      <c r="P29" s="4">
        <v>5.325E-5</v>
      </c>
      <c r="Q29" s="4">
        <v>8.6499999999999999E-4</v>
      </c>
      <c r="R29" s="4">
        <v>4.6293300000000001E-3</v>
      </c>
      <c r="S29" s="4">
        <v>3.0618950000000001E-4</v>
      </c>
      <c r="T29" s="68">
        <v>1.0569462000000001E-3</v>
      </c>
    </row>
    <row r="30" spans="1:20" x14ac:dyDescent="0.3">
      <c r="A30" s="194" t="s">
        <v>289</v>
      </c>
      <c r="B30" s="4">
        <v>0</v>
      </c>
      <c r="D30" s="114"/>
      <c r="E30" s="114"/>
      <c r="K30" s="67" t="s">
        <v>155</v>
      </c>
      <c r="L30" s="4">
        <v>0</v>
      </c>
      <c r="M30" s="4">
        <v>0</v>
      </c>
      <c r="N30" s="4">
        <v>0</v>
      </c>
      <c r="O30" s="4">
        <v>0</v>
      </c>
      <c r="P30" s="4">
        <v>0</v>
      </c>
      <c r="Q30" s="4">
        <v>0</v>
      </c>
      <c r="R30" s="4">
        <v>0</v>
      </c>
      <c r="S30" s="4">
        <v>0</v>
      </c>
      <c r="T30" s="68">
        <v>0</v>
      </c>
    </row>
    <row r="31" spans="1:20" x14ac:dyDescent="0.3">
      <c r="A31" s="50" t="s">
        <v>154</v>
      </c>
      <c r="B31" s="4">
        <v>4.0119610000000002E-4</v>
      </c>
      <c r="D31" s="114"/>
      <c r="E31" s="114"/>
      <c r="K31" s="67" t="s">
        <v>154</v>
      </c>
      <c r="L31" s="4">
        <v>0</v>
      </c>
      <c r="M31" s="4">
        <v>0</v>
      </c>
      <c r="N31" s="4">
        <v>0</v>
      </c>
      <c r="O31" s="4">
        <v>1.4999999999999999E-4</v>
      </c>
      <c r="P31" s="4">
        <v>4.5724999999999997E-4</v>
      </c>
      <c r="Q31" s="4">
        <v>1.0321E-3</v>
      </c>
      <c r="R31" s="4">
        <v>3.5260500000000002E-3</v>
      </c>
      <c r="S31" s="4">
        <v>4.0119610000000002E-4</v>
      </c>
      <c r="T31" s="68">
        <v>8.8627479999999999E-4</v>
      </c>
    </row>
    <row r="32" spans="1:20" x14ac:dyDescent="0.3">
      <c r="A32" s="50" t="s">
        <v>156</v>
      </c>
      <c r="B32" s="4">
        <v>1.4292839E-3</v>
      </c>
      <c r="D32" s="114"/>
      <c r="E32" s="114"/>
      <c r="K32" s="67" t="s">
        <v>156</v>
      </c>
      <c r="L32" s="4">
        <v>0</v>
      </c>
      <c r="M32" s="4">
        <v>0</v>
      </c>
      <c r="N32" s="4">
        <v>0</v>
      </c>
      <c r="O32" s="4">
        <v>0</v>
      </c>
      <c r="P32" s="4">
        <v>4.57E-4</v>
      </c>
      <c r="Q32" s="4">
        <v>4.0879999999999996E-3</v>
      </c>
      <c r="R32" s="4">
        <v>2.0902E-2</v>
      </c>
      <c r="S32" s="4">
        <v>1.4292839E-3</v>
      </c>
      <c r="T32" s="68">
        <v>4.8381987E-3</v>
      </c>
    </row>
    <row r="33" spans="1:20" x14ac:dyDescent="0.3">
      <c r="A33" s="50" t="s">
        <v>277</v>
      </c>
      <c r="B33" s="4">
        <v>0</v>
      </c>
      <c r="D33" s="114"/>
      <c r="E33" s="114"/>
      <c r="K33" s="67" t="s">
        <v>153</v>
      </c>
      <c r="L33" s="4">
        <v>0</v>
      </c>
      <c r="M33" s="4">
        <v>0</v>
      </c>
      <c r="N33" s="4">
        <v>0</v>
      </c>
      <c r="O33" s="4">
        <v>0</v>
      </c>
      <c r="P33" s="4">
        <v>0</v>
      </c>
      <c r="Q33" s="4">
        <v>0</v>
      </c>
      <c r="R33" s="4">
        <v>0</v>
      </c>
      <c r="S33" s="4">
        <v>0</v>
      </c>
      <c r="T33" s="68">
        <v>0</v>
      </c>
    </row>
    <row r="34" spans="1:20" x14ac:dyDescent="0.3">
      <c r="A34" s="50" t="s">
        <v>278</v>
      </c>
      <c r="B34" s="4">
        <v>0</v>
      </c>
      <c r="D34" s="114"/>
      <c r="E34" s="114"/>
      <c r="K34" s="67" t="s">
        <v>165</v>
      </c>
      <c r="L34" s="4">
        <v>0</v>
      </c>
      <c r="M34" s="4">
        <v>0</v>
      </c>
      <c r="N34" s="4">
        <v>0</v>
      </c>
      <c r="O34" s="4">
        <v>0</v>
      </c>
      <c r="P34" s="4">
        <v>0</v>
      </c>
      <c r="Q34" s="4">
        <v>0</v>
      </c>
      <c r="R34" s="4">
        <v>0</v>
      </c>
      <c r="S34" s="4">
        <v>0</v>
      </c>
      <c r="T34" s="68">
        <v>0</v>
      </c>
    </row>
    <row r="35" spans="1:20" ht="15" thickBot="1" x14ac:dyDescent="0.35">
      <c r="A35" s="50" t="s">
        <v>148</v>
      </c>
      <c r="B35" s="70">
        <v>7.8742799999999996E-4</v>
      </c>
      <c r="D35" s="115"/>
      <c r="E35" s="114"/>
      <c r="K35" s="69" t="s">
        <v>148</v>
      </c>
      <c r="L35" s="70">
        <v>0</v>
      </c>
      <c r="M35" s="70">
        <v>0</v>
      </c>
      <c r="N35" s="70">
        <v>0</v>
      </c>
      <c r="O35" s="70">
        <v>0</v>
      </c>
      <c r="P35" s="70">
        <v>0</v>
      </c>
      <c r="Q35" s="70">
        <v>0</v>
      </c>
      <c r="R35" s="70">
        <v>0</v>
      </c>
      <c r="S35" s="70">
        <v>7.8742799999999996E-4</v>
      </c>
      <c r="T35" s="71">
        <v>2.8826936099999999E-2</v>
      </c>
    </row>
    <row r="36" spans="1:20" ht="15" thickBot="1" x14ac:dyDescent="0.35">
      <c r="A36" s="112" t="s">
        <v>70</v>
      </c>
      <c r="B36" s="60">
        <f>SUM(B27:B35)</f>
        <v>2.6450555400000002E-2</v>
      </c>
      <c r="D36" s="4"/>
      <c r="E36" s="4"/>
      <c r="K36" s="275" t="s">
        <v>168</v>
      </c>
      <c r="L36" s="275"/>
      <c r="M36" s="275"/>
      <c r="N36" s="275"/>
      <c r="O36" s="275"/>
      <c r="P36" s="275"/>
      <c r="Q36" s="275"/>
      <c r="R36" s="275"/>
      <c r="S36" s="275"/>
      <c r="T36" s="275"/>
    </row>
    <row r="37" spans="1:20" x14ac:dyDescent="0.3">
      <c r="K37" s="276"/>
      <c r="L37" s="276"/>
      <c r="M37" s="276"/>
      <c r="N37" s="276"/>
      <c r="O37" s="276"/>
      <c r="P37" s="276"/>
      <c r="Q37" s="276"/>
      <c r="R37" s="276"/>
      <c r="S37" s="276"/>
      <c r="T37" s="276"/>
    </row>
    <row r="38" spans="1:20" x14ac:dyDescent="0.3">
      <c r="K38" s="130"/>
      <c r="L38" s="130"/>
      <c r="M38" s="130"/>
      <c r="N38" s="130"/>
      <c r="O38" s="130"/>
      <c r="P38" s="130"/>
      <c r="Q38" s="130"/>
      <c r="R38" s="130"/>
      <c r="S38" s="130"/>
      <c r="T38" s="130"/>
    </row>
    <row r="39" spans="1:20" x14ac:dyDescent="0.3">
      <c r="A39" t="s">
        <v>71</v>
      </c>
      <c r="B39" s="270" t="s">
        <v>198</v>
      </c>
      <c r="C39" s="270"/>
      <c r="D39" s="270" t="s">
        <v>199</v>
      </c>
      <c r="E39" s="270"/>
      <c r="F39" s="270" t="s">
        <v>200</v>
      </c>
      <c r="G39" s="270"/>
      <c r="H39" s="270" t="s">
        <v>202</v>
      </c>
      <c r="I39" s="270"/>
      <c r="J39" s="270" t="s">
        <v>203</v>
      </c>
      <c r="K39" s="270"/>
    </row>
    <row r="40" spans="1:20" x14ac:dyDescent="0.3">
      <c r="A40" t="s">
        <v>206</v>
      </c>
      <c r="B40" s="274">
        <f>B3</f>
        <v>1</v>
      </c>
      <c r="C40" s="274"/>
      <c r="D40" s="274">
        <f>B4</f>
        <v>1</v>
      </c>
      <c r="E40" s="274"/>
      <c r="F40" s="274">
        <f>B5</f>
        <v>1</v>
      </c>
      <c r="G40" s="274"/>
      <c r="H40" s="274">
        <f>B6</f>
        <v>2</v>
      </c>
      <c r="I40" s="274"/>
      <c r="J40" s="274">
        <f>B7</f>
        <v>3</v>
      </c>
      <c r="K40" s="274"/>
    </row>
    <row r="41" spans="1:20" x14ac:dyDescent="0.3">
      <c r="A41" s="21" t="s">
        <v>72</v>
      </c>
      <c r="B41" s="21" t="s">
        <v>73</v>
      </c>
      <c r="C41" s="21" t="s">
        <v>74</v>
      </c>
      <c r="D41" s="21" t="s">
        <v>73</v>
      </c>
      <c r="E41" s="21" t="s">
        <v>74</v>
      </c>
      <c r="F41" s="21" t="s">
        <v>73</v>
      </c>
      <c r="G41" s="21" t="s">
        <v>74</v>
      </c>
      <c r="H41" s="21" t="s">
        <v>73</v>
      </c>
      <c r="I41" s="21" t="s">
        <v>74</v>
      </c>
      <c r="J41" s="21" t="s">
        <v>73</v>
      </c>
      <c r="K41" s="21" t="s">
        <v>74</v>
      </c>
    </row>
    <row r="42" spans="1:20" x14ac:dyDescent="0.3">
      <c r="A42" s="50" t="s">
        <v>50</v>
      </c>
      <c r="B42" s="8">
        <f t="shared" ref="B42:B50" si="6">B27*$D$3</f>
        <v>0</v>
      </c>
      <c r="C42" s="8">
        <f>E12</f>
        <v>0</v>
      </c>
      <c r="D42" s="8">
        <f t="shared" ref="D42:D50" si="7">B27*$D$4</f>
        <v>0</v>
      </c>
      <c r="E42" s="8">
        <f>F12</f>
        <v>0</v>
      </c>
      <c r="F42" s="8">
        <f t="shared" ref="F42:F50" si="8">B27*$D$5</f>
        <v>0</v>
      </c>
      <c r="G42" s="8">
        <f>G12</f>
        <v>0</v>
      </c>
      <c r="H42" s="8">
        <f t="shared" ref="H42:H50" si="9">B27*$D$6</f>
        <v>0</v>
      </c>
      <c r="I42" s="8">
        <f t="shared" ref="I42:I50" si="10">H12</f>
        <v>0</v>
      </c>
      <c r="J42" s="8">
        <f t="shared" ref="J42:J50" si="11">B27*$D$7</f>
        <v>0</v>
      </c>
      <c r="K42" s="8">
        <f t="shared" ref="K42:K50" si="12">I12</f>
        <v>0</v>
      </c>
    </row>
    <row r="43" spans="1:20" x14ac:dyDescent="0.3">
      <c r="A43" s="50" t="s">
        <v>151</v>
      </c>
      <c r="B43" s="8">
        <f t="shared" si="6"/>
        <v>2352.64579</v>
      </c>
      <c r="C43" s="8">
        <f>E13</f>
        <v>11.507055180722901</v>
      </c>
      <c r="D43" s="8">
        <f t="shared" si="7"/>
        <v>0</v>
      </c>
      <c r="E43" s="8">
        <f>F13</f>
        <v>0</v>
      </c>
      <c r="F43" s="8">
        <f t="shared" si="8"/>
        <v>0</v>
      </c>
      <c r="G43" s="8">
        <f>G13</f>
        <v>0</v>
      </c>
      <c r="H43" s="8">
        <f t="shared" si="9"/>
        <v>0</v>
      </c>
      <c r="I43" s="8">
        <f t="shared" si="10"/>
        <v>0</v>
      </c>
      <c r="J43" s="8">
        <f t="shared" si="11"/>
        <v>0</v>
      </c>
      <c r="K43" s="8">
        <f t="shared" si="12"/>
        <v>0</v>
      </c>
    </row>
    <row r="44" spans="1:20" x14ac:dyDescent="0.3">
      <c r="A44" s="50" t="s">
        <v>276</v>
      </c>
      <c r="B44" s="8">
        <f t="shared" si="6"/>
        <v>30.618950000000002</v>
      </c>
      <c r="C44" s="8">
        <f>E14</f>
        <v>0.25656527710843391</v>
      </c>
      <c r="D44" s="8">
        <f t="shared" si="7"/>
        <v>0</v>
      </c>
      <c r="E44" s="8">
        <f>F14</f>
        <v>0</v>
      </c>
      <c r="F44" s="8">
        <f t="shared" si="8"/>
        <v>0</v>
      </c>
      <c r="G44" s="8">
        <f>G14</f>
        <v>0</v>
      </c>
      <c r="H44" s="8">
        <f t="shared" si="9"/>
        <v>0</v>
      </c>
      <c r="I44" s="8">
        <f t="shared" si="10"/>
        <v>0</v>
      </c>
      <c r="J44" s="8">
        <f t="shared" si="11"/>
        <v>0</v>
      </c>
      <c r="K44" s="8">
        <f t="shared" si="12"/>
        <v>0</v>
      </c>
    </row>
    <row r="45" spans="1:20" x14ac:dyDescent="0.3">
      <c r="A45" s="194" t="s">
        <v>289</v>
      </c>
      <c r="B45" s="8">
        <f t="shared" si="6"/>
        <v>0</v>
      </c>
      <c r="C45" s="8">
        <f>E15</f>
        <v>0</v>
      </c>
      <c r="D45" s="8">
        <f t="shared" si="7"/>
        <v>0</v>
      </c>
      <c r="E45" s="8">
        <f>F15</f>
        <v>0</v>
      </c>
      <c r="F45" s="8">
        <f t="shared" si="8"/>
        <v>0</v>
      </c>
      <c r="G45" s="8">
        <f>G15</f>
        <v>0</v>
      </c>
      <c r="H45" s="8">
        <f t="shared" si="9"/>
        <v>0</v>
      </c>
      <c r="I45" s="8">
        <f t="shared" si="10"/>
        <v>0</v>
      </c>
      <c r="J45" s="8">
        <f t="shared" si="11"/>
        <v>0</v>
      </c>
      <c r="K45" s="8">
        <f t="shared" si="12"/>
        <v>0</v>
      </c>
    </row>
    <row r="46" spans="1:20" x14ac:dyDescent="0.3">
      <c r="A46" s="50" t="s">
        <v>154</v>
      </c>
      <c r="B46" s="8">
        <f t="shared" si="6"/>
        <v>40.119610000000002</v>
      </c>
      <c r="C46" s="8">
        <f>E17</f>
        <v>0.12744759036144576</v>
      </c>
      <c r="D46" s="8">
        <f t="shared" si="7"/>
        <v>0</v>
      </c>
      <c r="E46" s="8">
        <f>F17</f>
        <v>0</v>
      </c>
      <c r="F46" s="8">
        <f t="shared" si="8"/>
        <v>0</v>
      </c>
      <c r="G46" s="8">
        <f>G17</f>
        <v>0</v>
      </c>
      <c r="H46" s="8">
        <f t="shared" si="9"/>
        <v>0</v>
      </c>
      <c r="I46" s="8">
        <f t="shared" si="10"/>
        <v>0</v>
      </c>
      <c r="J46" s="8">
        <f t="shared" si="11"/>
        <v>0</v>
      </c>
      <c r="K46" s="8">
        <f t="shared" si="12"/>
        <v>0</v>
      </c>
    </row>
    <row r="47" spans="1:20" x14ac:dyDescent="0.3">
      <c r="A47" s="50" t="s">
        <v>156</v>
      </c>
      <c r="B47" s="8">
        <f t="shared" si="6"/>
        <v>142.92839000000001</v>
      </c>
      <c r="C47" s="8">
        <f>SUM(E16,E18)</f>
        <v>20.18428072289155</v>
      </c>
      <c r="D47" s="8">
        <f t="shared" si="7"/>
        <v>0</v>
      </c>
      <c r="E47" s="8">
        <f>SUM(F16,F18)</f>
        <v>0</v>
      </c>
      <c r="F47" s="8">
        <f t="shared" si="8"/>
        <v>0</v>
      </c>
      <c r="G47" s="8">
        <f>SUM(G17,G18)</f>
        <v>0</v>
      </c>
      <c r="H47" s="8">
        <f t="shared" si="9"/>
        <v>0</v>
      </c>
      <c r="I47" s="8">
        <f t="shared" si="10"/>
        <v>0</v>
      </c>
      <c r="J47" s="8">
        <f t="shared" si="11"/>
        <v>0</v>
      </c>
      <c r="K47" s="8">
        <f t="shared" si="12"/>
        <v>0</v>
      </c>
    </row>
    <row r="48" spans="1:20" x14ac:dyDescent="0.3">
      <c r="A48" s="50" t="s">
        <v>277</v>
      </c>
      <c r="B48" s="8">
        <f t="shared" si="6"/>
        <v>0</v>
      </c>
      <c r="C48" s="8">
        <f>E19</f>
        <v>0</v>
      </c>
      <c r="D48" s="8">
        <f t="shared" si="7"/>
        <v>0</v>
      </c>
      <c r="E48" s="8">
        <f>F19</f>
        <v>0</v>
      </c>
      <c r="F48" s="8">
        <f t="shared" si="8"/>
        <v>0</v>
      </c>
      <c r="G48" s="8">
        <f>G19</f>
        <v>0</v>
      </c>
      <c r="H48" s="8">
        <f t="shared" si="9"/>
        <v>0</v>
      </c>
      <c r="I48" s="8">
        <f t="shared" si="10"/>
        <v>0</v>
      </c>
      <c r="J48" s="8">
        <f t="shared" si="11"/>
        <v>0</v>
      </c>
      <c r="K48" s="8">
        <f t="shared" si="12"/>
        <v>0</v>
      </c>
    </row>
    <row r="49" spans="1:20" x14ac:dyDescent="0.3">
      <c r="A49" s="50" t="s">
        <v>278</v>
      </c>
      <c r="B49" s="8">
        <f t="shared" si="6"/>
        <v>0</v>
      </c>
      <c r="C49" s="8">
        <f>E20</f>
        <v>0</v>
      </c>
      <c r="D49" s="8">
        <f t="shared" si="7"/>
        <v>0</v>
      </c>
      <c r="E49" s="8">
        <f>F20</f>
        <v>0</v>
      </c>
      <c r="F49" s="8">
        <f t="shared" si="8"/>
        <v>0</v>
      </c>
      <c r="G49" s="8">
        <f>G20</f>
        <v>0</v>
      </c>
      <c r="H49" s="8">
        <f t="shared" si="9"/>
        <v>0</v>
      </c>
      <c r="I49" s="8">
        <f t="shared" si="10"/>
        <v>0</v>
      </c>
      <c r="J49" s="8">
        <f t="shared" si="11"/>
        <v>0</v>
      </c>
      <c r="K49" s="8">
        <f t="shared" si="12"/>
        <v>0</v>
      </c>
    </row>
    <row r="50" spans="1:20" x14ac:dyDescent="0.3">
      <c r="A50" s="50" t="s">
        <v>148</v>
      </c>
      <c r="B50" s="118">
        <f t="shared" si="6"/>
        <v>78.742800000000003</v>
      </c>
      <c r="C50" s="118">
        <f>E21</f>
        <v>0</v>
      </c>
      <c r="D50" s="118">
        <f t="shared" si="7"/>
        <v>0</v>
      </c>
      <c r="E50" s="118">
        <f>F21</f>
        <v>0</v>
      </c>
      <c r="F50" s="8">
        <f t="shared" si="8"/>
        <v>0</v>
      </c>
      <c r="G50" s="118">
        <f>G21</f>
        <v>0</v>
      </c>
      <c r="H50" s="8">
        <f t="shared" si="9"/>
        <v>0</v>
      </c>
      <c r="I50" s="118">
        <f t="shared" si="10"/>
        <v>0</v>
      </c>
      <c r="J50" s="118">
        <f t="shared" si="11"/>
        <v>0</v>
      </c>
      <c r="K50" s="118">
        <f t="shared" si="12"/>
        <v>0</v>
      </c>
    </row>
    <row r="51" spans="1:20" s="4" customFormat="1" x14ac:dyDescent="0.3">
      <c r="A51" s="28" t="s">
        <v>75</v>
      </c>
      <c r="B51" s="118">
        <f t="shared" ref="B51:G51" si="13">SUM(B42:B50)</f>
        <v>2645.0555400000003</v>
      </c>
      <c r="C51" s="118">
        <f t="shared" si="13"/>
        <v>32.075348771084329</v>
      </c>
      <c r="D51" s="118">
        <f t="shared" si="13"/>
        <v>0</v>
      </c>
      <c r="E51" s="118">
        <f t="shared" si="13"/>
        <v>0</v>
      </c>
      <c r="F51" s="35">
        <f t="shared" si="13"/>
        <v>0</v>
      </c>
      <c r="G51" s="118">
        <f t="shared" si="13"/>
        <v>0</v>
      </c>
      <c r="H51" s="35">
        <f t="shared" ref="H51:I51" si="14">SUM(H42:H50)</f>
        <v>0</v>
      </c>
      <c r="I51" s="118">
        <f t="shared" si="14"/>
        <v>0</v>
      </c>
      <c r="J51" s="118">
        <f t="shared" ref="J51:K51" si="15">SUM(J42:J50)</f>
        <v>0</v>
      </c>
      <c r="K51" s="118">
        <f t="shared" si="15"/>
        <v>0</v>
      </c>
      <c r="T51"/>
    </row>
    <row r="52" spans="1:20" s="4" customFormat="1" x14ac:dyDescent="0.3">
      <c r="K52"/>
      <c r="L52"/>
      <c r="M52"/>
      <c r="N52"/>
      <c r="O52"/>
      <c r="P52"/>
      <c r="Q52"/>
      <c r="R52"/>
      <c r="S52"/>
      <c r="T52"/>
    </row>
    <row r="53" spans="1:20" ht="21.6" thickBot="1" x14ac:dyDescent="0.45">
      <c r="A53" s="40" t="s">
        <v>76</v>
      </c>
      <c r="B53" s="31"/>
      <c r="C53" s="31"/>
      <c r="D53" s="4"/>
      <c r="E53" s="4"/>
      <c r="F53" s="4"/>
      <c r="G53" s="4"/>
    </row>
    <row r="54" spans="1:20" ht="21" x14ac:dyDescent="0.4">
      <c r="A54" s="12"/>
      <c r="K54" s="4"/>
      <c r="L54" s="4"/>
      <c r="M54" s="4"/>
      <c r="N54" s="4"/>
      <c r="O54" s="4"/>
      <c r="P54" s="4"/>
      <c r="Q54" s="4"/>
      <c r="R54" s="4"/>
      <c r="S54" s="4"/>
      <c r="T54" s="4"/>
    </row>
    <row r="55" spans="1:20" ht="15.6" x14ac:dyDescent="0.3">
      <c r="A55" s="42" t="s">
        <v>77</v>
      </c>
      <c r="B55" s="171" t="s">
        <v>78</v>
      </c>
      <c r="C55" s="41" t="s">
        <v>18</v>
      </c>
      <c r="K55" s="4"/>
      <c r="L55" s="4"/>
      <c r="M55" s="4"/>
      <c r="N55" s="4"/>
      <c r="O55" s="4"/>
      <c r="P55" s="4"/>
      <c r="Q55" s="4"/>
      <c r="R55" s="4"/>
      <c r="S55" s="4"/>
    </row>
    <row r="56" spans="1:20" x14ac:dyDescent="0.3">
      <c r="A56" s="202" t="s">
        <v>297</v>
      </c>
      <c r="B56" s="194" t="s">
        <v>231</v>
      </c>
      <c r="C56" s="170">
        <v>0</v>
      </c>
      <c r="K56" s="4"/>
      <c r="L56" s="4"/>
      <c r="M56" s="4"/>
      <c r="N56" s="4"/>
      <c r="O56" s="4"/>
      <c r="P56" s="4"/>
      <c r="Q56" s="4"/>
      <c r="R56" s="4"/>
      <c r="S56" s="4"/>
    </row>
    <row r="57" spans="1:20" x14ac:dyDescent="0.3">
      <c r="A57" s="202" t="s">
        <v>297</v>
      </c>
      <c r="B57" s="194" t="s">
        <v>283</v>
      </c>
      <c r="C57" s="170">
        <v>0</v>
      </c>
      <c r="K57" s="4"/>
      <c r="L57" s="4"/>
      <c r="M57" s="4"/>
      <c r="N57" s="4"/>
      <c r="O57" s="4"/>
      <c r="P57" s="4"/>
      <c r="Q57" s="4"/>
      <c r="R57" s="4"/>
      <c r="S57" s="4"/>
    </row>
    <row r="58" spans="1:20" x14ac:dyDescent="0.3">
      <c r="A58" s="202" t="s">
        <v>297</v>
      </c>
      <c r="B58" s="194" t="s">
        <v>232</v>
      </c>
      <c r="C58" s="170">
        <v>0</v>
      </c>
      <c r="K58" s="4"/>
      <c r="L58" s="4"/>
      <c r="M58" s="4"/>
      <c r="N58" s="4"/>
      <c r="O58" s="4"/>
      <c r="P58" s="4"/>
      <c r="Q58" s="4"/>
      <c r="R58" s="4"/>
      <c r="S58" s="4"/>
    </row>
    <row r="59" spans="1:20" x14ac:dyDescent="0.3">
      <c r="A59" s="202" t="s">
        <v>297</v>
      </c>
      <c r="B59" s="194" t="s">
        <v>284</v>
      </c>
      <c r="C59" s="170">
        <v>0</v>
      </c>
      <c r="K59" s="4"/>
      <c r="L59" s="4"/>
      <c r="M59" s="4"/>
      <c r="N59" s="4"/>
      <c r="O59" s="4"/>
      <c r="P59" s="4"/>
      <c r="Q59" s="4"/>
      <c r="R59" s="4"/>
      <c r="S59" s="4"/>
    </row>
    <row r="60" spans="1:20" x14ac:dyDescent="0.3">
      <c r="A60" s="202" t="s">
        <v>297</v>
      </c>
      <c r="B60" s="194" t="s">
        <v>285</v>
      </c>
      <c r="C60" s="170">
        <v>0</v>
      </c>
      <c r="I60" s="173"/>
      <c r="K60" s="4"/>
      <c r="L60" s="4"/>
      <c r="M60" s="4"/>
      <c r="N60" s="4"/>
      <c r="O60" s="4"/>
      <c r="P60" s="4"/>
      <c r="Q60" s="4"/>
      <c r="R60" s="4"/>
      <c r="S60" s="4"/>
    </row>
    <row r="61" spans="1:20" x14ac:dyDescent="0.3">
      <c r="A61" s="202" t="s">
        <v>297</v>
      </c>
      <c r="B61" s="194" t="s">
        <v>286</v>
      </c>
      <c r="C61" s="170">
        <v>0</v>
      </c>
      <c r="I61" s="172"/>
      <c r="K61" s="4"/>
      <c r="L61" s="4"/>
      <c r="M61" s="4"/>
      <c r="N61" s="4"/>
      <c r="O61" s="4"/>
      <c r="P61" s="4"/>
      <c r="Q61" s="4"/>
      <c r="R61" s="4"/>
      <c r="S61" s="4"/>
    </row>
    <row r="62" spans="1:20" x14ac:dyDescent="0.3">
      <c r="A62" s="202" t="s">
        <v>297</v>
      </c>
      <c r="B62" s="194" t="s">
        <v>287</v>
      </c>
      <c r="C62" s="170">
        <v>0</v>
      </c>
      <c r="I62" s="172"/>
      <c r="K62" s="4"/>
      <c r="L62" s="4"/>
      <c r="M62" s="4"/>
      <c r="N62" s="4"/>
      <c r="O62" s="4"/>
      <c r="P62" s="4"/>
      <c r="Q62" s="4"/>
      <c r="R62" s="4"/>
      <c r="S62" s="4"/>
    </row>
    <row r="63" spans="1:20" x14ac:dyDescent="0.3">
      <c r="A63" s="202" t="s">
        <v>297</v>
      </c>
      <c r="B63" s="194" t="s">
        <v>288</v>
      </c>
      <c r="C63" s="170">
        <v>0</v>
      </c>
      <c r="D63" s="271" t="s">
        <v>103</v>
      </c>
      <c r="I63" s="172"/>
    </row>
    <row r="64" spans="1:20" x14ac:dyDescent="0.3">
      <c r="A64" s="202" t="s">
        <v>297</v>
      </c>
      <c r="B64" s="194" t="s">
        <v>289</v>
      </c>
      <c r="C64" s="170">
        <v>0</v>
      </c>
      <c r="D64" s="271"/>
      <c r="I64" s="172"/>
    </row>
    <row r="65" spans="1:11" x14ac:dyDescent="0.3">
      <c r="A65" s="202" t="s">
        <v>297</v>
      </c>
      <c r="B65" s="194" t="s">
        <v>290</v>
      </c>
      <c r="C65" s="170">
        <v>0</v>
      </c>
      <c r="D65" s="271"/>
      <c r="I65" s="172"/>
      <c r="K65" s="114"/>
    </row>
    <row r="66" spans="1:11" x14ac:dyDescent="0.3">
      <c r="A66" s="202" t="s">
        <v>297</v>
      </c>
      <c r="B66" s="194" t="s">
        <v>291</v>
      </c>
      <c r="C66" s="170">
        <v>0</v>
      </c>
      <c r="D66" s="271"/>
      <c r="I66" s="172"/>
      <c r="K66" s="114"/>
    </row>
    <row r="67" spans="1:11" x14ac:dyDescent="0.3">
      <c r="A67" s="202" t="s">
        <v>297</v>
      </c>
      <c r="B67" s="194" t="s">
        <v>233</v>
      </c>
      <c r="C67" s="170">
        <v>0</v>
      </c>
      <c r="D67" s="271"/>
      <c r="I67" s="172"/>
      <c r="K67" s="114"/>
    </row>
    <row r="68" spans="1:11" x14ac:dyDescent="0.3">
      <c r="A68" s="202" t="s">
        <v>297</v>
      </c>
      <c r="B68" s="194" t="s">
        <v>292</v>
      </c>
      <c r="C68" s="170">
        <v>0</v>
      </c>
      <c r="D68" s="271"/>
      <c r="I68" s="172"/>
      <c r="K68" s="114"/>
    </row>
    <row r="69" spans="1:11" x14ac:dyDescent="0.3">
      <c r="A69" s="202" t="s">
        <v>297</v>
      </c>
      <c r="B69" s="194" t="s">
        <v>293</v>
      </c>
      <c r="C69" s="170">
        <v>0</v>
      </c>
      <c r="D69" s="271"/>
      <c r="I69" s="172"/>
      <c r="K69" s="114"/>
    </row>
    <row r="70" spans="1:11" x14ac:dyDescent="0.3">
      <c r="A70" s="202" t="s">
        <v>297</v>
      </c>
      <c r="B70" s="194" t="s">
        <v>294</v>
      </c>
      <c r="C70" s="170">
        <v>0</v>
      </c>
      <c r="D70" s="271"/>
      <c r="I70" s="172"/>
      <c r="K70" s="115"/>
    </row>
    <row r="71" spans="1:11" x14ac:dyDescent="0.3">
      <c r="A71" s="202" t="s">
        <v>297</v>
      </c>
      <c r="B71" s="7" t="s">
        <v>79</v>
      </c>
      <c r="C71" s="35">
        <f>SUM(C56:C70)</f>
        <v>0</v>
      </c>
      <c r="I71" s="172"/>
    </row>
    <row r="72" spans="1:11" x14ac:dyDescent="0.3">
      <c r="A72" s="202" t="s">
        <v>298</v>
      </c>
      <c r="B72" s="194" t="s">
        <v>231</v>
      </c>
      <c r="C72" s="170">
        <v>0</v>
      </c>
      <c r="I72" s="172"/>
    </row>
    <row r="73" spans="1:11" x14ac:dyDescent="0.3">
      <c r="A73" s="202" t="s">
        <v>298</v>
      </c>
      <c r="B73" s="194" t="s">
        <v>283</v>
      </c>
      <c r="C73" s="170">
        <v>0</v>
      </c>
      <c r="I73" s="172"/>
    </row>
    <row r="74" spans="1:11" x14ac:dyDescent="0.3">
      <c r="A74" s="202" t="s">
        <v>298</v>
      </c>
      <c r="B74" s="194" t="s">
        <v>232</v>
      </c>
      <c r="C74" s="170">
        <v>0</v>
      </c>
      <c r="I74" s="172"/>
    </row>
    <row r="75" spans="1:11" x14ac:dyDescent="0.3">
      <c r="A75" s="202" t="s">
        <v>298</v>
      </c>
      <c r="B75" s="194" t="s">
        <v>284</v>
      </c>
      <c r="C75" s="170">
        <v>0</v>
      </c>
      <c r="I75" s="172"/>
    </row>
    <row r="76" spans="1:11" x14ac:dyDescent="0.3">
      <c r="A76" s="202" t="s">
        <v>298</v>
      </c>
      <c r="B76" s="194" t="s">
        <v>285</v>
      </c>
      <c r="C76" s="170">
        <v>0</v>
      </c>
      <c r="I76" s="172"/>
    </row>
    <row r="77" spans="1:11" x14ac:dyDescent="0.3">
      <c r="A77" s="202" t="s">
        <v>298</v>
      </c>
      <c r="B77" s="194" t="s">
        <v>286</v>
      </c>
      <c r="C77" s="170">
        <v>0</v>
      </c>
      <c r="I77" s="172"/>
    </row>
    <row r="78" spans="1:11" x14ac:dyDescent="0.3">
      <c r="A78" s="202" t="s">
        <v>298</v>
      </c>
      <c r="B78" s="194" t="s">
        <v>287</v>
      </c>
      <c r="C78" s="170">
        <v>0</v>
      </c>
      <c r="I78" s="172"/>
    </row>
    <row r="79" spans="1:11" x14ac:dyDescent="0.3">
      <c r="A79" s="202" t="s">
        <v>298</v>
      </c>
      <c r="B79" s="194" t="s">
        <v>288</v>
      </c>
      <c r="C79" s="170">
        <v>0</v>
      </c>
      <c r="D79" s="271" t="s">
        <v>103</v>
      </c>
      <c r="I79" s="172"/>
    </row>
    <row r="80" spans="1:11" x14ac:dyDescent="0.3">
      <c r="A80" s="202" t="s">
        <v>298</v>
      </c>
      <c r="B80" s="194" t="s">
        <v>289</v>
      </c>
      <c r="C80" s="170">
        <v>0</v>
      </c>
      <c r="D80" s="271"/>
      <c r="I80" s="172"/>
    </row>
    <row r="81" spans="1:9" x14ac:dyDescent="0.3">
      <c r="A81" s="202" t="s">
        <v>298</v>
      </c>
      <c r="B81" s="194" t="s">
        <v>290</v>
      </c>
      <c r="C81" s="170">
        <v>0</v>
      </c>
      <c r="D81" s="271"/>
      <c r="I81" s="172"/>
    </row>
    <row r="82" spans="1:9" x14ac:dyDescent="0.3">
      <c r="A82" s="202" t="s">
        <v>298</v>
      </c>
      <c r="B82" s="194" t="s">
        <v>291</v>
      </c>
      <c r="C82" s="170">
        <f>To_POTW!D36</f>
        <v>0</v>
      </c>
      <c r="D82" s="271"/>
      <c r="I82" s="7"/>
    </row>
    <row r="83" spans="1:9" x14ac:dyDescent="0.3">
      <c r="A83" s="202" t="s">
        <v>298</v>
      </c>
      <c r="B83" s="194" t="s">
        <v>233</v>
      </c>
      <c r="C83" s="170">
        <v>0</v>
      </c>
      <c r="D83" s="271"/>
    </row>
    <row r="84" spans="1:9" x14ac:dyDescent="0.3">
      <c r="A84" s="202" t="s">
        <v>298</v>
      </c>
      <c r="B84" s="194" t="s">
        <v>292</v>
      </c>
      <c r="C84" s="170">
        <v>0</v>
      </c>
      <c r="D84" s="271"/>
    </row>
    <row r="85" spans="1:9" x14ac:dyDescent="0.3">
      <c r="A85" s="202" t="s">
        <v>298</v>
      </c>
      <c r="B85" s="194" t="s">
        <v>293</v>
      </c>
      <c r="C85" s="170">
        <v>0</v>
      </c>
      <c r="D85" s="271"/>
    </row>
    <row r="86" spans="1:9" x14ac:dyDescent="0.3">
      <c r="A86" s="202" t="s">
        <v>298</v>
      </c>
      <c r="B86" s="194" t="s">
        <v>294</v>
      </c>
      <c r="C86" s="170">
        <v>0</v>
      </c>
      <c r="D86" s="271"/>
    </row>
    <row r="87" spans="1:9" x14ac:dyDescent="0.3">
      <c r="A87" s="202" t="s">
        <v>298</v>
      </c>
      <c r="B87" s="21" t="s">
        <v>79</v>
      </c>
      <c r="C87" s="35">
        <f>SUM(C72:C86)</f>
        <v>0</v>
      </c>
    </row>
    <row r="88" spans="1:9" x14ac:dyDescent="0.3">
      <c r="A88" s="202" t="s">
        <v>299</v>
      </c>
      <c r="B88" s="194" t="s">
        <v>231</v>
      </c>
      <c r="C88" s="170">
        <v>0</v>
      </c>
    </row>
    <row r="89" spans="1:9" x14ac:dyDescent="0.3">
      <c r="A89" s="202" t="s">
        <v>299</v>
      </c>
      <c r="B89" s="194" t="s">
        <v>283</v>
      </c>
      <c r="C89" s="170">
        <v>0</v>
      </c>
    </row>
    <row r="90" spans="1:9" x14ac:dyDescent="0.3">
      <c r="A90" s="202" t="s">
        <v>299</v>
      </c>
      <c r="B90" s="194" t="s">
        <v>232</v>
      </c>
      <c r="C90" s="170">
        <v>0</v>
      </c>
    </row>
    <row r="91" spans="1:9" x14ac:dyDescent="0.3">
      <c r="A91" s="202" t="s">
        <v>299</v>
      </c>
      <c r="B91" s="194" t="s">
        <v>284</v>
      </c>
      <c r="C91" s="170">
        <v>0</v>
      </c>
    </row>
    <row r="92" spans="1:9" x14ac:dyDescent="0.3">
      <c r="A92" s="202" t="s">
        <v>299</v>
      </c>
      <c r="B92" s="194" t="s">
        <v>285</v>
      </c>
      <c r="C92" s="170">
        <v>0</v>
      </c>
    </row>
    <row r="93" spans="1:9" x14ac:dyDescent="0.3">
      <c r="A93" s="202" t="s">
        <v>299</v>
      </c>
      <c r="B93" s="194" t="s">
        <v>286</v>
      </c>
      <c r="C93" s="170">
        <v>0</v>
      </c>
    </row>
    <row r="94" spans="1:9" x14ac:dyDescent="0.3">
      <c r="A94" s="202" t="s">
        <v>299</v>
      </c>
      <c r="B94" s="194" t="s">
        <v>287</v>
      </c>
      <c r="C94" s="170">
        <v>0</v>
      </c>
    </row>
    <row r="95" spans="1:9" x14ac:dyDescent="0.3">
      <c r="A95" s="202" t="s">
        <v>299</v>
      </c>
      <c r="B95" s="194" t="s">
        <v>288</v>
      </c>
      <c r="C95" s="170">
        <v>0</v>
      </c>
      <c r="D95" s="271" t="s">
        <v>103</v>
      </c>
    </row>
    <row r="96" spans="1:9" x14ac:dyDescent="0.3">
      <c r="A96" s="202" t="s">
        <v>299</v>
      </c>
      <c r="B96" s="194" t="s">
        <v>289</v>
      </c>
      <c r="C96" s="170">
        <v>0</v>
      </c>
      <c r="D96" s="271"/>
    </row>
    <row r="97" spans="1:4" x14ac:dyDescent="0.3">
      <c r="A97" s="202" t="s">
        <v>299</v>
      </c>
      <c r="B97" s="194" t="s">
        <v>290</v>
      </c>
      <c r="C97" s="170">
        <v>0</v>
      </c>
      <c r="D97" s="271"/>
    </row>
    <row r="98" spans="1:4" x14ac:dyDescent="0.3">
      <c r="A98" s="202" t="s">
        <v>299</v>
      </c>
      <c r="B98" s="194" t="s">
        <v>291</v>
      </c>
      <c r="C98" s="170">
        <v>0</v>
      </c>
      <c r="D98" s="271"/>
    </row>
    <row r="99" spans="1:4" x14ac:dyDescent="0.3">
      <c r="A99" s="202" t="s">
        <v>299</v>
      </c>
      <c r="B99" s="194" t="s">
        <v>233</v>
      </c>
      <c r="C99" s="170">
        <v>0</v>
      </c>
      <c r="D99" s="271"/>
    </row>
    <row r="100" spans="1:4" x14ac:dyDescent="0.3">
      <c r="A100" s="202" t="s">
        <v>299</v>
      </c>
      <c r="B100" s="194" t="s">
        <v>292</v>
      </c>
      <c r="C100" s="170">
        <v>0</v>
      </c>
      <c r="D100" s="271"/>
    </row>
    <row r="101" spans="1:4" x14ac:dyDescent="0.3">
      <c r="A101" s="202" t="s">
        <v>299</v>
      </c>
      <c r="B101" s="194" t="s">
        <v>293</v>
      </c>
      <c r="C101" s="170">
        <v>0</v>
      </c>
      <c r="D101" s="271"/>
    </row>
    <row r="102" spans="1:4" x14ac:dyDescent="0.3">
      <c r="A102" s="202" t="s">
        <v>299</v>
      </c>
      <c r="B102" s="194" t="s">
        <v>294</v>
      </c>
      <c r="C102" s="170">
        <v>0</v>
      </c>
      <c r="D102" s="271"/>
    </row>
    <row r="103" spans="1:4" x14ac:dyDescent="0.3">
      <c r="A103" s="202" t="s">
        <v>299</v>
      </c>
      <c r="B103" s="21" t="s">
        <v>79</v>
      </c>
      <c r="C103" s="35">
        <f>SUM(C88:C102)</f>
        <v>0</v>
      </c>
    </row>
    <row r="104" spans="1:4" x14ac:dyDescent="0.3">
      <c r="A104" s="202" t="s">
        <v>300</v>
      </c>
      <c r="B104" s="194" t="s">
        <v>231</v>
      </c>
      <c r="C104" s="170">
        <v>0</v>
      </c>
    </row>
    <row r="105" spans="1:4" x14ac:dyDescent="0.3">
      <c r="A105" s="202" t="s">
        <v>300</v>
      </c>
      <c r="B105" s="194" t="s">
        <v>283</v>
      </c>
      <c r="C105" s="170">
        <v>0</v>
      </c>
    </row>
    <row r="106" spans="1:4" x14ac:dyDescent="0.3">
      <c r="A106" s="202" t="s">
        <v>300</v>
      </c>
      <c r="B106" s="194" t="s">
        <v>232</v>
      </c>
      <c r="C106" s="170">
        <v>0</v>
      </c>
    </row>
    <row r="107" spans="1:4" x14ac:dyDescent="0.3">
      <c r="A107" s="202" t="s">
        <v>300</v>
      </c>
      <c r="B107" s="194" t="s">
        <v>284</v>
      </c>
      <c r="C107" s="170">
        <v>0</v>
      </c>
    </row>
    <row r="108" spans="1:4" x14ac:dyDescent="0.3">
      <c r="A108" s="202" t="s">
        <v>300</v>
      </c>
      <c r="B108" s="194" t="s">
        <v>285</v>
      </c>
      <c r="C108" s="170">
        <v>0</v>
      </c>
    </row>
    <row r="109" spans="1:4" x14ac:dyDescent="0.3">
      <c r="A109" s="202" t="s">
        <v>300</v>
      </c>
      <c r="B109" s="194" t="s">
        <v>286</v>
      </c>
      <c r="C109" s="170">
        <v>0</v>
      </c>
    </row>
    <row r="110" spans="1:4" x14ac:dyDescent="0.3">
      <c r="A110" s="202" t="s">
        <v>300</v>
      </c>
      <c r="B110" s="194" t="s">
        <v>287</v>
      </c>
      <c r="C110" s="170">
        <v>0</v>
      </c>
    </row>
    <row r="111" spans="1:4" x14ac:dyDescent="0.3">
      <c r="A111" s="202" t="s">
        <v>300</v>
      </c>
      <c r="B111" s="194" t="s">
        <v>288</v>
      </c>
      <c r="C111" s="170">
        <v>0</v>
      </c>
      <c r="D111" s="271" t="s">
        <v>103</v>
      </c>
    </row>
    <row r="112" spans="1:4" x14ac:dyDescent="0.3">
      <c r="A112" s="202" t="s">
        <v>300</v>
      </c>
      <c r="B112" s="194" t="s">
        <v>289</v>
      </c>
      <c r="C112" s="170">
        <v>0</v>
      </c>
      <c r="D112" s="271"/>
    </row>
    <row r="113" spans="1:4" x14ac:dyDescent="0.3">
      <c r="A113" s="202" t="s">
        <v>300</v>
      </c>
      <c r="B113" s="194" t="s">
        <v>290</v>
      </c>
      <c r="C113" s="170">
        <v>0</v>
      </c>
      <c r="D113" s="271"/>
    </row>
    <row r="114" spans="1:4" x14ac:dyDescent="0.3">
      <c r="A114" s="202" t="s">
        <v>300</v>
      </c>
      <c r="B114" s="194" t="s">
        <v>291</v>
      </c>
      <c r="C114" s="170">
        <v>0</v>
      </c>
      <c r="D114" s="271"/>
    </row>
    <row r="115" spans="1:4" x14ac:dyDescent="0.3">
      <c r="A115" s="202" t="s">
        <v>300</v>
      </c>
      <c r="B115" s="194" t="s">
        <v>233</v>
      </c>
      <c r="C115" s="170">
        <v>0</v>
      </c>
      <c r="D115" s="271"/>
    </row>
    <row r="116" spans="1:4" x14ac:dyDescent="0.3">
      <c r="A116" s="202" t="s">
        <v>300</v>
      </c>
      <c r="B116" s="194" t="s">
        <v>292</v>
      </c>
      <c r="C116" s="170">
        <v>0</v>
      </c>
      <c r="D116" s="271"/>
    </row>
    <row r="117" spans="1:4" x14ac:dyDescent="0.3">
      <c r="A117" s="202" t="s">
        <v>300</v>
      </c>
      <c r="B117" s="194" t="s">
        <v>293</v>
      </c>
      <c r="C117" s="170">
        <v>0</v>
      </c>
      <c r="D117" s="271"/>
    </row>
    <row r="118" spans="1:4" x14ac:dyDescent="0.3">
      <c r="A118" s="202" t="s">
        <v>300</v>
      </c>
      <c r="B118" s="194" t="s">
        <v>294</v>
      </c>
      <c r="C118" s="170">
        <v>0</v>
      </c>
      <c r="D118" s="271"/>
    </row>
    <row r="119" spans="1:4" x14ac:dyDescent="0.3">
      <c r="A119" s="202" t="s">
        <v>300</v>
      </c>
      <c r="B119" s="21" t="s">
        <v>79</v>
      </c>
      <c r="C119" s="35">
        <f>SUM(C104:C118)</f>
        <v>0</v>
      </c>
    </row>
    <row r="120" spans="1:4" x14ac:dyDescent="0.3">
      <c r="A120" s="202" t="s">
        <v>301</v>
      </c>
      <c r="B120" s="194" t="s">
        <v>231</v>
      </c>
      <c r="C120" s="170">
        <v>0</v>
      </c>
    </row>
    <row r="121" spans="1:4" x14ac:dyDescent="0.3">
      <c r="A121" s="202" t="s">
        <v>301</v>
      </c>
      <c r="B121" s="194" t="s">
        <v>283</v>
      </c>
      <c r="C121" s="170">
        <v>0</v>
      </c>
    </row>
    <row r="122" spans="1:4" x14ac:dyDescent="0.3">
      <c r="A122" s="202" t="s">
        <v>301</v>
      </c>
      <c r="B122" s="194" t="s">
        <v>232</v>
      </c>
      <c r="C122" s="170">
        <v>0</v>
      </c>
    </row>
    <row r="123" spans="1:4" x14ac:dyDescent="0.3">
      <c r="A123" s="202" t="s">
        <v>301</v>
      </c>
      <c r="B123" s="194" t="s">
        <v>284</v>
      </c>
      <c r="C123" s="170">
        <v>0</v>
      </c>
    </row>
    <row r="124" spans="1:4" x14ac:dyDescent="0.3">
      <c r="A124" s="202" t="s">
        <v>301</v>
      </c>
      <c r="B124" s="194" t="s">
        <v>285</v>
      </c>
      <c r="C124" s="170">
        <v>0</v>
      </c>
    </row>
    <row r="125" spans="1:4" x14ac:dyDescent="0.3">
      <c r="A125" s="202" t="s">
        <v>301</v>
      </c>
      <c r="B125" s="194" t="s">
        <v>286</v>
      </c>
      <c r="C125" s="170">
        <v>0</v>
      </c>
    </row>
    <row r="126" spans="1:4" x14ac:dyDescent="0.3">
      <c r="A126" s="202" t="s">
        <v>301</v>
      </c>
      <c r="B126" s="194" t="s">
        <v>287</v>
      </c>
      <c r="C126" s="170">
        <v>0</v>
      </c>
    </row>
    <row r="127" spans="1:4" x14ac:dyDescent="0.3">
      <c r="A127" s="202" t="s">
        <v>301</v>
      </c>
      <c r="B127" s="194" t="s">
        <v>288</v>
      </c>
      <c r="C127" s="170">
        <v>0</v>
      </c>
      <c r="D127" s="271" t="s">
        <v>103</v>
      </c>
    </row>
    <row r="128" spans="1:4" x14ac:dyDescent="0.3">
      <c r="A128" s="202" t="s">
        <v>301</v>
      </c>
      <c r="B128" s="194" t="s">
        <v>289</v>
      </c>
      <c r="C128" s="170">
        <v>0</v>
      </c>
      <c r="D128" s="271"/>
    </row>
    <row r="129" spans="1:4" x14ac:dyDescent="0.3">
      <c r="A129" s="202" t="s">
        <v>301</v>
      </c>
      <c r="B129" s="194" t="s">
        <v>290</v>
      </c>
      <c r="C129" s="170">
        <v>0</v>
      </c>
      <c r="D129" s="271"/>
    </row>
    <row r="130" spans="1:4" x14ac:dyDescent="0.3">
      <c r="A130" s="202" t="s">
        <v>301</v>
      </c>
      <c r="B130" s="194" t="s">
        <v>291</v>
      </c>
      <c r="C130" s="170">
        <v>0</v>
      </c>
      <c r="D130" s="271"/>
    </row>
    <row r="131" spans="1:4" x14ac:dyDescent="0.3">
      <c r="A131" s="202" t="s">
        <v>301</v>
      </c>
      <c r="B131" s="194" t="s">
        <v>233</v>
      </c>
      <c r="C131" s="170">
        <v>0</v>
      </c>
      <c r="D131" s="271"/>
    </row>
    <row r="132" spans="1:4" x14ac:dyDescent="0.3">
      <c r="A132" s="202" t="s">
        <v>301</v>
      </c>
      <c r="B132" s="194" t="s">
        <v>292</v>
      </c>
      <c r="C132" s="170">
        <v>0</v>
      </c>
      <c r="D132" s="271"/>
    </row>
    <row r="133" spans="1:4" x14ac:dyDescent="0.3">
      <c r="A133" s="202" t="s">
        <v>301</v>
      </c>
      <c r="B133" s="194" t="s">
        <v>293</v>
      </c>
      <c r="C133" s="170">
        <v>0</v>
      </c>
      <c r="D133" s="271"/>
    </row>
    <row r="134" spans="1:4" x14ac:dyDescent="0.3">
      <c r="A134" s="202" t="s">
        <v>301</v>
      </c>
      <c r="B134" s="194" t="s">
        <v>294</v>
      </c>
      <c r="C134" s="170">
        <v>0</v>
      </c>
      <c r="D134" s="271"/>
    </row>
    <row r="135" spans="1:4" x14ac:dyDescent="0.3">
      <c r="A135" s="202" t="s">
        <v>301</v>
      </c>
      <c r="B135" s="21" t="s">
        <v>79</v>
      </c>
      <c r="C135" s="35">
        <f>SUM(C120:C134)</f>
        <v>0</v>
      </c>
    </row>
    <row r="141" spans="1:4" x14ac:dyDescent="0.3">
      <c r="A141" s="10"/>
    </row>
    <row r="142" spans="1:4" x14ac:dyDescent="0.3">
      <c r="A142" s="10"/>
    </row>
    <row r="143" spans="1:4" x14ac:dyDescent="0.3">
      <c r="A143" s="10"/>
    </row>
    <row r="144" spans="1:4" x14ac:dyDescent="0.3">
      <c r="A144" s="10"/>
    </row>
    <row r="145" spans="1:1" x14ac:dyDescent="0.3">
      <c r="A145" s="10"/>
    </row>
    <row r="146" spans="1:1" x14ac:dyDescent="0.3">
      <c r="A146" s="10"/>
    </row>
    <row r="147" spans="1:1" x14ac:dyDescent="0.3">
      <c r="A147" s="10"/>
    </row>
    <row r="148" spans="1:1" x14ac:dyDescent="0.3">
      <c r="A148" s="10"/>
    </row>
    <row r="149" spans="1:1" x14ac:dyDescent="0.3">
      <c r="A149" s="10"/>
    </row>
    <row r="150" spans="1:1" x14ac:dyDescent="0.3">
      <c r="A150" s="10"/>
    </row>
    <row r="151" spans="1:1" x14ac:dyDescent="0.3">
      <c r="A151" s="10"/>
    </row>
    <row r="152" spans="1:1" x14ac:dyDescent="0.3">
      <c r="A152" s="10"/>
    </row>
    <row r="153" spans="1:1" x14ac:dyDescent="0.3">
      <c r="A153" s="10"/>
    </row>
  </sheetData>
  <sortState xmlns:xlrd2="http://schemas.microsoft.com/office/spreadsheetml/2017/richdata2" ref="A23:C31">
    <sortCondition ref="A23:A31"/>
  </sortState>
  <mergeCells count="19">
    <mergeCell ref="D111:D118"/>
    <mergeCell ref="D127:D134"/>
    <mergeCell ref="K36:T37"/>
    <mergeCell ref="F39:G39"/>
    <mergeCell ref="H39:I39"/>
    <mergeCell ref="J39:K39"/>
    <mergeCell ref="H40:I40"/>
    <mergeCell ref="J40:K40"/>
    <mergeCell ref="D10:G10"/>
    <mergeCell ref="D95:D102"/>
    <mergeCell ref="B25:D25"/>
    <mergeCell ref="E25:F25"/>
    <mergeCell ref="B39:C39"/>
    <mergeCell ref="D39:E39"/>
    <mergeCell ref="D63:D70"/>
    <mergeCell ref="D79:D86"/>
    <mergeCell ref="B40:C40"/>
    <mergeCell ref="D40:E40"/>
    <mergeCell ref="F40:G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4A35-1090-4302-B45E-B21A9A821A81}">
  <dimension ref="A1:K109"/>
  <sheetViews>
    <sheetView topLeftCell="A31" workbookViewId="0">
      <selection activeCell="C121" sqref="C121"/>
    </sheetView>
  </sheetViews>
  <sheetFormatPr defaultRowHeight="14.4" x14ac:dyDescent="0.3"/>
  <cols>
    <col min="1" max="1" width="15.33203125" style="20" customWidth="1"/>
    <col min="2" max="2" width="42.6640625" style="20" customWidth="1"/>
    <col min="3" max="3" width="11.44140625" style="20" customWidth="1"/>
    <col min="4" max="4" width="16.44140625" style="20" customWidth="1"/>
    <col min="5" max="5" width="20.109375" style="20" customWidth="1"/>
    <col min="6" max="6" width="25.33203125" style="20" customWidth="1"/>
    <col min="7" max="7" width="15.33203125" style="20" customWidth="1"/>
    <col min="8" max="16384" width="8.88671875" style="20"/>
  </cols>
  <sheetData>
    <row r="1" spans="1:11" ht="15" thickBot="1" x14ac:dyDescent="0.35">
      <c r="A1" s="20" t="s">
        <v>234</v>
      </c>
    </row>
    <row r="2" spans="1:11" ht="15" thickBot="1" x14ac:dyDescent="0.35">
      <c r="A2" s="24" t="s">
        <v>81</v>
      </c>
      <c r="B2" s="203" t="s">
        <v>78</v>
      </c>
      <c r="C2" s="24" t="s">
        <v>18</v>
      </c>
      <c r="D2" s="10"/>
      <c r="E2" s="208"/>
      <c r="F2" s="209"/>
      <c r="G2" s="210"/>
      <c r="H2" s="121"/>
      <c r="I2" s="10"/>
    </row>
    <row r="3" spans="1:11" ht="15" customHeight="1" thickTop="1" thickBot="1" x14ac:dyDescent="0.35">
      <c r="A3" s="229">
        <v>1</v>
      </c>
      <c r="B3" s="194" t="s">
        <v>231</v>
      </c>
      <c r="C3" s="10">
        <v>0</v>
      </c>
      <c r="D3" s="10"/>
      <c r="E3" s="211"/>
      <c r="F3" s="212"/>
      <c r="G3" s="213"/>
      <c r="H3" s="121"/>
      <c r="I3" s="10"/>
    </row>
    <row r="4" spans="1:11" ht="15" customHeight="1" thickTop="1" thickBot="1" x14ac:dyDescent="0.35">
      <c r="A4" s="230">
        <v>1</v>
      </c>
      <c r="B4" s="194" t="s">
        <v>283</v>
      </c>
      <c r="C4" s="10">
        <v>0</v>
      </c>
      <c r="D4" s="10"/>
      <c r="E4" s="214"/>
      <c r="F4" s="215"/>
      <c r="G4" s="213"/>
      <c r="H4" s="121"/>
      <c r="I4" s="10"/>
    </row>
    <row r="5" spans="1:11" ht="15" customHeight="1" thickTop="1" thickBot="1" x14ac:dyDescent="0.35">
      <c r="A5" s="230">
        <v>1</v>
      </c>
      <c r="B5" s="194" t="s">
        <v>232</v>
      </c>
      <c r="C5" s="10">
        <v>0</v>
      </c>
      <c r="D5" s="10"/>
      <c r="E5" s="216"/>
      <c r="F5" s="217"/>
      <c r="G5" s="213"/>
      <c r="H5" s="121"/>
      <c r="I5" s="10"/>
    </row>
    <row r="6" spans="1:11" ht="15" customHeight="1" thickTop="1" thickBot="1" x14ac:dyDescent="0.35">
      <c r="A6" s="230">
        <v>1</v>
      </c>
      <c r="B6" s="194" t="s">
        <v>284</v>
      </c>
      <c r="C6" s="10">
        <v>0</v>
      </c>
      <c r="D6" s="10"/>
      <c r="E6" s="218"/>
      <c r="F6" s="219"/>
      <c r="G6" s="213"/>
      <c r="H6" s="121"/>
      <c r="I6" s="10"/>
    </row>
    <row r="7" spans="1:11" ht="15" customHeight="1" x14ac:dyDescent="0.3">
      <c r="A7" s="230">
        <v>1</v>
      </c>
      <c r="B7" s="194" t="s">
        <v>285</v>
      </c>
      <c r="C7" s="10">
        <v>0</v>
      </c>
      <c r="D7" s="10"/>
      <c r="F7" s="10"/>
      <c r="G7" s="10"/>
      <c r="H7" s="10"/>
      <c r="I7" s="10"/>
      <c r="J7" s="10"/>
      <c r="K7" s="10"/>
    </row>
    <row r="8" spans="1:11" ht="15" customHeight="1" x14ac:dyDescent="0.3">
      <c r="A8" s="230">
        <v>1</v>
      </c>
      <c r="B8" s="194" t="s">
        <v>286</v>
      </c>
      <c r="C8" s="10">
        <v>0</v>
      </c>
      <c r="D8" s="10"/>
      <c r="F8" s="10"/>
      <c r="G8" s="10"/>
      <c r="H8" s="10"/>
      <c r="I8" s="10"/>
      <c r="J8" s="10"/>
      <c r="K8" s="10"/>
    </row>
    <row r="9" spans="1:11" ht="15" customHeight="1" x14ac:dyDescent="0.3">
      <c r="A9" s="230">
        <v>1</v>
      </c>
      <c r="B9" s="194" t="s">
        <v>287</v>
      </c>
      <c r="C9" s="10">
        <v>0</v>
      </c>
      <c r="D9" s="10"/>
      <c r="F9" s="10"/>
      <c r="G9" s="10"/>
      <c r="H9" s="10"/>
      <c r="I9" s="10"/>
      <c r="J9" s="10"/>
      <c r="K9" s="10"/>
    </row>
    <row r="10" spans="1:11" ht="15" customHeight="1" x14ac:dyDescent="0.3">
      <c r="A10" s="230">
        <v>1</v>
      </c>
      <c r="B10" s="194" t="s">
        <v>288</v>
      </c>
      <c r="C10" s="10">
        <v>0</v>
      </c>
      <c r="D10" s="220"/>
      <c r="F10" s="10"/>
      <c r="G10" s="10"/>
      <c r="H10" s="10"/>
      <c r="I10" s="10"/>
      <c r="J10" s="10"/>
      <c r="K10" s="10"/>
    </row>
    <row r="11" spans="1:11" ht="15" customHeight="1" x14ac:dyDescent="0.3">
      <c r="A11" s="230">
        <v>1</v>
      </c>
      <c r="B11" s="194" t="s">
        <v>289</v>
      </c>
      <c r="C11" s="10">
        <v>0</v>
      </c>
      <c r="D11" s="220"/>
      <c r="G11" s="10"/>
      <c r="H11" s="10"/>
      <c r="I11" s="10"/>
      <c r="J11" s="10"/>
      <c r="K11" s="10"/>
    </row>
    <row r="12" spans="1:11" ht="15" customHeight="1" x14ac:dyDescent="0.3">
      <c r="A12" s="230">
        <v>1</v>
      </c>
      <c r="B12" s="194" t="s">
        <v>290</v>
      </c>
      <c r="C12" s="10">
        <v>0</v>
      </c>
      <c r="D12" s="220"/>
      <c r="G12" s="10"/>
      <c r="H12" s="10"/>
      <c r="I12" s="10"/>
      <c r="J12" s="194"/>
      <c r="K12" s="10"/>
    </row>
    <row r="13" spans="1:11" ht="15" customHeight="1" x14ac:dyDescent="0.3">
      <c r="A13" s="230">
        <v>1</v>
      </c>
      <c r="B13" s="194" t="s">
        <v>291</v>
      </c>
      <c r="C13" s="10">
        <v>0</v>
      </c>
      <c r="D13" s="220"/>
      <c r="G13" s="10"/>
      <c r="H13" s="10"/>
      <c r="I13" s="10"/>
      <c r="J13" s="194"/>
      <c r="K13" s="10"/>
    </row>
    <row r="14" spans="1:11" ht="15" customHeight="1" x14ac:dyDescent="0.3">
      <c r="A14" s="230">
        <v>1</v>
      </c>
      <c r="B14" s="194" t="s">
        <v>233</v>
      </c>
      <c r="C14" s="10">
        <v>0</v>
      </c>
      <c r="D14" s="220"/>
      <c r="J14" s="194"/>
    </row>
    <row r="15" spans="1:11" ht="15" customHeight="1" x14ac:dyDescent="0.3">
      <c r="A15" s="230">
        <v>1</v>
      </c>
      <c r="B15" s="194" t="s">
        <v>292</v>
      </c>
      <c r="C15" s="10">
        <v>0</v>
      </c>
      <c r="D15" s="220"/>
      <c r="J15" s="194"/>
    </row>
    <row r="16" spans="1:11" ht="15" customHeight="1" x14ac:dyDescent="0.3">
      <c r="A16" s="230">
        <v>1</v>
      </c>
      <c r="B16" s="194" t="s">
        <v>293</v>
      </c>
      <c r="C16" s="10">
        <v>0</v>
      </c>
      <c r="D16" s="220"/>
      <c r="J16" s="194"/>
    </row>
    <row r="17" spans="1:10" ht="15" customHeight="1" x14ac:dyDescent="0.3">
      <c r="A17" s="230">
        <v>1</v>
      </c>
      <c r="B17" s="194" t="s">
        <v>294</v>
      </c>
      <c r="C17" s="28">
        <v>0</v>
      </c>
      <c r="D17" s="220"/>
      <c r="J17" s="194"/>
    </row>
    <row r="18" spans="1:10" x14ac:dyDescent="0.3">
      <c r="A18" s="231">
        <v>1</v>
      </c>
      <c r="B18" s="203" t="s">
        <v>79</v>
      </c>
      <c r="C18" s="204">
        <f>SUM(C3:C9)</f>
        <v>0</v>
      </c>
      <c r="J18" s="194"/>
    </row>
    <row r="19" spans="1:10" x14ac:dyDescent="0.3">
      <c r="A19" s="230">
        <v>2</v>
      </c>
      <c r="B19" s="194" t="s">
        <v>231</v>
      </c>
      <c r="C19" s="10">
        <v>0</v>
      </c>
      <c r="J19" s="194"/>
    </row>
    <row r="20" spans="1:10" x14ac:dyDescent="0.3">
      <c r="A20" s="230">
        <v>2</v>
      </c>
      <c r="B20" s="194" t="s">
        <v>283</v>
      </c>
      <c r="C20" s="10">
        <v>0</v>
      </c>
      <c r="J20" s="194"/>
    </row>
    <row r="21" spans="1:10" x14ac:dyDescent="0.3">
      <c r="A21" s="230">
        <v>2</v>
      </c>
      <c r="B21" s="194" t="s">
        <v>232</v>
      </c>
      <c r="C21" s="10">
        <v>0</v>
      </c>
      <c r="J21" s="194"/>
    </row>
    <row r="22" spans="1:10" x14ac:dyDescent="0.3">
      <c r="A22" s="230">
        <v>2</v>
      </c>
      <c r="B22" s="194" t="s">
        <v>284</v>
      </c>
      <c r="C22" s="10">
        <v>0</v>
      </c>
      <c r="J22" s="194"/>
    </row>
    <row r="23" spans="1:10" x14ac:dyDescent="0.3">
      <c r="A23" s="230">
        <v>2</v>
      </c>
      <c r="B23" s="194" t="s">
        <v>285</v>
      </c>
      <c r="C23" s="10">
        <v>0</v>
      </c>
      <c r="J23" s="194"/>
    </row>
    <row r="24" spans="1:10" x14ac:dyDescent="0.3">
      <c r="A24" s="230">
        <v>2</v>
      </c>
      <c r="B24" s="194" t="s">
        <v>286</v>
      </c>
      <c r="C24" s="10">
        <v>0</v>
      </c>
      <c r="J24" s="194"/>
    </row>
    <row r="25" spans="1:10" x14ac:dyDescent="0.3">
      <c r="A25" s="230">
        <v>2</v>
      </c>
      <c r="B25" s="194" t="s">
        <v>287</v>
      </c>
      <c r="C25" s="10">
        <v>0</v>
      </c>
      <c r="J25" s="194"/>
    </row>
    <row r="26" spans="1:10" x14ac:dyDescent="0.3">
      <c r="A26" s="230">
        <v>2</v>
      </c>
      <c r="B26" s="194" t="s">
        <v>288</v>
      </c>
      <c r="C26" s="10">
        <v>0</v>
      </c>
      <c r="D26" s="220"/>
      <c r="J26" s="194"/>
    </row>
    <row r="27" spans="1:10" x14ac:dyDescent="0.3">
      <c r="A27" s="230">
        <v>2</v>
      </c>
      <c r="B27" s="194" t="s">
        <v>289</v>
      </c>
      <c r="C27" s="10">
        <v>0</v>
      </c>
      <c r="D27" s="220"/>
    </row>
    <row r="28" spans="1:10" x14ac:dyDescent="0.3">
      <c r="A28" s="230">
        <v>2</v>
      </c>
      <c r="B28" s="194" t="s">
        <v>290</v>
      </c>
      <c r="C28" s="10">
        <v>0</v>
      </c>
      <c r="D28" s="220"/>
    </row>
    <row r="29" spans="1:10" x14ac:dyDescent="0.3">
      <c r="A29" s="230">
        <v>2</v>
      </c>
      <c r="B29" s="194" t="s">
        <v>291</v>
      </c>
      <c r="C29" s="10">
        <v>0</v>
      </c>
      <c r="D29" s="220"/>
    </row>
    <row r="30" spans="1:10" x14ac:dyDescent="0.3">
      <c r="A30" s="230">
        <v>2</v>
      </c>
      <c r="B30" s="194" t="s">
        <v>233</v>
      </c>
      <c r="C30" s="10">
        <v>0</v>
      </c>
      <c r="D30" s="220"/>
    </row>
    <row r="31" spans="1:10" x14ac:dyDescent="0.3">
      <c r="A31" s="230">
        <v>2</v>
      </c>
      <c r="B31" s="194" t="s">
        <v>292</v>
      </c>
      <c r="C31" s="10">
        <v>0</v>
      </c>
      <c r="D31" s="220"/>
    </row>
    <row r="32" spans="1:10" x14ac:dyDescent="0.3">
      <c r="A32" s="230">
        <v>2</v>
      </c>
      <c r="B32" s="194" t="s">
        <v>293</v>
      </c>
      <c r="C32" s="10">
        <v>0</v>
      </c>
      <c r="D32" s="220"/>
    </row>
    <row r="33" spans="1:4" x14ac:dyDescent="0.3">
      <c r="A33" s="230">
        <v>2</v>
      </c>
      <c r="B33" s="194" t="s">
        <v>294</v>
      </c>
      <c r="C33" s="28">
        <v>0</v>
      </c>
      <c r="D33" s="220"/>
    </row>
    <row r="34" spans="1:4" x14ac:dyDescent="0.3">
      <c r="A34" s="230">
        <v>2</v>
      </c>
      <c r="B34" s="203" t="s">
        <v>79</v>
      </c>
      <c r="C34" s="204">
        <f>SUM(C19:C33)</f>
        <v>0</v>
      </c>
    </row>
    <row r="35" spans="1:4" x14ac:dyDescent="0.3">
      <c r="A35" s="229">
        <v>3</v>
      </c>
      <c r="B35" s="194" t="s">
        <v>231</v>
      </c>
      <c r="C35" s="10">
        <v>0</v>
      </c>
    </row>
    <row r="36" spans="1:4" x14ac:dyDescent="0.3">
      <c r="A36" s="230">
        <v>3</v>
      </c>
      <c r="B36" s="194" t="s">
        <v>283</v>
      </c>
      <c r="C36" s="10">
        <v>0</v>
      </c>
    </row>
    <row r="37" spans="1:4" x14ac:dyDescent="0.3">
      <c r="A37" s="230">
        <v>3</v>
      </c>
      <c r="B37" s="194" t="s">
        <v>232</v>
      </c>
      <c r="C37" s="10">
        <v>0</v>
      </c>
    </row>
    <row r="38" spans="1:4" x14ac:dyDescent="0.3">
      <c r="A38" s="230">
        <v>3</v>
      </c>
      <c r="B38" s="194" t="s">
        <v>284</v>
      </c>
      <c r="C38" s="10">
        <v>0</v>
      </c>
    </row>
    <row r="39" spans="1:4" x14ac:dyDescent="0.3">
      <c r="A39" s="230">
        <v>3</v>
      </c>
      <c r="B39" s="194" t="s">
        <v>285</v>
      </c>
      <c r="C39" s="10">
        <v>0</v>
      </c>
    </row>
    <row r="40" spans="1:4" x14ac:dyDescent="0.3">
      <c r="A40" s="230">
        <v>3</v>
      </c>
      <c r="B40" s="194" t="s">
        <v>286</v>
      </c>
      <c r="C40" s="10">
        <v>0</v>
      </c>
    </row>
    <row r="41" spans="1:4" x14ac:dyDescent="0.3">
      <c r="A41" s="230">
        <v>3</v>
      </c>
      <c r="B41" s="194" t="s">
        <v>287</v>
      </c>
      <c r="C41" s="10">
        <v>0</v>
      </c>
    </row>
    <row r="42" spans="1:4" x14ac:dyDescent="0.3">
      <c r="A42" s="230">
        <v>3</v>
      </c>
      <c r="B42" s="194" t="s">
        <v>288</v>
      </c>
      <c r="C42" s="10">
        <v>0</v>
      </c>
      <c r="D42" s="220"/>
    </row>
    <row r="43" spans="1:4" x14ac:dyDescent="0.3">
      <c r="A43" s="230">
        <v>3</v>
      </c>
      <c r="B43" s="194" t="s">
        <v>289</v>
      </c>
      <c r="C43" s="10">
        <v>0</v>
      </c>
      <c r="D43" s="220"/>
    </row>
    <row r="44" spans="1:4" x14ac:dyDescent="0.3">
      <c r="A44" s="230">
        <v>3</v>
      </c>
      <c r="B44" s="194" t="s">
        <v>290</v>
      </c>
      <c r="C44" s="10">
        <v>0</v>
      </c>
      <c r="D44" s="220"/>
    </row>
    <row r="45" spans="1:4" x14ac:dyDescent="0.3">
      <c r="A45" s="230">
        <v>3</v>
      </c>
      <c r="B45" s="194" t="s">
        <v>291</v>
      </c>
      <c r="C45" s="10">
        <v>0</v>
      </c>
      <c r="D45" s="220"/>
    </row>
    <row r="46" spans="1:4" x14ac:dyDescent="0.3">
      <c r="A46" s="230">
        <v>3</v>
      </c>
      <c r="B46" s="194" t="s">
        <v>233</v>
      </c>
      <c r="C46" s="10">
        <v>0</v>
      </c>
      <c r="D46" s="220"/>
    </row>
    <row r="47" spans="1:4" x14ac:dyDescent="0.3">
      <c r="A47" s="230">
        <v>3</v>
      </c>
      <c r="B47" s="194" t="s">
        <v>292</v>
      </c>
      <c r="C47" s="10">
        <v>0</v>
      </c>
      <c r="D47" s="220"/>
    </row>
    <row r="48" spans="1:4" x14ac:dyDescent="0.3">
      <c r="A48" s="230">
        <v>3</v>
      </c>
      <c r="B48" s="194" t="s">
        <v>293</v>
      </c>
      <c r="C48" s="10">
        <v>0</v>
      </c>
      <c r="D48" s="220"/>
    </row>
    <row r="49" spans="1:4" x14ac:dyDescent="0.3">
      <c r="A49" s="230">
        <v>3</v>
      </c>
      <c r="B49" s="194" t="s">
        <v>294</v>
      </c>
      <c r="C49" s="28">
        <v>0</v>
      </c>
      <c r="D49" s="220"/>
    </row>
    <row r="50" spans="1:4" x14ac:dyDescent="0.3">
      <c r="A50" s="230">
        <v>3</v>
      </c>
      <c r="B50" s="203" t="s">
        <v>79</v>
      </c>
      <c r="C50" s="204">
        <f>SUM(C35:C49)</f>
        <v>0</v>
      </c>
    </row>
    <row r="51" spans="1:4" x14ac:dyDescent="0.3">
      <c r="A51" s="229" t="s">
        <v>80</v>
      </c>
      <c r="B51" s="194" t="s">
        <v>231</v>
      </c>
      <c r="C51" s="205">
        <f>SUM(C3,C19,C35)</f>
        <v>0</v>
      </c>
    </row>
    <row r="52" spans="1:4" x14ac:dyDescent="0.3">
      <c r="A52" s="230" t="s">
        <v>80</v>
      </c>
      <c r="B52" s="194" t="s">
        <v>283</v>
      </c>
      <c r="C52" s="205">
        <f>SUM(C4,C20,C36)</f>
        <v>0</v>
      </c>
    </row>
    <row r="53" spans="1:4" x14ac:dyDescent="0.3">
      <c r="A53" s="230" t="s">
        <v>80</v>
      </c>
      <c r="B53" s="194" t="s">
        <v>232</v>
      </c>
      <c r="C53" s="205">
        <f t="shared" ref="C53:C57" si="0">SUM(C5,C21,C37)</f>
        <v>0</v>
      </c>
    </row>
    <row r="54" spans="1:4" x14ac:dyDescent="0.3">
      <c r="A54" s="230" t="s">
        <v>80</v>
      </c>
      <c r="B54" s="194" t="s">
        <v>284</v>
      </c>
      <c r="C54" s="205">
        <f t="shared" si="0"/>
        <v>0</v>
      </c>
    </row>
    <row r="55" spans="1:4" x14ac:dyDescent="0.3">
      <c r="A55" s="230" t="s">
        <v>80</v>
      </c>
      <c r="B55" s="194" t="s">
        <v>285</v>
      </c>
      <c r="C55" s="205">
        <f t="shared" si="0"/>
        <v>0</v>
      </c>
    </row>
    <row r="56" spans="1:4" x14ac:dyDescent="0.3">
      <c r="A56" s="230" t="s">
        <v>80</v>
      </c>
      <c r="B56" s="194" t="s">
        <v>286</v>
      </c>
      <c r="C56" s="205">
        <f t="shared" si="0"/>
        <v>0</v>
      </c>
    </row>
    <row r="57" spans="1:4" x14ac:dyDescent="0.3">
      <c r="A57" s="230" t="s">
        <v>80</v>
      </c>
      <c r="B57" s="194" t="s">
        <v>287</v>
      </c>
      <c r="C57" s="205">
        <f t="shared" si="0"/>
        <v>0</v>
      </c>
    </row>
    <row r="58" spans="1:4" x14ac:dyDescent="0.3">
      <c r="A58" s="230" t="s">
        <v>80</v>
      </c>
      <c r="B58" s="194" t="s">
        <v>288</v>
      </c>
      <c r="C58" s="205">
        <f t="shared" ref="C58:C65" si="1">SUM(C10,C26,C42)</f>
        <v>0</v>
      </c>
      <c r="D58" s="220"/>
    </row>
    <row r="59" spans="1:4" x14ac:dyDescent="0.3">
      <c r="A59" s="230" t="s">
        <v>80</v>
      </c>
      <c r="B59" s="194" t="s">
        <v>289</v>
      </c>
      <c r="C59" s="205">
        <f t="shared" si="1"/>
        <v>0</v>
      </c>
      <c r="D59" s="220"/>
    </row>
    <row r="60" spans="1:4" x14ac:dyDescent="0.3">
      <c r="A60" s="230" t="s">
        <v>80</v>
      </c>
      <c r="B60" s="194" t="s">
        <v>290</v>
      </c>
      <c r="C60" s="205">
        <f t="shared" si="1"/>
        <v>0</v>
      </c>
      <c r="D60" s="220"/>
    </row>
    <row r="61" spans="1:4" x14ac:dyDescent="0.3">
      <c r="A61" s="230" t="s">
        <v>80</v>
      </c>
      <c r="B61" s="194" t="s">
        <v>291</v>
      </c>
      <c r="C61" s="205">
        <f t="shared" si="1"/>
        <v>0</v>
      </c>
      <c r="D61" s="220"/>
    </row>
    <row r="62" spans="1:4" x14ac:dyDescent="0.3">
      <c r="A62" s="230" t="s">
        <v>80</v>
      </c>
      <c r="B62" s="194" t="s">
        <v>233</v>
      </c>
      <c r="C62" s="205">
        <f t="shared" si="1"/>
        <v>0</v>
      </c>
      <c r="D62" s="220"/>
    </row>
    <row r="63" spans="1:4" x14ac:dyDescent="0.3">
      <c r="A63" s="230" t="s">
        <v>80</v>
      </c>
      <c r="B63" s="194" t="s">
        <v>292</v>
      </c>
      <c r="C63" s="205">
        <f t="shared" si="1"/>
        <v>0</v>
      </c>
      <c r="D63" s="220"/>
    </row>
    <row r="64" spans="1:4" x14ac:dyDescent="0.3">
      <c r="A64" s="230" t="s">
        <v>80</v>
      </c>
      <c r="B64" s="194" t="s">
        <v>293</v>
      </c>
      <c r="C64" s="205">
        <f t="shared" si="1"/>
        <v>0</v>
      </c>
      <c r="D64" s="220"/>
    </row>
    <row r="65" spans="1:4" x14ac:dyDescent="0.3">
      <c r="A65" s="230" t="s">
        <v>80</v>
      </c>
      <c r="B65" s="194" t="s">
        <v>294</v>
      </c>
      <c r="C65" s="206">
        <f t="shared" si="1"/>
        <v>0</v>
      </c>
      <c r="D65" s="220"/>
    </row>
    <row r="66" spans="1:4" x14ac:dyDescent="0.3">
      <c r="A66" s="231" t="s">
        <v>80</v>
      </c>
      <c r="B66" s="203" t="s">
        <v>79</v>
      </c>
      <c r="C66" s="207">
        <f>SUM(C51:C65)</f>
        <v>0</v>
      </c>
    </row>
    <row r="68" spans="1:4" x14ac:dyDescent="0.3">
      <c r="A68" s="20" t="s">
        <v>235</v>
      </c>
    </row>
    <row r="69" spans="1:4" x14ac:dyDescent="0.3">
      <c r="A69" s="24" t="s">
        <v>81</v>
      </c>
      <c r="B69" s="203" t="s">
        <v>78</v>
      </c>
      <c r="C69" s="24" t="s">
        <v>18</v>
      </c>
    </row>
    <row r="70" spans="1:4" x14ac:dyDescent="0.3">
      <c r="A70" s="229">
        <v>1</v>
      </c>
      <c r="B70" s="244" t="s">
        <v>50</v>
      </c>
      <c r="C70" s="24">
        <v>0</v>
      </c>
    </row>
    <row r="71" spans="1:4" x14ac:dyDescent="0.3">
      <c r="A71" s="230">
        <v>1</v>
      </c>
      <c r="B71" s="50" t="s">
        <v>151</v>
      </c>
      <c r="C71" s="10">
        <v>0</v>
      </c>
    </row>
    <row r="72" spans="1:4" x14ac:dyDescent="0.3">
      <c r="A72" s="230">
        <v>1</v>
      </c>
      <c r="B72" s="50" t="s">
        <v>276</v>
      </c>
      <c r="C72" s="10">
        <v>0</v>
      </c>
    </row>
    <row r="73" spans="1:4" x14ac:dyDescent="0.3">
      <c r="A73" s="230">
        <v>1</v>
      </c>
      <c r="B73" s="194" t="s">
        <v>289</v>
      </c>
      <c r="C73" s="10">
        <v>0</v>
      </c>
    </row>
    <row r="74" spans="1:4" x14ac:dyDescent="0.3">
      <c r="A74" s="230">
        <v>1</v>
      </c>
      <c r="B74" s="50" t="s">
        <v>154</v>
      </c>
      <c r="C74" s="10">
        <v>0</v>
      </c>
    </row>
    <row r="75" spans="1:4" x14ac:dyDescent="0.3">
      <c r="A75" s="230">
        <v>1</v>
      </c>
      <c r="B75" s="50" t="s">
        <v>156</v>
      </c>
      <c r="C75" s="10">
        <v>0</v>
      </c>
    </row>
    <row r="76" spans="1:4" x14ac:dyDescent="0.3">
      <c r="A76" s="230">
        <v>1</v>
      </c>
      <c r="B76" s="50" t="s">
        <v>277</v>
      </c>
      <c r="C76" s="10">
        <v>0</v>
      </c>
    </row>
    <row r="77" spans="1:4" x14ac:dyDescent="0.3">
      <c r="A77" s="230">
        <v>1</v>
      </c>
      <c r="B77" s="50" t="s">
        <v>278</v>
      </c>
      <c r="C77" s="10">
        <v>0</v>
      </c>
    </row>
    <row r="78" spans="1:4" x14ac:dyDescent="0.3">
      <c r="A78" s="230">
        <v>1</v>
      </c>
      <c r="B78" s="50" t="s">
        <v>148</v>
      </c>
      <c r="C78" s="10">
        <v>0</v>
      </c>
    </row>
    <row r="79" spans="1:4" x14ac:dyDescent="0.3">
      <c r="A79" s="230">
        <v>1</v>
      </c>
      <c r="B79" s="203" t="s">
        <v>75</v>
      </c>
      <c r="C79" s="207">
        <f>SUM(C70:C78)</f>
        <v>0</v>
      </c>
    </row>
    <row r="80" spans="1:4" x14ac:dyDescent="0.3">
      <c r="A80" s="229">
        <v>2</v>
      </c>
      <c r="B80" s="244" t="s">
        <v>50</v>
      </c>
      <c r="C80" s="24">
        <v>0</v>
      </c>
    </row>
    <row r="81" spans="1:3" x14ac:dyDescent="0.3">
      <c r="A81" s="230">
        <v>2</v>
      </c>
      <c r="B81" s="50" t="s">
        <v>151</v>
      </c>
      <c r="C81" s="10">
        <v>0</v>
      </c>
    </row>
    <row r="82" spans="1:3" x14ac:dyDescent="0.3">
      <c r="A82" s="230">
        <v>2</v>
      </c>
      <c r="B82" s="50" t="s">
        <v>276</v>
      </c>
      <c r="C82" s="10">
        <v>0</v>
      </c>
    </row>
    <row r="83" spans="1:3" x14ac:dyDescent="0.3">
      <c r="A83" s="230">
        <v>2</v>
      </c>
      <c r="B83" s="194" t="s">
        <v>289</v>
      </c>
      <c r="C83" s="10">
        <v>0</v>
      </c>
    </row>
    <row r="84" spans="1:3" x14ac:dyDescent="0.3">
      <c r="A84" s="230">
        <v>2</v>
      </c>
      <c r="B84" s="50" t="s">
        <v>154</v>
      </c>
      <c r="C84" s="10">
        <v>0</v>
      </c>
    </row>
    <row r="85" spans="1:3" x14ac:dyDescent="0.3">
      <c r="A85" s="230">
        <v>2</v>
      </c>
      <c r="B85" s="50" t="s">
        <v>156</v>
      </c>
      <c r="C85" s="10">
        <v>0</v>
      </c>
    </row>
    <row r="86" spans="1:3" x14ac:dyDescent="0.3">
      <c r="A86" s="230">
        <v>2</v>
      </c>
      <c r="B86" s="50" t="s">
        <v>277</v>
      </c>
      <c r="C86" s="10">
        <v>0</v>
      </c>
    </row>
    <row r="87" spans="1:3" x14ac:dyDescent="0.3">
      <c r="A87" s="230">
        <v>2</v>
      </c>
      <c r="B87" s="50" t="s">
        <v>278</v>
      </c>
      <c r="C87" s="10">
        <v>0</v>
      </c>
    </row>
    <row r="88" spans="1:3" x14ac:dyDescent="0.3">
      <c r="A88" s="230">
        <v>2</v>
      </c>
      <c r="B88" s="50" t="s">
        <v>148</v>
      </c>
      <c r="C88" s="204">
        <v>0</v>
      </c>
    </row>
    <row r="89" spans="1:3" x14ac:dyDescent="0.3">
      <c r="A89" s="230">
        <v>2</v>
      </c>
      <c r="B89" s="228" t="s">
        <v>75</v>
      </c>
      <c r="C89" s="28">
        <f>SUM(C80:C88)</f>
        <v>0</v>
      </c>
    </row>
    <row r="90" spans="1:3" x14ac:dyDescent="0.3">
      <c r="A90" s="229">
        <v>3</v>
      </c>
      <c r="B90" s="244" t="s">
        <v>50</v>
      </c>
      <c r="C90" s="10">
        <v>0</v>
      </c>
    </row>
    <row r="91" spans="1:3" x14ac:dyDescent="0.3">
      <c r="A91" s="230">
        <v>3</v>
      </c>
      <c r="B91" s="50" t="s">
        <v>151</v>
      </c>
      <c r="C91" s="10">
        <v>0</v>
      </c>
    </row>
    <row r="92" spans="1:3" x14ac:dyDescent="0.3">
      <c r="A92" s="230">
        <v>3</v>
      </c>
      <c r="B92" s="50" t="s">
        <v>276</v>
      </c>
      <c r="C92" s="10">
        <v>0</v>
      </c>
    </row>
    <row r="93" spans="1:3" x14ac:dyDescent="0.3">
      <c r="A93" s="230">
        <v>3</v>
      </c>
      <c r="B93" s="194" t="s">
        <v>289</v>
      </c>
      <c r="C93" s="10">
        <v>0</v>
      </c>
    </row>
    <row r="94" spans="1:3" x14ac:dyDescent="0.3">
      <c r="A94" s="230">
        <v>3</v>
      </c>
      <c r="B94" s="50" t="s">
        <v>154</v>
      </c>
      <c r="C94" s="10">
        <v>0</v>
      </c>
    </row>
    <row r="95" spans="1:3" x14ac:dyDescent="0.3">
      <c r="A95" s="230">
        <v>3</v>
      </c>
      <c r="B95" s="50" t="s">
        <v>156</v>
      </c>
      <c r="C95" s="10">
        <v>0</v>
      </c>
    </row>
    <row r="96" spans="1:3" x14ac:dyDescent="0.3">
      <c r="A96" s="230">
        <v>3</v>
      </c>
      <c r="B96" s="50" t="s">
        <v>277</v>
      </c>
      <c r="C96" s="10">
        <v>0</v>
      </c>
    </row>
    <row r="97" spans="1:3" x14ac:dyDescent="0.3">
      <c r="A97" s="230">
        <v>3</v>
      </c>
      <c r="B97" s="50" t="s">
        <v>278</v>
      </c>
      <c r="C97" s="10">
        <v>0</v>
      </c>
    </row>
    <row r="98" spans="1:3" x14ac:dyDescent="0.3">
      <c r="A98" s="230">
        <v>3</v>
      </c>
      <c r="B98" s="50" t="s">
        <v>148</v>
      </c>
      <c r="C98" s="10">
        <v>0</v>
      </c>
    </row>
    <row r="99" spans="1:3" x14ac:dyDescent="0.3">
      <c r="A99" s="230">
        <v>3</v>
      </c>
      <c r="B99" s="228" t="s">
        <v>75</v>
      </c>
      <c r="C99" s="228">
        <f>SUM(C90:C98)</f>
        <v>0</v>
      </c>
    </row>
    <row r="100" spans="1:3" x14ac:dyDescent="0.3">
      <c r="A100" s="229" t="s">
        <v>80</v>
      </c>
      <c r="B100" s="244" t="s">
        <v>50</v>
      </c>
      <c r="C100" s="10">
        <f>SUM(C90,C80,C70)</f>
        <v>0</v>
      </c>
    </row>
    <row r="101" spans="1:3" x14ac:dyDescent="0.3">
      <c r="A101" s="230" t="s">
        <v>80</v>
      </c>
      <c r="B101" s="50" t="s">
        <v>151</v>
      </c>
      <c r="C101" s="10">
        <f t="shared" ref="C101:C108" si="2">SUM(C91,C81,C71)</f>
        <v>0</v>
      </c>
    </row>
    <row r="102" spans="1:3" x14ac:dyDescent="0.3">
      <c r="A102" s="230" t="s">
        <v>80</v>
      </c>
      <c r="B102" s="50" t="s">
        <v>276</v>
      </c>
      <c r="C102" s="10">
        <f t="shared" si="2"/>
        <v>0</v>
      </c>
    </row>
    <row r="103" spans="1:3" x14ac:dyDescent="0.3">
      <c r="A103" s="230" t="s">
        <v>80</v>
      </c>
      <c r="B103" s="194" t="s">
        <v>289</v>
      </c>
      <c r="C103" s="10">
        <f t="shared" si="2"/>
        <v>0</v>
      </c>
    </row>
    <row r="104" spans="1:3" x14ac:dyDescent="0.3">
      <c r="A104" s="230" t="s">
        <v>80</v>
      </c>
      <c r="B104" s="50" t="s">
        <v>154</v>
      </c>
      <c r="C104" s="10">
        <f t="shared" si="2"/>
        <v>0</v>
      </c>
    </row>
    <row r="105" spans="1:3" x14ac:dyDescent="0.3">
      <c r="A105" s="230" t="s">
        <v>80</v>
      </c>
      <c r="B105" s="50" t="s">
        <v>156</v>
      </c>
      <c r="C105" s="10">
        <f t="shared" si="2"/>
        <v>0</v>
      </c>
    </row>
    <row r="106" spans="1:3" x14ac:dyDescent="0.3">
      <c r="A106" s="230" t="s">
        <v>80</v>
      </c>
      <c r="B106" s="50" t="s">
        <v>277</v>
      </c>
      <c r="C106" s="10">
        <f t="shared" si="2"/>
        <v>0</v>
      </c>
    </row>
    <row r="107" spans="1:3" x14ac:dyDescent="0.3">
      <c r="A107" s="230" t="s">
        <v>80</v>
      </c>
      <c r="B107" s="50" t="s">
        <v>278</v>
      </c>
      <c r="C107" s="10">
        <f t="shared" si="2"/>
        <v>0</v>
      </c>
    </row>
    <row r="108" spans="1:3" x14ac:dyDescent="0.3">
      <c r="A108" s="230" t="s">
        <v>80</v>
      </c>
      <c r="B108" s="50" t="s">
        <v>148</v>
      </c>
      <c r="C108" s="10">
        <f t="shared" si="2"/>
        <v>0</v>
      </c>
    </row>
    <row r="109" spans="1:3" x14ac:dyDescent="0.3">
      <c r="A109" s="231" t="s">
        <v>80</v>
      </c>
      <c r="B109" s="228" t="s">
        <v>75</v>
      </c>
      <c r="C109" s="228">
        <f>SUM(C100:C108)</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3853-D681-42DB-AF70-58415F9D1FB3}">
  <dimension ref="A1:F5"/>
  <sheetViews>
    <sheetView workbookViewId="0">
      <selection activeCell="B3" sqref="B3"/>
    </sheetView>
  </sheetViews>
  <sheetFormatPr defaultRowHeight="14.4" x14ac:dyDescent="0.3"/>
  <cols>
    <col min="1" max="1" width="27.88671875" style="20" customWidth="1"/>
    <col min="2" max="2" width="36.109375" style="20" customWidth="1"/>
    <col min="3" max="3" width="20.44140625" style="20" customWidth="1"/>
    <col min="4" max="4" width="23.44140625" style="20" customWidth="1"/>
    <col min="5" max="5" width="15" style="20" customWidth="1"/>
    <col min="6" max="6" width="27.5546875" style="20" customWidth="1"/>
    <col min="7" max="16384" width="8.88671875" style="20"/>
  </cols>
  <sheetData>
    <row r="1" spans="1:6" ht="15" thickBot="1" x14ac:dyDescent="0.35">
      <c r="A1" s="221" t="s">
        <v>308</v>
      </c>
      <c r="B1" s="222" t="s">
        <v>146</v>
      </c>
      <c r="C1" s="94" t="s">
        <v>196</v>
      </c>
      <c r="D1" s="208"/>
      <c r="E1" s="209" t="s">
        <v>104</v>
      </c>
      <c r="F1" s="210"/>
    </row>
    <row r="2" spans="1:6" ht="15.6" thickTop="1" thickBot="1" x14ac:dyDescent="0.35">
      <c r="A2" s="223">
        <v>1</v>
      </c>
      <c r="B2" s="224">
        <v>300</v>
      </c>
      <c r="C2" s="224">
        <v>200</v>
      </c>
      <c r="D2" s="211" t="s">
        <v>142</v>
      </c>
      <c r="E2" s="212" t="s">
        <v>144</v>
      </c>
      <c r="F2" s="213"/>
    </row>
    <row r="3" spans="1:6" ht="15.6" thickTop="1" thickBot="1" x14ac:dyDescent="0.35">
      <c r="A3" s="223">
        <v>2</v>
      </c>
      <c r="B3" s="224">
        <v>0</v>
      </c>
      <c r="C3" s="224">
        <v>0</v>
      </c>
      <c r="D3" s="277" t="s">
        <v>143</v>
      </c>
      <c r="E3" s="215" t="s">
        <v>145</v>
      </c>
      <c r="F3" s="213"/>
    </row>
    <row r="4" spans="1:6" ht="15.6" thickTop="1" thickBot="1" x14ac:dyDescent="0.35">
      <c r="A4" s="225">
        <v>3</v>
      </c>
      <c r="B4" s="226">
        <v>0</v>
      </c>
      <c r="C4" s="224">
        <v>0</v>
      </c>
      <c r="D4" s="278"/>
      <c r="E4" s="217" t="s">
        <v>141</v>
      </c>
      <c r="F4" s="213"/>
    </row>
    <row r="5" spans="1:6" ht="15" thickBot="1" x14ac:dyDescent="0.35">
      <c r="D5" s="218"/>
      <c r="E5" s="219"/>
      <c r="F5" s="227"/>
    </row>
  </sheetData>
  <mergeCells count="1">
    <mergeCell ref="D3:D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D5655-BF38-412C-8601-C740261AA119}">
  <dimension ref="A1:G8"/>
  <sheetViews>
    <sheetView workbookViewId="0">
      <selection activeCell="D21" sqref="D21"/>
    </sheetView>
  </sheetViews>
  <sheetFormatPr defaultRowHeight="14.4" x14ac:dyDescent="0.3"/>
  <cols>
    <col min="1" max="1" width="36.109375" style="10" customWidth="1"/>
    <col min="2" max="2" width="18.44140625" style="10" customWidth="1"/>
    <col min="3" max="3" width="14.33203125" style="10" customWidth="1"/>
    <col min="4" max="4" width="16.6640625" style="10" customWidth="1"/>
    <col min="5" max="5" width="25.33203125" style="10" customWidth="1"/>
    <col min="6" max="16384" width="8.88671875" style="10"/>
  </cols>
  <sheetData>
    <row r="1" spans="1:7" ht="15" thickBot="1" x14ac:dyDescent="0.35">
      <c r="A1" s="203" t="s">
        <v>309</v>
      </c>
      <c r="B1" s="203" t="s">
        <v>175</v>
      </c>
      <c r="C1" s="10" t="s">
        <v>311</v>
      </c>
      <c r="D1" s="208"/>
      <c r="E1" s="209"/>
      <c r="F1" s="210"/>
      <c r="G1" s="121"/>
    </row>
    <row r="2" spans="1:7" ht="28.2" customHeight="1" thickTop="1" thickBot="1" x14ac:dyDescent="0.35">
      <c r="A2" s="140" t="s">
        <v>302</v>
      </c>
      <c r="B2" s="221">
        <v>1</v>
      </c>
      <c r="C2" s="10" t="s">
        <v>7</v>
      </c>
      <c r="D2" s="211"/>
      <c r="E2" s="212"/>
      <c r="F2" s="213"/>
      <c r="G2" s="121"/>
    </row>
    <row r="3" spans="1:7" ht="32.4" customHeight="1" thickTop="1" thickBot="1" x14ac:dyDescent="0.35">
      <c r="A3" s="15" t="s">
        <v>303</v>
      </c>
      <c r="B3" s="221">
        <v>0</v>
      </c>
      <c r="C3" s="10" t="s">
        <v>7</v>
      </c>
      <c r="D3" s="277"/>
      <c r="E3" s="215"/>
      <c r="F3" s="213"/>
      <c r="G3" s="121"/>
    </row>
    <row r="4" spans="1:7" ht="42" customHeight="1" thickTop="1" thickBot="1" x14ac:dyDescent="0.35">
      <c r="A4" s="15" t="s">
        <v>304</v>
      </c>
      <c r="B4" s="221">
        <v>0</v>
      </c>
      <c r="C4" s="10" t="s">
        <v>7</v>
      </c>
      <c r="D4" s="278"/>
      <c r="E4" s="217"/>
      <c r="F4" s="213"/>
      <c r="G4" s="121"/>
    </row>
    <row r="5" spans="1:7" ht="42" customHeight="1" thickBot="1" x14ac:dyDescent="0.35">
      <c r="A5" s="15" t="s">
        <v>310</v>
      </c>
      <c r="B5" s="10">
        <f>SUM(B2:B4)</f>
        <v>1</v>
      </c>
      <c r="C5" s="10" t="str">
        <f>IF(B5=1,"PASS", "FAIL")</f>
        <v>PASS</v>
      </c>
      <c r="D5" s="232"/>
      <c r="F5" s="213"/>
      <c r="G5" s="121"/>
    </row>
    <row r="6" spans="1:7" ht="19.95" customHeight="1" thickBot="1" x14ac:dyDescent="0.35">
      <c r="A6" s="15" t="s">
        <v>305</v>
      </c>
      <c r="B6" s="221">
        <v>0</v>
      </c>
      <c r="C6" s="10" t="s">
        <v>7</v>
      </c>
      <c r="D6" s="218"/>
      <c r="E6" s="219"/>
      <c r="F6" s="227"/>
      <c r="G6" s="121"/>
    </row>
    <row r="7" spans="1:7" x14ac:dyDescent="0.3">
      <c r="A7" s="15" t="s">
        <v>306</v>
      </c>
      <c r="B7" s="221">
        <v>0</v>
      </c>
      <c r="C7" s="10" t="s">
        <v>7</v>
      </c>
    </row>
    <row r="8" spans="1:7" x14ac:dyDescent="0.3">
      <c r="A8" s="22" t="s">
        <v>307</v>
      </c>
      <c r="B8" s="221">
        <v>0</v>
      </c>
      <c r="C8" s="10" t="s">
        <v>7</v>
      </c>
    </row>
  </sheetData>
  <mergeCells count="1">
    <mergeCell ref="D3:D4"/>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8845B49C-179E-4417-B314-08964CFA2A82}">
            <xm:f>NOT(ISERROR(SEARCH("FAIL",C5)))</xm:f>
            <xm:f>"FAIL"</xm:f>
            <x14:dxf>
              <fill>
                <patternFill>
                  <bgColor rgb="FFFF0000"/>
                </patternFill>
              </fill>
            </x14:dxf>
          </x14:cfRule>
          <xm:sqref>C5:C8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8E689-9AE8-4276-A281-9626BA9CE72C}">
  <dimension ref="A1:R305"/>
  <sheetViews>
    <sheetView topLeftCell="A59" zoomScale="59" zoomScaleNormal="59" workbookViewId="0">
      <selection activeCell="C70" sqref="C69:C77"/>
    </sheetView>
  </sheetViews>
  <sheetFormatPr defaultRowHeight="25.8" x14ac:dyDescent="0.5"/>
  <cols>
    <col min="1" max="1" width="43.33203125" customWidth="1"/>
    <col min="2" max="2" width="67" customWidth="1"/>
    <col min="3" max="3" width="33.6640625" customWidth="1"/>
    <col min="4" max="4" width="42" customWidth="1"/>
    <col min="5" max="5" width="33.109375" style="20" customWidth="1"/>
    <col min="6" max="6" width="61.21875" style="20" customWidth="1"/>
    <col min="7" max="7" width="32.6640625" style="10" customWidth="1"/>
    <col min="8" max="8" width="32.6640625" customWidth="1"/>
    <col min="9" max="9" width="26.6640625" customWidth="1"/>
    <col min="10" max="10" width="40.5546875" customWidth="1"/>
    <col min="11" max="11" width="36.44140625" customWidth="1"/>
    <col min="12" max="12" width="29.5546875" customWidth="1"/>
    <col min="13" max="13" width="21.5546875" customWidth="1"/>
    <col min="14" max="14" width="48.109375" customWidth="1"/>
    <col min="16" max="16" width="31.33203125" customWidth="1"/>
    <col min="17" max="17" width="28.6640625" style="13" customWidth="1"/>
  </cols>
  <sheetData>
    <row r="1" spans="1:18" x14ac:dyDescent="0.5">
      <c r="A1" s="13" t="s">
        <v>0</v>
      </c>
    </row>
    <row r="3" spans="1:18" ht="25.95" customHeight="1" x14ac:dyDescent="0.5">
      <c r="A3" s="286" t="s">
        <v>1</v>
      </c>
      <c r="B3" s="286"/>
      <c r="C3" s="286"/>
      <c r="D3" s="286"/>
      <c r="E3" s="286"/>
      <c r="F3" s="286"/>
    </row>
    <row r="4" spans="1:18" s="12" customFormat="1" ht="27" customHeight="1" x14ac:dyDescent="0.5">
      <c r="A4" s="286"/>
      <c r="B4" s="286"/>
      <c r="C4" s="286"/>
      <c r="D4" s="286"/>
      <c r="E4" s="286"/>
      <c r="F4" s="286"/>
      <c r="G4" s="143"/>
      <c r="Q4" s="13"/>
    </row>
    <row r="5" spans="1:18" x14ac:dyDescent="0.5">
      <c r="A5" s="286"/>
      <c r="B5" s="286"/>
      <c r="C5" s="286"/>
      <c r="D5" s="286"/>
      <c r="E5" s="286"/>
      <c r="F5" s="286"/>
    </row>
    <row r="6" spans="1:18" ht="57.6" customHeight="1" x14ac:dyDescent="0.5">
      <c r="A6" s="287"/>
      <c r="B6" s="287"/>
      <c r="C6" s="287"/>
      <c r="D6" s="287"/>
      <c r="E6" s="287"/>
    </row>
    <row r="7" spans="1:18" s="146" customFormat="1" ht="25.95" customHeight="1" x14ac:dyDescent="0.55000000000000004">
      <c r="A7" s="149" t="s">
        <v>77</v>
      </c>
      <c r="B7" s="150" t="s">
        <v>2</v>
      </c>
      <c r="C7" s="149" t="s">
        <v>3</v>
      </c>
      <c r="D7" s="149" t="s">
        <v>4</v>
      </c>
      <c r="E7" s="151" t="s">
        <v>5</v>
      </c>
      <c r="F7" s="152" t="s">
        <v>6</v>
      </c>
      <c r="G7" s="145"/>
      <c r="H7" s="145"/>
      <c r="P7" s="147"/>
      <c r="Q7" s="148"/>
      <c r="R7" s="148"/>
    </row>
    <row r="8" spans="1:18" ht="51" customHeight="1" x14ac:dyDescent="0.5">
      <c r="A8" s="138" t="s">
        <v>7</v>
      </c>
      <c r="B8" s="3" t="s">
        <v>8</v>
      </c>
      <c r="C8" t="s">
        <v>9</v>
      </c>
      <c r="D8">
        <f>To_POTW!B36</f>
        <v>2.6450555400000002E-2</v>
      </c>
      <c r="E8" s="20" t="s">
        <v>10</v>
      </c>
      <c r="F8" s="285" t="s">
        <v>11</v>
      </c>
      <c r="H8" s="10"/>
      <c r="P8" s="1"/>
    </row>
    <row r="9" spans="1:18" ht="51" customHeight="1" x14ac:dyDescent="0.5">
      <c r="A9" s="235">
        <v>1</v>
      </c>
      <c r="B9" s="32" t="s">
        <v>204</v>
      </c>
      <c r="C9" s="16"/>
      <c r="D9" s="16">
        <f>To_POTW!B3</f>
        <v>1</v>
      </c>
      <c r="E9" s="24"/>
      <c r="F9" s="284"/>
      <c r="H9" s="10"/>
      <c r="P9" s="1"/>
    </row>
    <row r="10" spans="1:18" ht="52.95" customHeight="1" x14ac:dyDescent="0.5">
      <c r="A10" s="236">
        <v>1</v>
      </c>
      <c r="B10" s="3" t="s">
        <v>12</v>
      </c>
      <c r="C10" s="4" t="s">
        <v>19</v>
      </c>
      <c r="D10" s="4">
        <f>To_POTW!C3</f>
        <v>0.7</v>
      </c>
      <c r="E10" s="10" t="s">
        <v>13</v>
      </c>
      <c r="F10" s="284"/>
      <c r="H10" s="10"/>
    </row>
    <row r="11" spans="1:18" ht="69.599999999999994" customHeight="1" x14ac:dyDescent="0.5">
      <c r="A11" s="236">
        <v>1</v>
      </c>
      <c r="B11" s="3" t="s">
        <v>14</v>
      </c>
      <c r="C11" s="4" t="s">
        <v>15</v>
      </c>
      <c r="D11" s="4">
        <f>To_POTW!D3</f>
        <v>100000</v>
      </c>
      <c r="E11" s="10" t="s">
        <v>16</v>
      </c>
      <c r="F11" s="284"/>
      <c r="H11" s="10"/>
    </row>
    <row r="12" spans="1:18" ht="69.599999999999994" customHeight="1" x14ac:dyDescent="0.5">
      <c r="A12" s="236">
        <v>1</v>
      </c>
      <c r="B12" s="4" t="s">
        <v>17</v>
      </c>
      <c r="C12" s="4" t="s">
        <v>86</v>
      </c>
      <c r="D12" s="4">
        <f>To_POTW!E22</f>
        <v>32.075348771084329</v>
      </c>
      <c r="E12" s="10" t="s">
        <v>10</v>
      </c>
      <c r="F12" s="284"/>
      <c r="H12" s="10"/>
      <c r="Q12" s="14"/>
    </row>
    <row r="13" spans="1:18" ht="52.2" customHeight="1" x14ac:dyDescent="0.5">
      <c r="A13" s="236">
        <v>1</v>
      </c>
      <c r="B13" s="3" t="s">
        <v>179</v>
      </c>
      <c r="C13" s="3" t="s">
        <v>183</v>
      </c>
      <c r="D13" s="4">
        <f>To_POTW!C71</f>
        <v>0</v>
      </c>
      <c r="E13" s="10" t="s">
        <v>18</v>
      </c>
      <c r="F13" s="284"/>
      <c r="H13" s="10"/>
    </row>
    <row r="14" spans="1:18" ht="43.95" customHeight="1" x14ac:dyDescent="0.5">
      <c r="A14" s="236">
        <v>1</v>
      </c>
      <c r="B14" s="3" t="s">
        <v>42</v>
      </c>
      <c r="C14" s="4" t="s">
        <v>181</v>
      </c>
      <c r="D14" s="4">
        <f>To_POTW!E3</f>
        <v>12</v>
      </c>
      <c r="E14" s="10" t="s">
        <v>166</v>
      </c>
      <c r="F14" s="284"/>
      <c r="H14" s="10"/>
    </row>
    <row r="15" spans="1:18" ht="59.4" customHeight="1" x14ac:dyDescent="0.5">
      <c r="A15" s="237">
        <v>1</v>
      </c>
      <c r="B15" s="3" t="s">
        <v>43</v>
      </c>
      <c r="C15" s="10" t="s">
        <v>182</v>
      </c>
      <c r="D15" s="10">
        <f>To_POTW!F3</f>
        <v>12</v>
      </c>
      <c r="E15" s="10" t="s">
        <v>166</v>
      </c>
      <c r="F15" s="284"/>
      <c r="H15" s="10"/>
    </row>
    <row r="16" spans="1:18" ht="59.4" customHeight="1" x14ac:dyDescent="0.5">
      <c r="A16" s="235">
        <v>2</v>
      </c>
      <c r="B16" s="32" t="s">
        <v>204</v>
      </c>
      <c r="C16" s="24"/>
      <c r="D16" s="24">
        <f>To_POTW!B4</f>
        <v>1</v>
      </c>
      <c r="E16" s="24"/>
      <c r="F16" s="284"/>
      <c r="H16" s="10"/>
    </row>
    <row r="17" spans="1:17" ht="46.95" customHeight="1" x14ac:dyDescent="0.5">
      <c r="A17" s="236">
        <v>2</v>
      </c>
      <c r="B17" s="3" t="s">
        <v>12</v>
      </c>
      <c r="C17" s="4" t="s">
        <v>19</v>
      </c>
      <c r="D17" s="4">
        <f>To_POTW!C4</f>
        <v>0</v>
      </c>
      <c r="E17" s="10" t="s">
        <v>13</v>
      </c>
      <c r="F17" s="284"/>
      <c r="H17" s="10"/>
      <c r="Q17" s="14"/>
    </row>
    <row r="18" spans="1:17" ht="45.6" customHeight="1" x14ac:dyDescent="0.5">
      <c r="A18" s="236">
        <v>2</v>
      </c>
      <c r="B18" s="3" t="s">
        <v>14</v>
      </c>
      <c r="C18" s="4" t="s">
        <v>15</v>
      </c>
      <c r="D18" s="4">
        <f>To_POTW!D4</f>
        <v>0</v>
      </c>
      <c r="E18" s="10" t="s">
        <v>16</v>
      </c>
      <c r="F18" s="284"/>
    </row>
    <row r="19" spans="1:17" ht="42.6" customHeight="1" x14ac:dyDescent="0.5">
      <c r="A19" s="236">
        <v>2</v>
      </c>
      <c r="B19" s="4" t="s">
        <v>17</v>
      </c>
      <c r="C19" s="4" t="s">
        <v>20</v>
      </c>
      <c r="D19" s="4">
        <f>To_POTW!F22</f>
        <v>0</v>
      </c>
      <c r="E19" s="10" t="s">
        <v>10</v>
      </c>
      <c r="F19" s="284"/>
    </row>
    <row r="20" spans="1:17" ht="46.95" customHeight="1" x14ac:dyDescent="0.5">
      <c r="A20" s="236">
        <v>2</v>
      </c>
      <c r="B20" s="3" t="s">
        <v>179</v>
      </c>
      <c r="C20" s="3" t="s">
        <v>180</v>
      </c>
      <c r="D20" s="4">
        <f>To_POTW!C87</f>
        <v>0</v>
      </c>
      <c r="E20" s="10" t="s">
        <v>18</v>
      </c>
      <c r="F20" s="284"/>
    </row>
    <row r="21" spans="1:17" ht="45" customHeight="1" x14ac:dyDescent="0.5">
      <c r="A21" s="236">
        <v>2</v>
      </c>
      <c r="B21" s="3" t="s">
        <v>42</v>
      </c>
      <c r="C21" s="4" t="s">
        <v>181</v>
      </c>
      <c r="D21" s="10">
        <f>To_POTW!E4</f>
        <v>0</v>
      </c>
      <c r="E21" s="10" t="s">
        <v>166</v>
      </c>
      <c r="F21" s="284"/>
    </row>
    <row r="22" spans="1:17" ht="45" customHeight="1" x14ac:dyDescent="0.5">
      <c r="A22" s="237">
        <v>2</v>
      </c>
      <c r="B22" s="3" t="s">
        <v>43</v>
      </c>
      <c r="C22" s="10" t="s">
        <v>182</v>
      </c>
      <c r="D22" s="10">
        <f>To_POTW!F4</f>
        <v>0</v>
      </c>
      <c r="E22" s="10" t="s">
        <v>166</v>
      </c>
      <c r="F22" s="284"/>
    </row>
    <row r="23" spans="1:17" ht="45" customHeight="1" x14ac:dyDescent="0.5">
      <c r="A23" s="235">
        <v>3</v>
      </c>
      <c r="B23" s="32" t="s">
        <v>204</v>
      </c>
      <c r="C23" s="24"/>
      <c r="D23" s="24">
        <f>To_POTW!B5</f>
        <v>1</v>
      </c>
      <c r="E23" s="24"/>
      <c r="F23" s="284"/>
    </row>
    <row r="24" spans="1:17" ht="45" customHeight="1" x14ac:dyDescent="0.5">
      <c r="A24" s="236">
        <v>3</v>
      </c>
      <c r="B24" s="3" t="s">
        <v>12</v>
      </c>
      <c r="C24" s="4" t="s">
        <v>19</v>
      </c>
      <c r="D24" s="4">
        <f>To_POTW!C5</f>
        <v>0</v>
      </c>
      <c r="E24" s="10" t="s">
        <v>13</v>
      </c>
      <c r="F24" s="284"/>
    </row>
    <row r="25" spans="1:17" ht="45" customHeight="1" x14ac:dyDescent="0.5">
      <c r="A25" s="236">
        <v>3</v>
      </c>
      <c r="B25" s="3" t="s">
        <v>14</v>
      </c>
      <c r="C25" s="4" t="s">
        <v>15</v>
      </c>
      <c r="D25" s="4">
        <f>To_POTW!D5</f>
        <v>0</v>
      </c>
      <c r="E25" s="10" t="s">
        <v>16</v>
      </c>
      <c r="F25" s="284"/>
    </row>
    <row r="26" spans="1:17" ht="45" customHeight="1" x14ac:dyDescent="0.5">
      <c r="A26" s="236">
        <v>3</v>
      </c>
      <c r="B26" s="4" t="s">
        <v>17</v>
      </c>
      <c r="C26" s="4" t="s">
        <v>20</v>
      </c>
      <c r="D26" s="4">
        <f>To_POTW!G22</f>
        <v>0</v>
      </c>
      <c r="E26" s="10" t="s">
        <v>10</v>
      </c>
      <c r="F26" s="284"/>
    </row>
    <row r="27" spans="1:17" ht="45" customHeight="1" x14ac:dyDescent="0.5">
      <c r="A27" s="236">
        <v>3</v>
      </c>
      <c r="B27" s="3" t="s">
        <v>179</v>
      </c>
      <c r="C27" s="3" t="s">
        <v>180</v>
      </c>
      <c r="D27" s="4">
        <f>To_POTW!C103</f>
        <v>0</v>
      </c>
      <c r="E27" s="10" t="s">
        <v>18</v>
      </c>
      <c r="F27" s="284"/>
    </row>
    <row r="28" spans="1:17" ht="45" customHeight="1" x14ac:dyDescent="0.5">
      <c r="A28" s="236">
        <v>3</v>
      </c>
      <c r="B28" s="3" t="s">
        <v>42</v>
      </c>
      <c r="C28" s="4" t="s">
        <v>181</v>
      </c>
      <c r="D28" s="10">
        <f>To_POTW!E5</f>
        <v>0</v>
      </c>
      <c r="E28" s="10" t="s">
        <v>166</v>
      </c>
      <c r="F28" s="284"/>
    </row>
    <row r="29" spans="1:17" ht="45" customHeight="1" x14ac:dyDescent="0.5">
      <c r="A29" s="237">
        <v>3</v>
      </c>
      <c r="B29" s="3" t="s">
        <v>43</v>
      </c>
      <c r="C29" s="10" t="s">
        <v>182</v>
      </c>
      <c r="D29" s="10">
        <f>To_POTW!F5</f>
        <v>0</v>
      </c>
      <c r="E29" s="10" t="s">
        <v>166</v>
      </c>
      <c r="F29" s="284"/>
    </row>
    <row r="30" spans="1:17" ht="45" customHeight="1" x14ac:dyDescent="0.5">
      <c r="A30" s="235">
        <v>4</v>
      </c>
      <c r="B30" s="32" t="s">
        <v>204</v>
      </c>
      <c r="C30" s="24"/>
      <c r="D30" s="24">
        <f>To_POTW!B6</f>
        <v>2</v>
      </c>
      <c r="E30" s="24"/>
      <c r="F30" s="284"/>
    </row>
    <row r="31" spans="1:17" ht="45" customHeight="1" x14ac:dyDescent="0.5">
      <c r="A31" s="236">
        <v>4</v>
      </c>
      <c r="B31" s="3" t="s">
        <v>12</v>
      </c>
      <c r="C31" s="4" t="s">
        <v>19</v>
      </c>
      <c r="D31" s="4">
        <f>To_POTW!C6</f>
        <v>0</v>
      </c>
      <c r="E31" s="10" t="s">
        <v>13</v>
      </c>
      <c r="F31" s="284"/>
    </row>
    <row r="32" spans="1:17" ht="45" customHeight="1" x14ac:dyDescent="0.5">
      <c r="A32" s="236">
        <v>4</v>
      </c>
      <c r="B32" s="3" t="s">
        <v>14</v>
      </c>
      <c r="C32" s="4" t="s">
        <v>15</v>
      </c>
      <c r="D32" s="4">
        <f>To_POTW!D6</f>
        <v>0</v>
      </c>
      <c r="E32" s="10" t="s">
        <v>16</v>
      </c>
      <c r="F32" s="284"/>
    </row>
    <row r="33" spans="1:17" ht="45" customHeight="1" x14ac:dyDescent="0.5">
      <c r="A33" s="236">
        <v>4</v>
      </c>
      <c r="B33" s="4" t="s">
        <v>17</v>
      </c>
      <c r="C33" s="4" t="s">
        <v>20</v>
      </c>
      <c r="D33" s="4">
        <f>To_POTW!H22</f>
        <v>0</v>
      </c>
      <c r="E33" s="10" t="s">
        <v>10</v>
      </c>
      <c r="F33" s="284"/>
    </row>
    <row r="34" spans="1:17" ht="45" customHeight="1" x14ac:dyDescent="0.5">
      <c r="A34" s="236">
        <v>4</v>
      </c>
      <c r="B34" s="3" t="s">
        <v>179</v>
      </c>
      <c r="C34" s="3" t="s">
        <v>180</v>
      </c>
      <c r="D34" s="4">
        <f>To_POTW!C119</f>
        <v>0</v>
      </c>
      <c r="E34" s="10" t="s">
        <v>18</v>
      </c>
      <c r="F34" s="284"/>
    </row>
    <row r="35" spans="1:17" ht="45" customHeight="1" x14ac:dyDescent="0.5">
      <c r="A35" s="236">
        <v>4</v>
      </c>
      <c r="B35" s="3" t="s">
        <v>42</v>
      </c>
      <c r="C35" s="4" t="s">
        <v>181</v>
      </c>
      <c r="D35" s="10">
        <f>To_POTW!E6</f>
        <v>0</v>
      </c>
      <c r="E35" s="10" t="s">
        <v>166</v>
      </c>
      <c r="F35" s="284"/>
    </row>
    <row r="36" spans="1:17" ht="45" customHeight="1" x14ac:dyDescent="0.5">
      <c r="A36" s="236">
        <v>4</v>
      </c>
      <c r="B36" s="3" t="s">
        <v>43</v>
      </c>
      <c r="C36" s="10" t="s">
        <v>182</v>
      </c>
      <c r="D36" s="10">
        <f>To_POTW!F6</f>
        <v>0</v>
      </c>
      <c r="E36" s="10" t="s">
        <v>166</v>
      </c>
      <c r="F36" s="284"/>
    </row>
    <row r="37" spans="1:17" ht="45" customHeight="1" x14ac:dyDescent="0.5">
      <c r="A37" s="238">
        <v>5</v>
      </c>
      <c r="B37" s="32" t="s">
        <v>204</v>
      </c>
      <c r="C37" s="24"/>
      <c r="D37" s="24">
        <f>To_POTW!B7</f>
        <v>3</v>
      </c>
      <c r="E37" s="24"/>
      <c r="F37" s="284"/>
    </row>
    <row r="38" spans="1:17" ht="46.95" customHeight="1" x14ac:dyDescent="0.5">
      <c r="A38" s="236">
        <v>5</v>
      </c>
      <c r="B38" s="3" t="s">
        <v>12</v>
      </c>
      <c r="C38" s="4" t="s">
        <v>19</v>
      </c>
      <c r="D38" s="4">
        <f>To_POTW!C7</f>
        <v>0</v>
      </c>
      <c r="E38" s="10" t="s">
        <v>13</v>
      </c>
      <c r="F38" s="284"/>
      <c r="H38" s="10"/>
      <c r="Q38" s="14"/>
    </row>
    <row r="39" spans="1:17" ht="45.6" customHeight="1" x14ac:dyDescent="0.5">
      <c r="A39" s="236">
        <v>5</v>
      </c>
      <c r="B39" s="3" t="s">
        <v>14</v>
      </c>
      <c r="C39" s="4" t="s">
        <v>15</v>
      </c>
      <c r="D39" s="4">
        <f>To_POTW!D7</f>
        <v>0</v>
      </c>
      <c r="E39" s="10" t="s">
        <v>16</v>
      </c>
      <c r="F39" s="284"/>
    </row>
    <row r="40" spans="1:17" ht="42.6" customHeight="1" x14ac:dyDescent="0.5">
      <c r="A40" s="236">
        <v>5</v>
      </c>
      <c r="B40" s="4" t="s">
        <v>17</v>
      </c>
      <c r="C40" s="4" t="s">
        <v>20</v>
      </c>
      <c r="D40" s="4">
        <f>To_POTW!I22</f>
        <v>0</v>
      </c>
      <c r="E40" s="10" t="s">
        <v>10</v>
      </c>
      <c r="F40" s="284"/>
    </row>
    <row r="41" spans="1:17" ht="46.95" customHeight="1" x14ac:dyDescent="0.5">
      <c r="A41" s="236">
        <v>5</v>
      </c>
      <c r="B41" s="3" t="s">
        <v>179</v>
      </c>
      <c r="C41" s="3" t="s">
        <v>180</v>
      </c>
      <c r="D41" s="4">
        <f>To_POTW!C135</f>
        <v>0</v>
      </c>
      <c r="E41" s="10" t="s">
        <v>18</v>
      </c>
      <c r="F41" s="284"/>
    </row>
    <row r="42" spans="1:17" ht="45" customHeight="1" x14ac:dyDescent="0.5">
      <c r="A42" s="236">
        <v>5</v>
      </c>
      <c r="B42" s="3" t="s">
        <v>42</v>
      </c>
      <c r="C42" s="4" t="s">
        <v>181</v>
      </c>
      <c r="D42" s="10">
        <f>To_POTW!E7</f>
        <v>0</v>
      </c>
      <c r="E42" s="10" t="s">
        <v>166</v>
      </c>
      <c r="F42" s="284"/>
    </row>
    <row r="43" spans="1:17" ht="45" customHeight="1" x14ac:dyDescent="0.5">
      <c r="A43" s="237">
        <v>5</v>
      </c>
      <c r="B43" s="6" t="s">
        <v>43</v>
      </c>
      <c r="C43" s="28" t="s">
        <v>182</v>
      </c>
      <c r="D43" s="10">
        <f>To_POTW!F7</f>
        <v>0</v>
      </c>
      <c r="E43" s="10" t="s">
        <v>166</v>
      </c>
      <c r="F43" s="288"/>
    </row>
    <row r="44" spans="1:17" ht="45" customHeight="1" x14ac:dyDescent="0.5">
      <c r="A44" s="239" t="s">
        <v>218</v>
      </c>
      <c r="B44" s="281" t="s">
        <v>176</v>
      </c>
      <c r="C44" s="16" t="s">
        <v>172</v>
      </c>
      <c r="D44" s="16">
        <f>Direct_Release!C18</f>
        <v>0</v>
      </c>
      <c r="E44" s="24" t="s">
        <v>18</v>
      </c>
      <c r="F44" s="285" t="s">
        <v>22</v>
      </c>
    </row>
    <row r="45" spans="1:17" ht="45" customHeight="1" x14ac:dyDescent="0.5">
      <c r="A45" s="240" t="s">
        <v>218</v>
      </c>
      <c r="B45" s="282"/>
      <c r="C45" s="4" t="s">
        <v>173</v>
      </c>
      <c r="D45" s="4">
        <f>Direct_Release!C34</f>
        <v>0</v>
      </c>
      <c r="E45" s="10" t="s">
        <v>18</v>
      </c>
      <c r="F45" s="284"/>
    </row>
    <row r="46" spans="1:17" ht="45" customHeight="1" x14ac:dyDescent="0.5">
      <c r="A46" s="240" t="s">
        <v>218</v>
      </c>
      <c r="B46" s="282"/>
      <c r="C46" s="4" t="s">
        <v>174</v>
      </c>
      <c r="D46" s="4">
        <f>Direct_Release!C50</f>
        <v>0</v>
      </c>
      <c r="E46" s="10" t="s">
        <v>18</v>
      </c>
      <c r="F46" s="284"/>
    </row>
    <row r="47" spans="1:17" ht="46.8" customHeight="1" x14ac:dyDescent="0.5">
      <c r="A47" s="240" t="s">
        <v>218</v>
      </c>
      <c r="B47" s="265" t="s">
        <v>236</v>
      </c>
      <c r="C47" s="16" t="s">
        <v>172</v>
      </c>
      <c r="D47">
        <f>Direct_Release!C79</f>
        <v>0</v>
      </c>
      <c r="E47" s="10" t="s">
        <v>18</v>
      </c>
    </row>
    <row r="48" spans="1:17" ht="43.2" customHeight="1" x14ac:dyDescent="0.5">
      <c r="A48" s="240" t="s">
        <v>218</v>
      </c>
      <c r="B48" s="265"/>
      <c r="C48" s="4" t="s">
        <v>173</v>
      </c>
      <c r="D48">
        <f>Direct_Release!C89</f>
        <v>0</v>
      </c>
      <c r="E48" s="10" t="s">
        <v>18</v>
      </c>
    </row>
    <row r="49" spans="1:8" ht="48" customHeight="1" x14ac:dyDescent="0.5">
      <c r="A49" s="241" t="s">
        <v>218</v>
      </c>
      <c r="B49" s="266"/>
      <c r="C49" s="4" t="s">
        <v>174</v>
      </c>
      <c r="D49">
        <f>Direct_Release!C99</f>
        <v>0</v>
      </c>
      <c r="E49" s="10" t="s">
        <v>18</v>
      </c>
      <c r="H49" s="10"/>
    </row>
    <row r="50" spans="1:8" ht="62.4" customHeight="1" x14ac:dyDescent="0.5">
      <c r="A50" s="239" t="s">
        <v>130</v>
      </c>
      <c r="B50" s="281" t="s">
        <v>197</v>
      </c>
      <c r="C50" s="24" t="s">
        <v>172</v>
      </c>
      <c r="D50" s="16">
        <f>Flows!C2</f>
        <v>200</v>
      </c>
      <c r="E50" s="24" t="s">
        <v>101</v>
      </c>
      <c r="F50" s="285" t="s">
        <v>219</v>
      </c>
      <c r="H50" s="10"/>
    </row>
    <row r="51" spans="1:8" ht="62.4" customHeight="1" x14ac:dyDescent="0.5">
      <c r="A51" s="240" t="s">
        <v>130</v>
      </c>
      <c r="B51" s="282"/>
      <c r="C51" s="10" t="s">
        <v>173</v>
      </c>
      <c r="D51" s="4">
        <f>Flows!C3</f>
        <v>0</v>
      </c>
      <c r="E51" s="10" t="s">
        <v>101</v>
      </c>
      <c r="F51" s="284"/>
      <c r="H51" s="10"/>
    </row>
    <row r="52" spans="1:8" ht="62.4" customHeight="1" x14ac:dyDescent="0.5">
      <c r="A52" s="240" t="s">
        <v>130</v>
      </c>
      <c r="B52" s="283"/>
      <c r="C52" s="28" t="s">
        <v>174</v>
      </c>
      <c r="D52" s="7">
        <f>Flows!C4</f>
        <v>0</v>
      </c>
      <c r="E52" s="28" t="s">
        <v>101</v>
      </c>
      <c r="F52" s="284"/>
      <c r="H52" s="10"/>
    </row>
    <row r="53" spans="1:8" ht="36" customHeight="1" x14ac:dyDescent="0.5">
      <c r="A53" s="240" t="s">
        <v>130</v>
      </c>
      <c r="B53" s="281" t="s">
        <v>177</v>
      </c>
      <c r="C53" s="16" t="s">
        <v>172</v>
      </c>
      <c r="D53" s="16">
        <f>Flows!B2</f>
        <v>300</v>
      </c>
      <c r="E53" s="24" t="s">
        <v>23</v>
      </c>
      <c r="F53" s="284"/>
      <c r="H53" s="37"/>
    </row>
    <row r="54" spans="1:8" x14ac:dyDescent="0.5">
      <c r="A54" s="240" t="s">
        <v>130</v>
      </c>
      <c r="B54" s="282"/>
      <c r="C54" s="4" t="s">
        <v>173</v>
      </c>
      <c r="D54" s="4">
        <f>Flows!B3</f>
        <v>0</v>
      </c>
      <c r="E54" s="10" t="s">
        <v>23</v>
      </c>
      <c r="F54" s="284"/>
      <c r="H54" s="10"/>
    </row>
    <row r="55" spans="1:8" ht="40.200000000000003" customHeight="1" x14ac:dyDescent="0.5">
      <c r="A55" s="241" t="s">
        <v>130</v>
      </c>
      <c r="B55" s="283"/>
      <c r="C55" s="4" t="s">
        <v>174</v>
      </c>
      <c r="D55" s="4">
        <f>Flows!B4</f>
        <v>0</v>
      </c>
      <c r="E55" s="28" t="s">
        <v>23</v>
      </c>
      <c r="F55" s="284"/>
      <c r="H55" s="10"/>
    </row>
    <row r="56" spans="1:8" ht="31.2" customHeight="1" x14ac:dyDescent="0.5">
      <c r="A56" s="239" t="s">
        <v>312</v>
      </c>
      <c r="B56" s="281" t="s">
        <v>178</v>
      </c>
      <c r="C56" s="16" t="s">
        <v>171</v>
      </c>
      <c r="D56" s="43">
        <f>To_POTW!G3</f>
        <v>0</v>
      </c>
      <c r="E56" s="24" t="s">
        <v>24</v>
      </c>
      <c r="F56" s="285" t="s">
        <v>11</v>
      </c>
      <c r="H56" s="10"/>
    </row>
    <row r="57" spans="1:8" ht="49.2" customHeight="1" x14ac:dyDescent="0.5">
      <c r="A57" s="240" t="s">
        <v>312</v>
      </c>
      <c r="B57" s="282"/>
      <c r="C57" s="4" t="s">
        <v>169</v>
      </c>
      <c r="D57" s="129">
        <f>To_POTW!G4</f>
        <v>0</v>
      </c>
      <c r="E57" s="10" t="s">
        <v>24</v>
      </c>
      <c r="F57" s="284"/>
      <c r="H57" s="10"/>
    </row>
    <row r="58" spans="1:8" ht="49.2" customHeight="1" x14ac:dyDescent="0.5">
      <c r="A58" s="240" t="s">
        <v>312</v>
      </c>
      <c r="B58" s="282"/>
      <c r="C58" s="4" t="s">
        <v>170</v>
      </c>
      <c r="D58" s="129">
        <f>To_POTW!G5</f>
        <v>0</v>
      </c>
      <c r="E58" s="10" t="s">
        <v>24</v>
      </c>
      <c r="F58" s="284"/>
      <c r="H58" s="10"/>
    </row>
    <row r="59" spans="1:8" ht="49.2" customHeight="1" x14ac:dyDescent="0.5">
      <c r="A59" s="240" t="s">
        <v>312</v>
      </c>
      <c r="B59" s="282"/>
      <c r="C59" s="4" t="s">
        <v>202</v>
      </c>
      <c r="D59" s="129">
        <f>To_POTW!G6</f>
        <v>0</v>
      </c>
      <c r="E59" s="10" t="s">
        <v>24</v>
      </c>
      <c r="F59" s="284"/>
      <c r="H59" s="10"/>
    </row>
    <row r="60" spans="1:8" ht="49.2" customHeight="1" x14ac:dyDescent="0.5">
      <c r="A60" s="241" t="s">
        <v>312</v>
      </c>
      <c r="B60" s="282"/>
      <c r="C60" s="7" t="s">
        <v>203</v>
      </c>
      <c r="D60" s="129">
        <f>To_POTW!G7</f>
        <v>0</v>
      </c>
      <c r="E60" s="10" t="s">
        <v>24</v>
      </c>
      <c r="F60" s="284"/>
      <c r="H60" s="10"/>
    </row>
    <row r="61" spans="1:8" ht="51" customHeight="1" x14ac:dyDescent="0.5">
      <c r="A61" s="239" t="s">
        <v>313</v>
      </c>
      <c r="B61" s="32" t="s">
        <v>25</v>
      </c>
      <c r="C61" s="16" t="s">
        <v>26</v>
      </c>
      <c r="D61" s="24">
        <f>DownStreamPWS!B2</f>
        <v>1</v>
      </c>
      <c r="E61" s="24" t="s">
        <v>27</v>
      </c>
      <c r="F61" s="285" t="s">
        <v>28</v>
      </c>
      <c r="G61" s="53"/>
    </row>
    <row r="62" spans="1:8" ht="31.2" customHeight="1" x14ac:dyDescent="0.5">
      <c r="A62" s="240" t="s">
        <v>313</v>
      </c>
      <c r="B62" s="3" t="s">
        <v>29</v>
      </c>
      <c r="C62" s="4" t="s">
        <v>30</v>
      </c>
      <c r="D62" s="10">
        <f>DownStreamPWS!B3</f>
        <v>0</v>
      </c>
      <c r="E62" s="10" t="s">
        <v>27</v>
      </c>
      <c r="F62" s="284"/>
    </row>
    <row r="63" spans="1:8" ht="31.2" customHeight="1" x14ac:dyDescent="0.5">
      <c r="A63" s="240" t="s">
        <v>313</v>
      </c>
      <c r="B63" s="3" t="s">
        <v>31</v>
      </c>
      <c r="C63" s="4" t="s">
        <v>32</v>
      </c>
      <c r="D63" s="10">
        <f>DownStreamPWS!B4</f>
        <v>0</v>
      </c>
      <c r="E63" s="10" t="s">
        <v>27</v>
      </c>
      <c r="F63" s="284"/>
      <c r="G63" s="144"/>
    </row>
    <row r="64" spans="1:8" ht="37.950000000000003" customHeight="1" x14ac:dyDescent="0.5">
      <c r="A64" s="240" t="s">
        <v>313</v>
      </c>
      <c r="B64" s="3" t="s">
        <v>33</v>
      </c>
      <c r="C64" s="4" t="s">
        <v>34</v>
      </c>
      <c r="D64" s="4">
        <f>DownStreamPWS!B6</f>
        <v>0</v>
      </c>
      <c r="E64" s="10" t="s">
        <v>13</v>
      </c>
      <c r="F64" s="284"/>
    </row>
    <row r="65" spans="1:6" ht="42.6" customHeight="1" x14ac:dyDescent="0.5">
      <c r="A65" s="240" t="s">
        <v>313</v>
      </c>
      <c r="B65" s="15" t="s">
        <v>126</v>
      </c>
      <c r="C65" s="10" t="s">
        <v>188</v>
      </c>
      <c r="D65" s="4">
        <v>0</v>
      </c>
      <c r="E65" s="10" t="s">
        <v>13</v>
      </c>
      <c r="F65" s="284"/>
    </row>
    <row r="66" spans="1:6" ht="61.2" customHeight="1" x14ac:dyDescent="0.5">
      <c r="A66" s="240" t="s">
        <v>313</v>
      </c>
      <c r="B66" s="22" t="s">
        <v>125</v>
      </c>
      <c r="C66" s="28" t="s">
        <v>189</v>
      </c>
      <c r="D66" s="7">
        <v>0</v>
      </c>
      <c r="E66" s="10" t="s">
        <v>190</v>
      </c>
      <c r="F66" s="284"/>
    </row>
    <row r="67" spans="1:6" ht="61.2" customHeight="1" x14ac:dyDescent="0.5">
      <c r="A67" s="280" t="s">
        <v>314</v>
      </c>
      <c r="B67" s="280"/>
      <c r="C67" s="280"/>
      <c r="D67" s="280"/>
      <c r="E67" s="280"/>
      <c r="F67" s="234"/>
    </row>
    <row r="68" spans="1:6" ht="61.2" customHeight="1" x14ac:dyDescent="0.5">
      <c r="A68" s="243" t="s">
        <v>77</v>
      </c>
      <c r="B68" s="243" t="s">
        <v>316</v>
      </c>
      <c r="C68" s="243" t="s">
        <v>317</v>
      </c>
      <c r="D68" s="243" t="s">
        <v>318</v>
      </c>
      <c r="E68" s="243" t="s">
        <v>319</v>
      </c>
      <c r="F68" s="234"/>
    </row>
    <row r="69" spans="1:6" ht="61.2" customHeight="1" x14ac:dyDescent="0.5">
      <c r="A69" s="171">
        <v>1</v>
      </c>
      <c r="B69" s="239" t="s">
        <v>315</v>
      </c>
      <c r="C69" s="244" t="s">
        <v>50</v>
      </c>
      <c r="D69" s="16">
        <f>To_POTW!B42</f>
        <v>0</v>
      </c>
      <c r="E69" s="24" t="s">
        <v>10</v>
      </c>
      <c r="F69" s="285" t="s">
        <v>11</v>
      </c>
    </row>
    <row r="70" spans="1:6" ht="61.2" customHeight="1" x14ac:dyDescent="0.5">
      <c r="A70" s="18">
        <v>1</v>
      </c>
      <c r="B70" s="240" t="s">
        <v>315</v>
      </c>
      <c r="C70" s="50" t="s">
        <v>151</v>
      </c>
      <c r="D70" s="4">
        <f>To_POTW!B43</f>
        <v>2352.64579</v>
      </c>
      <c r="E70" s="10" t="s">
        <v>10</v>
      </c>
      <c r="F70" s="284"/>
    </row>
    <row r="71" spans="1:6" ht="61.2" customHeight="1" x14ac:dyDescent="0.5">
      <c r="A71" s="18">
        <v>1</v>
      </c>
      <c r="B71" s="240" t="s">
        <v>315</v>
      </c>
      <c r="C71" s="50" t="s">
        <v>276</v>
      </c>
      <c r="D71" s="4">
        <f>To_POTW!B44</f>
        <v>30.618950000000002</v>
      </c>
      <c r="E71" s="10" t="s">
        <v>10</v>
      </c>
      <c r="F71" s="284"/>
    </row>
    <row r="72" spans="1:6" ht="61.2" customHeight="1" x14ac:dyDescent="0.5">
      <c r="A72" s="18">
        <v>1</v>
      </c>
      <c r="B72" s="240" t="s">
        <v>315</v>
      </c>
      <c r="C72" s="194" t="s">
        <v>289</v>
      </c>
      <c r="D72" s="4">
        <f>To_POTW!B45</f>
        <v>0</v>
      </c>
      <c r="E72" s="10" t="s">
        <v>10</v>
      </c>
      <c r="F72" s="284"/>
    </row>
    <row r="73" spans="1:6" ht="61.2" customHeight="1" x14ac:dyDescent="0.5">
      <c r="A73" s="18">
        <v>1</v>
      </c>
      <c r="B73" s="240" t="s">
        <v>315</v>
      </c>
      <c r="C73" s="50" t="s">
        <v>154</v>
      </c>
      <c r="D73" s="4">
        <f>To_POTW!B46</f>
        <v>40.119610000000002</v>
      </c>
      <c r="E73" s="10" t="s">
        <v>10</v>
      </c>
      <c r="F73" s="284"/>
    </row>
    <row r="74" spans="1:6" ht="61.2" customHeight="1" x14ac:dyDescent="0.5">
      <c r="A74" s="18">
        <v>1</v>
      </c>
      <c r="B74" s="240" t="s">
        <v>315</v>
      </c>
      <c r="C74" s="50" t="s">
        <v>156</v>
      </c>
      <c r="D74" s="4">
        <f>To_POTW!B47</f>
        <v>142.92839000000001</v>
      </c>
      <c r="E74" s="10" t="s">
        <v>10</v>
      </c>
      <c r="F74" s="284"/>
    </row>
    <row r="75" spans="1:6" ht="61.2" customHeight="1" x14ac:dyDescent="0.5">
      <c r="A75" s="18">
        <v>1</v>
      </c>
      <c r="B75" s="240" t="s">
        <v>315</v>
      </c>
      <c r="C75" s="50" t="s">
        <v>277</v>
      </c>
      <c r="D75" s="4">
        <f>To_POTW!B48</f>
        <v>0</v>
      </c>
      <c r="E75" s="10" t="s">
        <v>10</v>
      </c>
      <c r="F75" s="284"/>
    </row>
    <row r="76" spans="1:6" ht="61.2" customHeight="1" x14ac:dyDescent="0.5">
      <c r="A76" s="18">
        <v>1</v>
      </c>
      <c r="B76" s="240" t="s">
        <v>315</v>
      </c>
      <c r="C76" s="50" t="s">
        <v>278</v>
      </c>
      <c r="D76" s="4">
        <f>To_POTW!B49</f>
        <v>0</v>
      </c>
      <c r="E76" s="10" t="s">
        <v>10</v>
      </c>
      <c r="F76" s="284"/>
    </row>
    <row r="77" spans="1:6" ht="61.2" customHeight="1" x14ac:dyDescent="0.5">
      <c r="A77" s="18">
        <v>1</v>
      </c>
      <c r="B77" s="240" t="s">
        <v>315</v>
      </c>
      <c r="C77" s="50" t="s">
        <v>148</v>
      </c>
      <c r="D77" s="4">
        <f>To_POTW!B50</f>
        <v>78.742800000000003</v>
      </c>
      <c r="E77" s="10" t="s">
        <v>10</v>
      </c>
      <c r="F77" s="284"/>
    </row>
    <row r="78" spans="1:6" ht="61.2" customHeight="1" x14ac:dyDescent="0.5">
      <c r="A78" s="18">
        <v>1</v>
      </c>
      <c r="B78" s="240" t="s">
        <v>315</v>
      </c>
      <c r="C78" s="50" t="s">
        <v>50</v>
      </c>
      <c r="D78" s="4">
        <f>To_POTW!C42</f>
        <v>0</v>
      </c>
      <c r="E78" s="10" t="s">
        <v>10</v>
      </c>
      <c r="F78" s="284"/>
    </row>
    <row r="79" spans="1:6" ht="61.2" customHeight="1" x14ac:dyDescent="0.5">
      <c r="A79" s="18">
        <v>1</v>
      </c>
      <c r="B79" s="240" t="s">
        <v>254</v>
      </c>
      <c r="C79" s="50" t="s">
        <v>151</v>
      </c>
      <c r="D79" s="4">
        <f>To_POTW!C43</f>
        <v>11.507055180722901</v>
      </c>
      <c r="E79" s="10" t="s">
        <v>10</v>
      </c>
      <c r="F79" s="284"/>
    </row>
    <row r="80" spans="1:6" ht="61.2" customHeight="1" x14ac:dyDescent="0.5">
      <c r="A80" s="18">
        <v>1</v>
      </c>
      <c r="B80" s="240" t="s">
        <v>254</v>
      </c>
      <c r="C80" s="50" t="s">
        <v>276</v>
      </c>
      <c r="D80" s="4">
        <f>To_POTW!C44</f>
        <v>0.25656527710843391</v>
      </c>
      <c r="E80" s="10" t="s">
        <v>10</v>
      </c>
      <c r="F80" s="284"/>
    </row>
    <row r="81" spans="1:6" ht="61.2" customHeight="1" x14ac:dyDescent="0.5">
      <c r="A81" s="18">
        <v>1</v>
      </c>
      <c r="B81" s="240" t="s">
        <v>254</v>
      </c>
      <c r="C81" s="194" t="s">
        <v>289</v>
      </c>
      <c r="D81" s="4">
        <f>To_POTW!C45</f>
        <v>0</v>
      </c>
      <c r="E81" s="10" t="s">
        <v>10</v>
      </c>
      <c r="F81" s="284"/>
    </row>
    <row r="82" spans="1:6" ht="61.2" customHeight="1" x14ac:dyDescent="0.5">
      <c r="A82" s="18">
        <v>1</v>
      </c>
      <c r="B82" s="240" t="s">
        <v>254</v>
      </c>
      <c r="C82" s="50" t="s">
        <v>154</v>
      </c>
      <c r="D82" s="4">
        <f>To_POTW!C46</f>
        <v>0.12744759036144576</v>
      </c>
      <c r="E82" s="10" t="s">
        <v>10</v>
      </c>
      <c r="F82" s="284"/>
    </row>
    <row r="83" spans="1:6" ht="61.2" customHeight="1" x14ac:dyDescent="0.5">
      <c r="A83" s="18">
        <v>1</v>
      </c>
      <c r="B83" s="240" t="s">
        <v>254</v>
      </c>
      <c r="C83" s="50" t="s">
        <v>156</v>
      </c>
      <c r="D83" s="4">
        <f>To_POTW!C47</f>
        <v>20.18428072289155</v>
      </c>
      <c r="E83" s="10" t="s">
        <v>10</v>
      </c>
      <c r="F83" s="284"/>
    </row>
    <row r="84" spans="1:6" ht="61.2" customHeight="1" x14ac:dyDescent="0.5">
      <c r="A84" s="18">
        <v>1</v>
      </c>
      <c r="B84" s="240" t="s">
        <v>254</v>
      </c>
      <c r="C84" s="50" t="s">
        <v>277</v>
      </c>
      <c r="D84" s="4">
        <f>To_POTW!C48</f>
        <v>0</v>
      </c>
      <c r="E84" s="10" t="s">
        <v>10</v>
      </c>
      <c r="F84" s="284"/>
    </row>
    <row r="85" spans="1:6" ht="61.2" customHeight="1" x14ac:dyDescent="0.5">
      <c r="A85" s="18">
        <v>1</v>
      </c>
      <c r="B85" s="240" t="s">
        <v>254</v>
      </c>
      <c r="C85" s="50" t="s">
        <v>278</v>
      </c>
      <c r="D85" s="4">
        <f>To_POTW!C49</f>
        <v>0</v>
      </c>
      <c r="E85" s="10" t="s">
        <v>10</v>
      </c>
      <c r="F85" s="284"/>
    </row>
    <row r="86" spans="1:6" ht="61.2" customHeight="1" x14ac:dyDescent="0.5">
      <c r="A86" s="18">
        <v>1</v>
      </c>
      <c r="B86" s="240" t="s">
        <v>254</v>
      </c>
      <c r="C86" s="50" t="s">
        <v>148</v>
      </c>
      <c r="D86" s="4">
        <f>To_POTW!C50</f>
        <v>0</v>
      </c>
      <c r="E86" s="10" t="s">
        <v>10</v>
      </c>
      <c r="F86" s="284"/>
    </row>
    <row r="87" spans="1:6" ht="61.2" customHeight="1" x14ac:dyDescent="0.5">
      <c r="A87" s="245">
        <v>2</v>
      </c>
      <c r="B87" s="240" t="s">
        <v>315</v>
      </c>
      <c r="C87" s="50" t="s">
        <v>50</v>
      </c>
      <c r="D87" s="4">
        <f>To_POTW!D42</f>
        <v>0</v>
      </c>
      <c r="E87" s="10" t="s">
        <v>10</v>
      </c>
      <c r="F87" s="284"/>
    </row>
    <row r="88" spans="1:6" ht="61.2" customHeight="1" x14ac:dyDescent="0.5">
      <c r="A88" s="245">
        <v>2</v>
      </c>
      <c r="B88" s="240" t="s">
        <v>315</v>
      </c>
      <c r="C88" s="50" t="s">
        <v>151</v>
      </c>
      <c r="D88" s="4">
        <f>To_POTW!D43</f>
        <v>0</v>
      </c>
      <c r="E88" s="10" t="s">
        <v>10</v>
      </c>
      <c r="F88" s="284"/>
    </row>
    <row r="89" spans="1:6" ht="61.2" customHeight="1" x14ac:dyDescent="0.5">
      <c r="A89" s="245">
        <v>2</v>
      </c>
      <c r="B89" s="240" t="s">
        <v>315</v>
      </c>
      <c r="C89" s="50" t="s">
        <v>276</v>
      </c>
      <c r="D89" s="4">
        <f>To_POTW!D44</f>
        <v>0</v>
      </c>
      <c r="E89" s="10" t="s">
        <v>10</v>
      </c>
      <c r="F89" s="284"/>
    </row>
    <row r="90" spans="1:6" ht="61.2" customHeight="1" x14ac:dyDescent="0.5">
      <c r="A90" s="245">
        <v>2</v>
      </c>
      <c r="B90" s="240" t="s">
        <v>315</v>
      </c>
      <c r="C90" s="194" t="s">
        <v>289</v>
      </c>
      <c r="D90" s="4">
        <f>To_POTW!D45</f>
        <v>0</v>
      </c>
      <c r="E90" s="10" t="s">
        <v>10</v>
      </c>
      <c r="F90" s="284"/>
    </row>
    <row r="91" spans="1:6" ht="61.2" customHeight="1" x14ac:dyDescent="0.5">
      <c r="A91" s="245">
        <v>2</v>
      </c>
      <c r="B91" s="240" t="s">
        <v>315</v>
      </c>
      <c r="C91" s="50" t="s">
        <v>154</v>
      </c>
      <c r="D91" s="4">
        <f>To_POTW!D46</f>
        <v>0</v>
      </c>
      <c r="E91" s="10" t="s">
        <v>10</v>
      </c>
      <c r="F91" s="284"/>
    </row>
    <row r="92" spans="1:6" ht="61.2" customHeight="1" x14ac:dyDescent="0.5">
      <c r="A92" s="245">
        <v>2</v>
      </c>
      <c r="B92" s="240" t="s">
        <v>315</v>
      </c>
      <c r="C92" s="50" t="s">
        <v>156</v>
      </c>
      <c r="D92" s="4">
        <f>To_POTW!D47</f>
        <v>0</v>
      </c>
      <c r="E92" s="10" t="s">
        <v>10</v>
      </c>
      <c r="F92" s="284"/>
    </row>
    <row r="93" spans="1:6" ht="61.2" customHeight="1" x14ac:dyDescent="0.5">
      <c r="A93" s="245">
        <v>2</v>
      </c>
      <c r="B93" s="240" t="s">
        <v>315</v>
      </c>
      <c r="C93" s="50" t="s">
        <v>277</v>
      </c>
      <c r="D93" s="4">
        <f>To_POTW!D48</f>
        <v>0</v>
      </c>
      <c r="E93" s="10" t="s">
        <v>10</v>
      </c>
      <c r="F93" s="284"/>
    </row>
    <row r="94" spans="1:6" ht="61.2" customHeight="1" x14ac:dyDescent="0.5">
      <c r="A94" s="245">
        <v>2</v>
      </c>
      <c r="B94" s="240" t="s">
        <v>315</v>
      </c>
      <c r="C94" s="50" t="s">
        <v>278</v>
      </c>
      <c r="D94" s="4">
        <f>To_POTW!D49</f>
        <v>0</v>
      </c>
      <c r="E94" s="10" t="s">
        <v>10</v>
      </c>
      <c r="F94" s="284"/>
    </row>
    <row r="95" spans="1:6" ht="61.2" customHeight="1" x14ac:dyDescent="0.5">
      <c r="A95" s="245">
        <v>2</v>
      </c>
      <c r="B95" s="240" t="s">
        <v>315</v>
      </c>
      <c r="C95" s="50" t="s">
        <v>148</v>
      </c>
      <c r="D95" s="4">
        <f>To_POTW!D50</f>
        <v>0</v>
      </c>
      <c r="E95" s="10" t="s">
        <v>10</v>
      </c>
      <c r="F95" s="284"/>
    </row>
    <row r="96" spans="1:6" ht="61.2" customHeight="1" x14ac:dyDescent="0.5">
      <c r="A96" s="245">
        <v>2</v>
      </c>
      <c r="B96" s="240" t="s">
        <v>315</v>
      </c>
      <c r="C96" s="50" t="s">
        <v>50</v>
      </c>
      <c r="D96" s="4">
        <f>To_POTW!E42</f>
        <v>0</v>
      </c>
      <c r="E96" s="10" t="s">
        <v>10</v>
      </c>
      <c r="F96" s="284"/>
    </row>
    <row r="97" spans="1:6" ht="61.2" customHeight="1" x14ac:dyDescent="0.5">
      <c r="A97" s="245">
        <v>2</v>
      </c>
      <c r="B97" s="240" t="s">
        <v>254</v>
      </c>
      <c r="C97" s="50" t="s">
        <v>151</v>
      </c>
      <c r="D97" s="4">
        <f>To_POTW!E43</f>
        <v>0</v>
      </c>
      <c r="E97" s="10" t="s">
        <v>10</v>
      </c>
      <c r="F97" s="284"/>
    </row>
    <row r="98" spans="1:6" ht="61.2" customHeight="1" x14ac:dyDescent="0.5">
      <c r="A98" s="245">
        <v>2</v>
      </c>
      <c r="B98" s="240" t="s">
        <v>254</v>
      </c>
      <c r="C98" s="50" t="s">
        <v>276</v>
      </c>
      <c r="D98" s="4">
        <f>To_POTW!E44</f>
        <v>0</v>
      </c>
      <c r="E98" s="10" t="s">
        <v>10</v>
      </c>
      <c r="F98" s="284"/>
    </row>
    <row r="99" spans="1:6" ht="61.2" customHeight="1" x14ac:dyDescent="0.5">
      <c r="A99" s="245">
        <v>2</v>
      </c>
      <c r="B99" s="240" t="s">
        <v>254</v>
      </c>
      <c r="C99" s="194" t="s">
        <v>289</v>
      </c>
      <c r="D99" s="4">
        <f>To_POTW!E45</f>
        <v>0</v>
      </c>
      <c r="E99" s="10" t="s">
        <v>10</v>
      </c>
      <c r="F99" s="284"/>
    </row>
    <row r="100" spans="1:6" ht="61.2" customHeight="1" x14ac:dyDescent="0.5">
      <c r="A100" s="245">
        <v>2</v>
      </c>
      <c r="B100" s="240" t="s">
        <v>254</v>
      </c>
      <c r="C100" s="50" t="s">
        <v>154</v>
      </c>
      <c r="D100" s="4">
        <f>To_POTW!E46</f>
        <v>0</v>
      </c>
      <c r="E100" s="10" t="s">
        <v>10</v>
      </c>
      <c r="F100" s="284"/>
    </row>
    <row r="101" spans="1:6" ht="61.2" customHeight="1" x14ac:dyDescent="0.5">
      <c r="A101" s="245">
        <v>2</v>
      </c>
      <c r="B101" s="240" t="s">
        <v>254</v>
      </c>
      <c r="C101" s="50" t="s">
        <v>156</v>
      </c>
      <c r="D101" s="4">
        <f>To_POTW!E47</f>
        <v>0</v>
      </c>
      <c r="E101" s="10" t="s">
        <v>10</v>
      </c>
      <c r="F101" s="284"/>
    </row>
    <row r="102" spans="1:6" ht="61.2" customHeight="1" x14ac:dyDescent="0.5">
      <c r="A102" s="245">
        <v>2</v>
      </c>
      <c r="B102" s="240" t="s">
        <v>254</v>
      </c>
      <c r="C102" s="50" t="s">
        <v>277</v>
      </c>
      <c r="D102" s="4">
        <f>To_POTW!E48</f>
        <v>0</v>
      </c>
      <c r="E102" s="10" t="s">
        <v>10</v>
      </c>
      <c r="F102" s="284"/>
    </row>
    <row r="103" spans="1:6" ht="61.2" customHeight="1" x14ac:dyDescent="0.5">
      <c r="A103" s="245">
        <v>2</v>
      </c>
      <c r="B103" s="240" t="s">
        <v>254</v>
      </c>
      <c r="C103" s="50" t="s">
        <v>278</v>
      </c>
      <c r="D103" s="4">
        <f>To_POTW!E49</f>
        <v>0</v>
      </c>
      <c r="E103" s="10" t="s">
        <v>10</v>
      </c>
      <c r="F103" s="284"/>
    </row>
    <row r="104" spans="1:6" ht="61.2" customHeight="1" x14ac:dyDescent="0.5">
      <c r="A104" s="245">
        <v>2</v>
      </c>
      <c r="B104" s="240" t="s">
        <v>254</v>
      </c>
      <c r="C104" s="50" t="s">
        <v>148</v>
      </c>
      <c r="D104" s="4">
        <f>To_POTW!E50</f>
        <v>0</v>
      </c>
      <c r="E104" s="10" t="s">
        <v>10</v>
      </c>
      <c r="F104" s="284"/>
    </row>
    <row r="105" spans="1:6" ht="61.2" customHeight="1" x14ac:dyDescent="0.5">
      <c r="A105" s="245">
        <v>3</v>
      </c>
      <c r="B105" s="240" t="s">
        <v>315</v>
      </c>
      <c r="C105" s="50" t="s">
        <v>50</v>
      </c>
      <c r="D105" s="4">
        <f>To_POTW!F42</f>
        <v>0</v>
      </c>
      <c r="E105" s="10" t="s">
        <v>10</v>
      </c>
      <c r="F105" s="284"/>
    </row>
    <row r="106" spans="1:6" ht="61.2" customHeight="1" x14ac:dyDescent="0.5">
      <c r="A106" s="245">
        <v>3</v>
      </c>
      <c r="B106" s="240" t="s">
        <v>315</v>
      </c>
      <c r="C106" s="50" t="s">
        <v>151</v>
      </c>
      <c r="D106" s="4">
        <f>To_POTW!F43</f>
        <v>0</v>
      </c>
      <c r="E106" s="10" t="s">
        <v>10</v>
      </c>
      <c r="F106" s="284"/>
    </row>
    <row r="107" spans="1:6" ht="61.2" customHeight="1" x14ac:dyDescent="0.5">
      <c r="A107" s="245">
        <v>3</v>
      </c>
      <c r="B107" s="240" t="s">
        <v>315</v>
      </c>
      <c r="C107" s="50" t="s">
        <v>276</v>
      </c>
      <c r="D107" s="4">
        <f>To_POTW!F44</f>
        <v>0</v>
      </c>
      <c r="E107" s="10" t="s">
        <v>10</v>
      </c>
      <c r="F107" s="284"/>
    </row>
    <row r="108" spans="1:6" ht="61.2" customHeight="1" x14ac:dyDescent="0.5">
      <c r="A108" s="245">
        <v>3</v>
      </c>
      <c r="B108" s="240" t="s">
        <v>315</v>
      </c>
      <c r="C108" s="194" t="s">
        <v>289</v>
      </c>
      <c r="D108" s="4">
        <f>To_POTW!F45</f>
        <v>0</v>
      </c>
      <c r="E108" s="10" t="s">
        <v>10</v>
      </c>
      <c r="F108" s="284"/>
    </row>
    <row r="109" spans="1:6" ht="61.2" customHeight="1" x14ac:dyDescent="0.5">
      <c r="A109" s="245">
        <v>3</v>
      </c>
      <c r="B109" s="240" t="s">
        <v>315</v>
      </c>
      <c r="C109" s="50" t="s">
        <v>154</v>
      </c>
      <c r="D109" s="4">
        <f>To_POTW!F46</f>
        <v>0</v>
      </c>
      <c r="E109" s="10" t="s">
        <v>10</v>
      </c>
      <c r="F109" s="284"/>
    </row>
    <row r="110" spans="1:6" ht="61.2" customHeight="1" x14ac:dyDescent="0.5">
      <c r="A110" s="245">
        <v>3</v>
      </c>
      <c r="B110" s="240" t="s">
        <v>315</v>
      </c>
      <c r="C110" s="50" t="s">
        <v>156</v>
      </c>
      <c r="D110" s="4">
        <f>To_POTW!F47</f>
        <v>0</v>
      </c>
      <c r="E110" s="10" t="s">
        <v>10</v>
      </c>
      <c r="F110" s="284"/>
    </row>
    <row r="111" spans="1:6" ht="61.2" customHeight="1" x14ac:dyDescent="0.5">
      <c r="A111" s="245">
        <v>3</v>
      </c>
      <c r="B111" s="240" t="s">
        <v>315</v>
      </c>
      <c r="C111" s="50" t="s">
        <v>277</v>
      </c>
      <c r="D111" s="4">
        <f>To_POTW!F48</f>
        <v>0</v>
      </c>
      <c r="E111" s="10" t="s">
        <v>10</v>
      </c>
      <c r="F111" s="284"/>
    </row>
    <row r="112" spans="1:6" ht="61.2" customHeight="1" x14ac:dyDescent="0.5">
      <c r="A112" s="245">
        <v>3</v>
      </c>
      <c r="B112" s="240" t="s">
        <v>315</v>
      </c>
      <c r="C112" s="50" t="s">
        <v>278</v>
      </c>
      <c r="D112" s="4">
        <f>To_POTW!F49</f>
        <v>0</v>
      </c>
      <c r="E112" s="10" t="s">
        <v>10</v>
      </c>
      <c r="F112" s="284"/>
    </row>
    <row r="113" spans="1:6" ht="61.2" customHeight="1" x14ac:dyDescent="0.5">
      <c r="A113" s="245">
        <v>3</v>
      </c>
      <c r="B113" s="240" t="s">
        <v>315</v>
      </c>
      <c r="C113" s="50" t="s">
        <v>148</v>
      </c>
      <c r="D113" s="4">
        <f>To_POTW!F50</f>
        <v>0</v>
      </c>
      <c r="E113" s="10" t="s">
        <v>10</v>
      </c>
      <c r="F113" s="284"/>
    </row>
    <row r="114" spans="1:6" ht="61.2" customHeight="1" x14ac:dyDescent="0.5">
      <c r="A114" s="245">
        <v>3</v>
      </c>
      <c r="B114" s="240" t="s">
        <v>315</v>
      </c>
      <c r="C114" s="50" t="s">
        <v>50</v>
      </c>
      <c r="D114" s="10">
        <f>To_POTW!G42</f>
        <v>0</v>
      </c>
      <c r="E114" s="10" t="s">
        <v>10</v>
      </c>
      <c r="F114" s="284"/>
    </row>
    <row r="115" spans="1:6" ht="61.2" customHeight="1" x14ac:dyDescent="0.5">
      <c r="A115" s="245">
        <v>3</v>
      </c>
      <c r="B115" s="240" t="s">
        <v>254</v>
      </c>
      <c r="C115" s="50" t="s">
        <v>151</v>
      </c>
      <c r="D115" s="10">
        <f>To_POTW!G43</f>
        <v>0</v>
      </c>
      <c r="E115" s="10" t="s">
        <v>10</v>
      </c>
      <c r="F115" s="284"/>
    </row>
    <row r="116" spans="1:6" ht="61.2" customHeight="1" x14ac:dyDescent="0.5">
      <c r="A116" s="245">
        <v>3</v>
      </c>
      <c r="B116" s="240" t="s">
        <v>254</v>
      </c>
      <c r="C116" s="50" t="s">
        <v>276</v>
      </c>
      <c r="D116" s="10">
        <f>To_POTW!G44</f>
        <v>0</v>
      </c>
      <c r="E116" s="10" t="s">
        <v>10</v>
      </c>
      <c r="F116" s="284"/>
    </row>
    <row r="117" spans="1:6" ht="61.2" customHeight="1" x14ac:dyDescent="0.5">
      <c r="A117" s="245">
        <v>3</v>
      </c>
      <c r="B117" s="240" t="s">
        <v>254</v>
      </c>
      <c r="C117" s="194" t="s">
        <v>289</v>
      </c>
      <c r="D117" s="10">
        <f>To_POTW!G45</f>
        <v>0</v>
      </c>
      <c r="E117" s="10" t="s">
        <v>10</v>
      </c>
      <c r="F117" s="284"/>
    </row>
    <row r="118" spans="1:6" ht="61.2" customHeight="1" x14ac:dyDescent="0.5">
      <c r="A118" s="245">
        <v>3</v>
      </c>
      <c r="B118" s="240" t="s">
        <v>254</v>
      </c>
      <c r="C118" s="50" t="s">
        <v>154</v>
      </c>
      <c r="D118" s="10">
        <f>To_POTW!G46</f>
        <v>0</v>
      </c>
      <c r="E118" s="10" t="s">
        <v>10</v>
      </c>
      <c r="F118" s="284"/>
    </row>
    <row r="119" spans="1:6" ht="61.2" customHeight="1" x14ac:dyDescent="0.5">
      <c r="A119" s="245">
        <v>3</v>
      </c>
      <c r="B119" s="240" t="s">
        <v>254</v>
      </c>
      <c r="C119" s="50" t="s">
        <v>156</v>
      </c>
      <c r="D119" s="10">
        <f>To_POTW!G47</f>
        <v>0</v>
      </c>
      <c r="E119" s="10" t="s">
        <v>10</v>
      </c>
      <c r="F119" s="284"/>
    </row>
    <row r="120" spans="1:6" ht="61.2" customHeight="1" x14ac:dyDescent="0.5">
      <c r="A120" s="245">
        <v>3</v>
      </c>
      <c r="B120" s="240" t="s">
        <v>254</v>
      </c>
      <c r="C120" s="50" t="s">
        <v>277</v>
      </c>
      <c r="D120" s="10">
        <f>To_POTW!G48</f>
        <v>0</v>
      </c>
      <c r="E120" s="10" t="s">
        <v>10</v>
      </c>
      <c r="F120" s="284"/>
    </row>
    <row r="121" spans="1:6" ht="61.2" customHeight="1" x14ac:dyDescent="0.5">
      <c r="A121" s="245">
        <v>3</v>
      </c>
      <c r="B121" s="240" t="s">
        <v>254</v>
      </c>
      <c r="C121" s="50" t="s">
        <v>278</v>
      </c>
      <c r="D121" s="10">
        <f>To_POTW!G49</f>
        <v>0</v>
      </c>
      <c r="E121" s="10" t="s">
        <v>10</v>
      </c>
      <c r="F121" s="284"/>
    </row>
    <row r="122" spans="1:6" ht="61.2" customHeight="1" x14ac:dyDescent="0.5">
      <c r="A122" s="245">
        <v>3</v>
      </c>
      <c r="B122" s="240" t="s">
        <v>254</v>
      </c>
      <c r="C122" s="50" t="s">
        <v>148</v>
      </c>
      <c r="D122" s="10">
        <f>To_POTW!G50</f>
        <v>0</v>
      </c>
      <c r="E122" s="10" t="s">
        <v>10</v>
      </c>
      <c r="F122" s="284"/>
    </row>
    <row r="123" spans="1:6" ht="61.2" customHeight="1" x14ac:dyDescent="0.5">
      <c r="A123" s="245">
        <v>4</v>
      </c>
      <c r="B123" s="240" t="s">
        <v>315</v>
      </c>
      <c r="C123" s="50" t="s">
        <v>50</v>
      </c>
      <c r="D123" s="4">
        <f>To_POTW!H42</f>
        <v>0</v>
      </c>
      <c r="E123" s="10" t="s">
        <v>10</v>
      </c>
      <c r="F123" s="284"/>
    </row>
    <row r="124" spans="1:6" ht="61.2" customHeight="1" x14ac:dyDescent="0.5">
      <c r="A124" s="245">
        <v>4</v>
      </c>
      <c r="B124" s="240" t="s">
        <v>315</v>
      </c>
      <c r="C124" s="50" t="s">
        <v>151</v>
      </c>
      <c r="D124" s="4">
        <f>To_POTW!H43</f>
        <v>0</v>
      </c>
      <c r="E124" s="10" t="s">
        <v>10</v>
      </c>
      <c r="F124" s="284"/>
    </row>
    <row r="125" spans="1:6" ht="61.2" customHeight="1" x14ac:dyDescent="0.5">
      <c r="A125" s="245">
        <v>4</v>
      </c>
      <c r="B125" s="240" t="s">
        <v>315</v>
      </c>
      <c r="C125" s="50" t="s">
        <v>276</v>
      </c>
      <c r="D125" s="4">
        <f>To_POTW!H44</f>
        <v>0</v>
      </c>
      <c r="E125" s="10" t="s">
        <v>10</v>
      </c>
      <c r="F125" s="284"/>
    </row>
    <row r="126" spans="1:6" ht="61.2" customHeight="1" x14ac:dyDescent="0.5">
      <c r="A126" s="245">
        <v>4</v>
      </c>
      <c r="B126" s="240" t="s">
        <v>315</v>
      </c>
      <c r="C126" s="194" t="s">
        <v>289</v>
      </c>
      <c r="D126" s="4">
        <f>To_POTW!H45</f>
        <v>0</v>
      </c>
      <c r="E126" s="10" t="s">
        <v>10</v>
      </c>
      <c r="F126" s="284"/>
    </row>
    <row r="127" spans="1:6" ht="61.2" customHeight="1" x14ac:dyDescent="0.5">
      <c r="A127" s="245">
        <v>4</v>
      </c>
      <c r="B127" s="240" t="s">
        <v>315</v>
      </c>
      <c r="C127" s="50" t="s">
        <v>154</v>
      </c>
      <c r="D127" s="4">
        <f>To_POTW!H46</f>
        <v>0</v>
      </c>
      <c r="E127" s="10" t="s">
        <v>10</v>
      </c>
      <c r="F127" s="284"/>
    </row>
    <row r="128" spans="1:6" ht="61.2" customHeight="1" x14ac:dyDescent="0.5">
      <c r="A128" s="245">
        <v>4</v>
      </c>
      <c r="B128" s="240" t="s">
        <v>315</v>
      </c>
      <c r="C128" s="50" t="s">
        <v>156</v>
      </c>
      <c r="D128" s="4">
        <f>To_POTW!H47</f>
        <v>0</v>
      </c>
      <c r="E128" s="10" t="s">
        <v>10</v>
      </c>
      <c r="F128" s="284"/>
    </row>
    <row r="129" spans="1:6" ht="61.2" customHeight="1" x14ac:dyDescent="0.5">
      <c r="A129" s="245">
        <v>4</v>
      </c>
      <c r="B129" s="240" t="s">
        <v>315</v>
      </c>
      <c r="C129" s="50" t="s">
        <v>277</v>
      </c>
      <c r="D129" s="4">
        <f>To_POTW!H48</f>
        <v>0</v>
      </c>
      <c r="E129" s="10" t="s">
        <v>10</v>
      </c>
      <c r="F129" s="284"/>
    </row>
    <row r="130" spans="1:6" ht="61.2" customHeight="1" x14ac:dyDescent="0.5">
      <c r="A130" s="245">
        <v>4</v>
      </c>
      <c r="B130" s="240" t="s">
        <v>315</v>
      </c>
      <c r="C130" s="50" t="s">
        <v>278</v>
      </c>
      <c r="D130" s="4">
        <f>To_POTW!H49</f>
        <v>0</v>
      </c>
      <c r="E130" s="10" t="s">
        <v>10</v>
      </c>
      <c r="F130" s="284"/>
    </row>
    <row r="131" spans="1:6" ht="61.2" customHeight="1" x14ac:dyDescent="0.5">
      <c r="A131" s="245">
        <v>4</v>
      </c>
      <c r="B131" s="240" t="s">
        <v>315</v>
      </c>
      <c r="C131" s="50" t="s">
        <v>148</v>
      </c>
      <c r="D131" s="4">
        <f>To_POTW!H50</f>
        <v>0</v>
      </c>
      <c r="E131" s="10" t="s">
        <v>10</v>
      </c>
      <c r="F131" s="284"/>
    </row>
    <row r="132" spans="1:6" ht="61.2" customHeight="1" x14ac:dyDescent="0.5">
      <c r="A132" s="245">
        <v>4</v>
      </c>
      <c r="B132" s="240" t="s">
        <v>315</v>
      </c>
      <c r="C132" s="50" t="s">
        <v>50</v>
      </c>
      <c r="D132" s="4">
        <f>To_POTW!I42</f>
        <v>0</v>
      </c>
      <c r="E132" s="10" t="s">
        <v>10</v>
      </c>
      <c r="F132" s="284"/>
    </row>
    <row r="133" spans="1:6" ht="61.2" customHeight="1" x14ac:dyDescent="0.5">
      <c r="A133" s="245">
        <v>4</v>
      </c>
      <c r="B133" s="240" t="s">
        <v>254</v>
      </c>
      <c r="C133" s="50" t="s">
        <v>151</v>
      </c>
      <c r="D133" s="4">
        <f>To_POTW!I43</f>
        <v>0</v>
      </c>
      <c r="E133" s="10" t="s">
        <v>10</v>
      </c>
      <c r="F133" s="284"/>
    </row>
    <row r="134" spans="1:6" ht="61.2" customHeight="1" x14ac:dyDescent="0.5">
      <c r="A134" s="245">
        <v>4</v>
      </c>
      <c r="B134" s="240" t="s">
        <v>254</v>
      </c>
      <c r="C134" s="50" t="s">
        <v>276</v>
      </c>
      <c r="D134" s="4">
        <f>To_POTW!I44</f>
        <v>0</v>
      </c>
      <c r="E134" s="10" t="s">
        <v>10</v>
      </c>
      <c r="F134" s="284"/>
    </row>
    <row r="135" spans="1:6" ht="61.2" customHeight="1" x14ac:dyDescent="0.5">
      <c r="A135" s="245">
        <v>4</v>
      </c>
      <c r="B135" s="240" t="s">
        <v>254</v>
      </c>
      <c r="C135" s="194" t="s">
        <v>289</v>
      </c>
      <c r="D135" s="4">
        <f>To_POTW!I45</f>
        <v>0</v>
      </c>
      <c r="E135" s="10" t="s">
        <v>10</v>
      </c>
      <c r="F135" s="284"/>
    </row>
    <row r="136" spans="1:6" ht="61.2" customHeight="1" x14ac:dyDescent="0.5">
      <c r="A136" s="245">
        <v>4</v>
      </c>
      <c r="B136" s="240" t="s">
        <v>254</v>
      </c>
      <c r="C136" s="50" t="s">
        <v>154</v>
      </c>
      <c r="D136" s="4">
        <f>To_POTW!I46</f>
        <v>0</v>
      </c>
      <c r="E136" s="10" t="s">
        <v>10</v>
      </c>
      <c r="F136" s="284"/>
    </row>
    <row r="137" spans="1:6" ht="61.2" customHeight="1" x14ac:dyDescent="0.5">
      <c r="A137" s="245">
        <v>4</v>
      </c>
      <c r="B137" s="240" t="s">
        <v>254</v>
      </c>
      <c r="C137" s="50" t="s">
        <v>156</v>
      </c>
      <c r="D137" s="4">
        <f>To_POTW!I47</f>
        <v>0</v>
      </c>
      <c r="E137" s="10" t="s">
        <v>10</v>
      </c>
      <c r="F137" s="284"/>
    </row>
    <row r="138" spans="1:6" ht="61.2" customHeight="1" x14ac:dyDescent="0.5">
      <c r="A138" s="245">
        <v>4</v>
      </c>
      <c r="B138" s="240" t="s">
        <v>254</v>
      </c>
      <c r="C138" s="50" t="s">
        <v>277</v>
      </c>
      <c r="D138" s="4">
        <f>To_POTW!I48</f>
        <v>0</v>
      </c>
      <c r="E138" s="10" t="s">
        <v>10</v>
      </c>
      <c r="F138" s="284"/>
    </row>
    <row r="139" spans="1:6" ht="61.2" customHeight="1" x14ac:dyDescent="0.5">
      <c r="A139" s="245">
        <v>4</v>
      </c>
      <c r="B139" s="240" t="s">
        <v>254</v>
      </c>
      <c r="C139" s="50" t="s">
        <v>278</v>
      </c>
      <c r="D139" s="4">
        <f>To_POTW!I49</f>
        <v>0</v>
      </c>
      <c r="E139" s="10" t="s">
        <v>10</v>
      </c>
      <c r="F139" s="284"/>
    </row>
    <row r="140" spans="1:6" ht="61.2" customHeight="1" x14ac:dyDescent="0.5">
      <c r="A140" s="245">
        <v>4</v>
      </c>
      <c r="B140" s="240" t="s">
        <v>254</v>
      </c>
      <c r="C140" s="50" t="s">
        <v>148</v>
      </c>
      <c r="D140" s="4">
        <f>To_POTW!I50</f>
        <v>0</v>
      </c>
      <c r="E140" s="10" t="s">
        <v>10</v>
      </c>
      <c r="F140" s="284"/>
    </row>
    <row r="141" spans="1:6" ht="61.2" customHeight="1" x14ac:dyDescent="0.5">
      <c r="A141" s="245">
        <v>5</v>
      </c>
      <c r="B141" s="240" t="s">
        <v>315</v>
      </c>
      <c r="C141" s="50" t="s">
        <v>50</v>
      </c>
      <c r="D141" s="4">
        <f>To_POTW!J42</f>
        <v>0</v>
      </c>
      <c r="E141" s="10" t="s">
        <v>10</v>
      </c>
      <c r="F141" s="284"/>
    </row>
    <row r="142" spans="1:6" ht="61.2" customHeight="1" x14ac:dyDescent="0.5">
      <c r="A142" s="245">
        <v>5</v>
      </c>
      <c r="B142" s="240" t="s">
        <v>315</v>
      </c>
      <c r="C142" s="50" t="s">
        <v>151</v>
      </c>
      <c r="D142" s="4">
        <f>To_POTW!J43</f>
        <v>0</v>
      </c>
      <c r="E142" s="10" t="s">
        <v>10</v>
      </c>
      <c r="F142" s="284"/>
    </row>
    <row r="143" spans="1:6" ht="61.2" customHeight="1" x14ac:dyDescent="0.5">
      <c r="A143" s="245">
        <v>5</v>
      </c>
      <c r="B143" s="240" t="s">
        <v>315</v>
      </c>
      <c r="C143" s="50" t="s">
        <v>276</v>
      </c>
      <c r="D143" s="4">
        <f>To_POTW!J44</f>
        <v>0</v>
      </c>
      <c r="E143" s="10" t="s">
        <v>10</v>
      </c>
      <c r="F143" s="284"/>
    </row>
    <row r="144" spans="1:6" ht="61.2" customHeight="1" x14ac:dyDescent="0.5">
      <c r="A144" s="245">
        <v>5</v>
      </c>
      <c r="B144" s="240" t="s">
        <v>315</v>
      </c>
      <c r="C144" s="194" t="s">
        <v>289</v>
      </c>
      <c r="D144" s="4">
        <f>To_POTW!J45</f>
        <v>0</v>
      </c>
      <c r="E144" s="10" t="s">
        <v>10</v>
      </c>
      <c r="F144" s="284"/>
    </row>
    <row r="145" spans="1:6" ht="61.2" customHeight="1" x14ac:dyDescent="0.5">
      <c r="A145" s="245">
        <v>5</v>
      </c>
      <c r="B145" s="240" t="s">
        <v>315</v>
      </c>
      <c r="C145" s="50" t="s">
        <v>154</v>
      </c>
      <c r="D145" s="4">
        <f>To_POTW!J46</f>
        <v>0</v>
      </c>
      <c r="E145" s="10" t="s">
        <v>10</v>
      </c>
      <c r="F145" s="284"/>
    </row>
    <row r="146" spans="1:6" ht="61.2" customHeight="1" x14ac:dyDescent="0.5">
      <c r="A146" s="245">
        <v>5</v>
      </c>
      <c r="B146" s="240" t="s">
        <v>315</v>
      </c>
      <c r="C146" s="50" t="s">
        <v>156</v>
      </c>
      <c r="D146" s="4">
        <f>To_POTW!J47</f>
        <v>0</v>
      </c>
      <c r="E146" s="10" t="s">
        <v>10</v>
      </c>
      <c r="F146" s="284"/>
    </row>
    <row r="147" spans="1:6" ht="61.2" customHeight="1" x14ac:dyDescent="0.5">
      <c r="A147" s="245">
        <v>5</v>
      </c>
      <c r="B147" s="240" t="s">
        <v>315</v>
      </c>
      <c r="C147" s="50" t="s">
        <v>277</v>
      </c>
      <c r="D147" s="4">
        <f>To_POTW!J48</f>
        <v>0</v>
      </c>
      <c r="E147" s="10" t="s">
        <v>10</v>
      </c>
      <c r="F147" s="284"/>
    </row>
    <row r="148" spans="1:6" ht="61.2" customHeight="1" x14ac:dyDescent="0.5">
      <c r="A148" s="245">
        <v>5</v>
      </c>
      <c r="B148" s="240" t="s">
        <v>315</v>
      </c>
      <c r="C148" s="50" t="s">
        <v>278</v>
      </c>
      <c r="D148" s="4">
        <f>To_POTW!J49</f>
        <v>0</v>
      </c>
      <c r="E148" s="10" t="s">
        <v>10</v>
      </c>
      <c r="F148" s="284"/>
    </row>
    <row r="149" spans="1:6" ht="61.2" customHeight="1" x14ac:dyDescent="0.5">
      <c r="A149" s="245">
        <v>5</v>
      </c>
      <c r="B149" s="240" t="s">
        <v>315</v>
      </c>
      <c r="C149" s="50" t="s">
        <v>148</v>
      </c>
      <c r="D149" s="4">
        <f>To_POTW!J50</f>
        <v>0</v>
      </c>
      <c r="E149" s="10" t="s">
        <v>10</v>
      </c>
      <c r="F149" s="284"/>
    </row>
    <row r="150" spans="1:6" ht="61.2" customHeight="1" x14ac:dyDescent="0.5">
      <c r="A150" s="245">
        <v>5</v>
      </c>
      <c r="B150" s="240" t="s">
        <v>315</v>
      </c>
      <c r="C150" s="50" t="s">
        <v>50</v>
      </c>
      <c r="D150" s="4">
        <f>To_POTW!K42</f>
        <v>0</v>
      </c>
      <c r="E150" s="10" t="s">
        <v>10</v>
      </c>
      <c r="F150" s="284"/>
    </row>
    <row r="151" spans="1:6" ht="61.2" customHeight="1" x14ac:dyDescent="0.5">
      <c r="A151" s="245">
        <v>5</v>
      </c>
      <c r="B151" s="240" t="s">
        <v>254</v>
      </c>
      <c r="C151" s="50" t="s">
        <v>151</v>
      </c>
      <c r="D151" s="4">
        <f>To_POTW!K43</f>
        <v>0</v>
      </c>
      <c r="E151" s="10" t="s">
        <v>10</v>
      </c>
      <c r="F151" s="284"/>
    </row>
    <row r="152" spans="1:6" ht="61.2" customHeight="1" x14ac:dyDescent="0.5">
      <c r="A152" s="245">
        <v>5</v>
      </c>
      <c r="B152" s="240" t="s">
        <v>254</v>
      </c>
      <c r="C152" s="50" t="s">
        <v>276</v>
      </c>
      <c r="D152" s="4">
        <f>To_POTW!K44</f>
        <v>0</v>
      </c>
      <c r="E152" s="10" t="s">
        <v>10</v>
      </c>
      <c r="F152" s="284"/>
    </row>
    <row r="153" spans="1:6" ht="61.2" customHeight="1" x14ac:dyDescent="0.5">
      <c r="A153" s="245">
        <v>5</v>
      </c>
      <c r="B153" s="240" t="s">
        <v>254</v>
      </c>
      <c r="C153" s="194" t="s">
        <v>289</v>
      </c>
      <c r="D153" s="4">
        <f>To_POTW!K45</f>
        <v>0</v>
      </c>
      <c r="E153" s="10" t="s">
        <v>10</v>
      </c>
      <c r="F153" s="284"/>
    </row>
    <row r="154" spans="1:6" ht="61.2" customHeight="1" x14ac:dyDescent="0.5">
      <c r="A154" s="245">
        <v>5</v>
      </c>
      <c r="B154" s="240" t="s">
        <v>254</v>
      </c>
      <c r="C154" s="50" t="s">
        <v>154</v>
      </c>
      <c r="D154" s="4">
        <f>To_POTW!K46</f>
        <v>0</v>
      </c>
      <c r="E154" s="10" t="s">
        <v>10</v>
      </c>
      <c r="F154" s="284"/>
    </row>
    <row r="155" spans="1:6" ht="61.2" customHeight="1" x14ac:dyDescent="0.5">
      <c r="A155" s="245">
        <v>5</v>
      </c>
      <c r="B155" s="240" t="s">
        <v>254</v>
      </c>
      <c r="C155" s="50" t="s">
        <v>156</v>
      </c>
      <c r="D155" s="4">
        <f>To_POTW!K47</f>
        <v>0</v>
      </c>
      <c r="E155" s="10" t="s">
        <v>10</v>
      </c>
      <c r="F155" s="284"/>
    </row>
    <row r="156" spans="1:6" ht="61.2" customHeight="1" x14ac:dyDescent="0.5">
      <c r="A156" s="245">
        <v>5</v>
      </c>
      <c r="B156" s="240" t="s">
        <v>254</v>
      </c>
      <c r="C156" s="50" t="s">
        <v>277</v>
      </c>
      <c r="D156" s="4">
        <f>To_POTW!K48</f>
        <v>0</v>
      </c>
      <c r="E156" s="10" t="s">
        <v>10</v>
      </c>
      <c r="F156" s="284"/>
    </row>
    <row r="157" spans="1:6" ht="61.2" customHeight="1" x14ac:dyDescent="0.5">
      <c r="A157" s="245">
        <v>5</v>
      </c>
      <c r="B157" s="240" t="s">
        <v>254</v>
      </c>
      <c r="C157" s="50" t="s">
        <v>278</v>
      </c>
      <c r="D157" s="4">
        <f>To_POTW!K49</f>
        <v>0</v>
      </c>
      <c r="E157" s="10" t="s">
        <v>10</v>
      </c>
      <c r="F157" s="284"/>
    </row>
    <row r="158" spans="1:6" ht="61.2" customHeight="1" x14ac:dyDescent="0.5">
      <c r="A158" s="246">
        <v>5</v>
      </c>
      <c r="B158" s="241" t="s">
        <v>254</v>
      </c>
      <c r="C158" s="201" t="s">
        <v>148</v>
      </c>
      <c r="D158" s="7">
        <f>To_POTW!K50</f>
        <v>0</v>
      </c>
      <c r="E158" s="28" t="s">
        <v>10</v>
      </c>
      <c r="F158" s="284"/>
    </row>
    <row r="159" spans="1:6" ht="61.2" customHeight="1" x14ac:dyDescent="0.5">
      <c r="A159" s="247">
        <v>1</v>
      </c>
      <c r="B159" s="239" t="s">
        <v>282</v>
      </c>
      <c r="C159" s="175" t="s">
        <v>231</v>
      </c>
      <c r="D159" s="16">
        <f>To_POTW!C56</f>
        <v>0</v>
      </c>
      <c r="E159" s="139" t="s">
        <v>18</v>
      </c>
      <c r="F159" s="284" t="s">
        <v>11</v>
      </c>
    </row>
    <row r="160" spans="1:6" ht="61.2" customHeight="1" x14ac:dyDescent="0.5">
      <c r="A160" s="157">
        <v>1</v>
      </c>
      <c r="B160" s="240" t="s">
        <v>282</v>
      </c>
      <c r="C160" s="194" t="s">
        <v>283</v>
      </c>
      <c r="D160" s="4">
        <f>To_POTW!C57</f>
        <v>0</v>
      </c>
      <c r="E160" s="248" t="s">
        <v>18</v>
      </c>
      <c r="F160" s="284"/>
    </row>
    <row r="161" spans="1:15" ht="61.2" customHeight="1" x14ac:dyDescent="0.5">
      <c r="A161" s="157">
        <v>1</v>
      </c>
      <c r="B161" s="240" t="s">
        <v>282</v>
      </c>
      <c r="C161" s="194" t="s">
        <v>232</v>
      </c>
      <c r="D161" s="4">
        <f>To_POTW!C58</f>
        <v>0</v>
      </c>
      <c r="E161" s="248" t="s">
        <v>18</v>
      </c>
      <c r="F161" s="284"/>
    </row>
    <row r="162" spans="1:15" ht="61.2" customHeight="1" x14ac:dyDescent="0.5">
      <c r="A162" s="157">
        <v>1</v>
      </c>
      <c r="B162" s="240" t="s">
        <v>282</v>
      </c>
      <c r="C162" s="194" t="s">
        <v>284</v>
      </c>
      <c r="D162" s="4">
        <f>To_POTW!C59</f>
        <v>0</v>
      </c>
      <c r="E162" s="248" t="s">
        <v>18</v>
      </c>
      <c r="F162" s="284"/>
    </row>
    <row r="163" spans="1:15" ht="61.2" customHeight="1" x14ac:dyDescent="0.5">
      <c r="A163" s="157">
        <v>1</v>
      </c>
      <c r="B163" s="240" t="s">
        <v>282</v>
      </c>
      <c r="C163" s="194" t="s">
        <v>285</v>
      </c>
      <c r="D163" s="4">
        <f>To_POTW!C60</f>
        <v>0</v>
      </c>
      <c r="E163" s="248" t="s">
        <v>18</v>
      </c>
      <c r="F163" s="284"/>
    </row>
    <row r="164" spans="1:15" ht="61.2" customHeight="1" x14ac:dyDescent="0.5">
      <c r="A164" s="157">
        <v>1</v>
      </c>
      <c r="B164" s="240" t="s">
        <v>282</v>
      </c>
      <c r="C164" s="194" t="s">
        <v>286</v>
      </c>
      <c r="D164" s="4">
        <f>To_POTW!C61</f>
        <v>0</v>
      </c>
      <c r="E164" s="248" t="s">
        <v>18</v>
      </c>
      <c r="F164" s="284"/>
    </row>
    <row r="165" spans="1:15" ht="61.2" customHeight="1" x14ac:dyDescent="0.5">
      <c r="A165" s="157">
        <v>1</v>
      </c>
      <c r="B165" s="240" t="s">
        <v>282</v>
      </c>
      <c r="C165" s="194" t="s">
        <v>287</v>
      </c>
      <c r="D165" s="4">
        <f>To_POTW!C62</f>
        <v>0</v>
      </c>
      <c r="E165" s="248" t="s">
        <v>18</v>
      </c>
      <c r="F165" s="284"/>
    </row>
    <row r="166" spans="1:15" ht="61.2" customHeight="1" x14ac:dyDescent="0.5">
      <c r="A166" s="157">
        <v>1</v>
      </c>
      <c r="B166" s="240" t="s">
        <v>282</v>
      </c>
      <c r="C166" s="194" t="s">
        <v>288</v>
      </c>
      <c r="D166" s="4">
        <f>To_POTW!C63</f>
        <v>0</v>
      </c>
      <c r="E166" s="248" t="s">
        <v>18</v>
      </c>
      <c r="F166" s="284"/>
    </row>
    <row r="167" spans="1:15" ht="61.2" customHeight="1" x14ac:dyDescent="0.5">
      <c r="A167" s="157">
        <v>1</v>
      </c>
      <c r="B167" s="240" t="s">
        <v>282</v>
      </c>
      <c r="C167" s="194" t="s">
        <v>289</v>
      </c>
      <c r="D167" s="4">
        <f>To_POTW!C64</f>
        <v>0</v>
      </c>
      <c r="E167" s="248" t="s">
        <v>18</v>
      </c>
      <c r="F167" s="284"/>
    </row>
    <row r="168" spans="1:15" ht="61.2" customHeight="1" x14ac:dyDescent="0.5">
      <c r="A168" s="157">
        <v>1</v>
      </c>
      <c r="B168" s="240" t="s">
        <v>282</v>
      </c>
      <c r="C168" s="194" t="s">
        <v>290</v>
      </c>
      <c r="D168" s="4">
        <f>To_POTW!C65</f>
        <v>0</v>
      </c>
      <c r="E168" s="248" t="s">
        <v>18</v>
      </c>
      <c r="F168" s="284"/>
    </row>
    <row r="169" spans="1:15" ht="61.2" customHeight="1" x14ac:dyDescent="0.5">
      <c r="A169" s="157">
        <v>1</v>
      </c>
      <c r="B169" s="240" t="s">
        <v>282</v>
      </c>
      <c r="C169" s="194" t="s">
        <v>291</v>
      </c>
      <c r="D169" s="4">
        <f>To_POTW!C66</f>
        <v>0</v>
      </c>
      <c r="E169" s="248" t="s">
        <v>18</v>
      </c>
      <c r="F169" s="284"/>
    </row>
    <row r="170" spans="1:15" ht="61.2" customHeight="1" x14ac:dyDescent="0.5">
      <c r="A170" s="157">
        <v>1</v>
      </c>
      <c r="B170" s="240" t="s">
        <v>282</v>
      </c>
      <c r="C170" s="194" t="s">
        <v>233</v>
      </c>
      <c r="D170" s="4">
        <f>To_POTW!C67</f>
        <v>0</v>
      </c>
      <c r="E170" s="248" t="s">
        <v>18</v>
      </c>
      <c r="F170" s="284"/>
    </row>
    <row r="171" spans="1:15" ht="61.2" customHeight="1" x14ac:dyDescent="0.5">
      <c r="A171" s="157">
        <v>1</v>
      </c>
      <c r="B171" s="240" t="s">
        <v>282</v>
      </c>
      <c r="C171" s="194" t="s">
        <v>292</v>
      </c>
      <c r="D171" s="4">
        <f>To_POTW!C68</f>
        <v>0</v>
      </c>
      <c r="E171" s="248" t="s">
        <v>18</v>
      </c>
      <c r="F171" s="284"/>
    </row>
    <row r="172" spans="1:15" ht="61.2" customHeight="1" x14ac:dyDescent="0.5">
      <c r="A172" s="157">
        <v>1</v>
      </c>
      <c r="B172" s="240" t="s">
        <v>282</v>
      </c>
      <c r="C172" s="194" t="s">
        <v>293</v>
      </c>
      <c r="D172" s="4">
        <f>To_POTW!C69</f>
        <v>0</v>
      </c>
      <c r="E172" s="248" t="s">
        <v>18</v>
      </c>
      <c r="F172" s="284"/>
    </row>
    <row r="173" spans="1:15" ht="32.4" customHeight="1" x14ac:dyDescent="0.5">
      <c r="A173" s="157">
        <v>1</v>
      </c>
      <c r="B173" s="240" t="s">
        <v>282</v>
      </c>
      <c r="C173" s="194" t="s">
        <v>294</v>
      </c>
      <c r="D173" s="4">
        <f>To_POTW!C70</f>
        <v>0</v>
      </c>
      <c r="E173" s="248" t="s">
        <v>18</v>
      </c>
      <c r="F173" s="284"/>
      <c r="O173" s="2"/>
    </row>
    <row r="174" spans="1:15" ht="32.4" customHeight="1" x14ac:dyDescent="0.5">
      <c r="A174" s="240">
        <v>2</v>
      </c>
      <c r="B174" s="240" t="s">
        <v>282</v>
      </c>
      <c r="C174" s="194" t="s">
        <v>231</v>
      </c>
      <c r="D174" s="4">
        <f>To_POTW!C72</f>
        <v>0</v>
      </c>
      <c r="E174" s="248" t="s">
        <v>18</v>
      </c>
      <c r="F174" s="284"/>
      <c r="O174" s="2"/>
    </row>
    <row r="175" spans="1:15" ht="32.4" customHeight="1" x14ac:dyDescent="0.5">
      <c r="A175" s="240">
        <v>2</v>
      </c>
      <c r="B175" s="240" t="s">
        <v>282</v>
      </c>
      <c r="C175" s="194" t="s">
        <v>283</v>
      </c>
      <c r="D175" s="4">
        <f>To_POTW!C73</f>
        <v>0</v>
      </c>
      <c r="E175" s="139" t="s">
        <v>18</v>
      </c>
      <c r="F175" s="284"/>
      <c r="O175" s="2"/>
    </row>
    <row r="176" spans="1:15" ht="32.4" customHeight="1" x14ac:dyDescent="0.5">
      <c r="A176" s="240">
        <v>2</v>
      </c>
      <c r="B176" s="240" t="s">
        <v>282</v>
      </c>
      <c r="C176" s="194" t="s">
        <v>232</v>
      </c>
      <c r="D176" s="4">
        <f>To_POTW!C74</f>
        <v>0</v>
      </c>
      <c r="E176" s="139" t="s">
        <v>18</v>
      </c>
      <c r="F176" s="284"/>
      <c r="O176" s="2"/>
    </row>
    <row r="177" spans="1:15" ht="32.4" customHeight="1" x14ac:dyDescent="0.5">
      <c r="A177" s="240">
        <v>2</v>
      </c>
      <c r="B177" s="240" t="s">
        <v>282</v>
      </c>
      <c r="C177" s="194" t="s">
        <v>284</v>
      </c>
      <c r="D177" s="4">
        <f>To_POTW!C75</f>
        <v>0</v>
      </c>
      <c r="E177" s="139" t="s">
        <v>18</v>
      </c>
      <c r="F177" s="284"/>
      <c r="O177" s="2"/>
    </row>
    <row r="178" spans="1:15" ht="32.4" customHeight="1" x14ac:dyDescent="0.5">
      <c r="A178" s="240">
        <v>2</v>
      </c>
      <c r="B178" s="240" t="s">
        <v>282</v>
      </c>
      <c r="C178" s="194" t="s">
        <v>285</v>
      </c>
      <c r="D178" s="4">
        <f>To_POTW!C76</f>
        <v>0</v>
      </c>
      <c r="E178" s="139" t="s">
        <v>18</v>
      </c>
      <c r="F178" s="284"/>
      <c r="O178" s="2"/>
    </row>
    <row r="179" spans="1:15" ht="32.4" customHeight="1" x14ac:dyDescent="0.5">
      <c r="A179" s="240">
        <v>2</v>
      </c>
      <c r="B179" s="240" t="s">
        <v>282</v>
      </c>
      <c r="C179" s="194" t="s">
        <v>286</v>
      </c>
      <c r="D179" s="4">
        <f>To_POTW!C77</f>
        <v>0</v>
      </c>
      <c r="E179" s="139" t="s">
        <v>18</v>
      </c>
      <c r="F179" s="284"/>
      <c r="O179" s="2"/>
    </row>
    <row r="180" spans="1:15" ht="32.4" customHeight="1" x14ac:dyDescent="0.5">
      <c r="A180" s="240">
        <v>2</v>
      </c>
      <c r="B180" s="240" t="s">
        <v>282</v>
      </c>
      <c r="C180" s="194" t="s">
        <v>287</v>
      </c>
      <c r="D180" s="4">
        <f>To_POTW!C78</f>
        <v>0</v>
      </c>
      <c r="E180" s="139" t="s">
        <v>18</v>
      </c>
      <c r="F180" s="284"/>
      <c r="O180" s="2"/>
    </row>
    <row r="181" spans="1:15" ht="32.4" customHeight="1" x14ac:dyDescent="0.5">
      <c r="A181" s="240">
        <v>2</v>
      </c>
      <c r="B181" s="240" t="s">
        <v>282</v>
      </c>
      <c r="C181" s="194" t="s">
        <v>288</v>
      </c>
      <c r="D181" s="4">
        <f>To_POTW!C79</f>
        <v>0</v>
      </c>
      <c r="E181" s="139" t="s">
        <v>18</v>
      </c>
      <c r="F181" s="284"/>
      <c r="O181" s="2"/>
    </row>
    <row r="182" spans="1:15" ht="32.4" customHeight="1" x14ac:dyDescent="0.5">
      <c r="A182" s="240">
        <v>2</v>
      </c>
      <c r="B182" s="240" t="s">
        <v>282</v>
      </c>
      <c r="C182" s="194" t="s">
        <v>289</v>
      </c>
      <c r="D182" s="4">
        <f>To_POTW!C80</f>
        <v>0</v>
      </c>
      <c r="E182" s="139" t="s">
        <v>18</v>
      </c>
      <c r="F182" s="284"/>
      <c r="O182" s="2"/>
    </row>
    <row r="183" spans="1:15" ht="32.4" customHeight="1" x14ac:dyDescent="0.5">
      <c r="A183" s="240">
        <v>2</v>
      </c>
      <c r="B183" s="240" t="s">
        <v>282</v>
      </c>
      <c r="C183" s="194" t="s">
        <v>290</v>
      </c>
      <c r="D183" s="4">
        <f>To_POTW!C81</f>
        <v>0</v>
      </c>
      <c r="E183" s="139" t="s">
        <v>18</v>
      </c>
      <c r="F183" s="284"/>
      <c r="O183" s="2"/>
    </row>
    <row r="184" spans="1:15" ht="32.4" customHeight="1" x14ac:dyDescent="0.5">
      <c r="A184" s="240">
        <v>2</v>
      </c>
      <c r="B184" s="240" t="s">
        <v>282</v>
      </c>
      <c r="C184" s="194" t="s">
        <v>291</v>
      </c>
      <c r="D184" s="4">
        <f>To_POTW!C82</f>
        <v>0</v>
      </c>
      <c r="E184" s="139" t="s">
        <v>18</v>
      </c>
      <c r="F184" s="284"/>
      <c r="O184" s="2"/>
    </row>
    <row r="185" spans="1:15" ht="32.4" customHeight="1" x14ac:dyDescent="0.5">
      <c r="A185" s="240">
        <v>2</v>
      </c>
      <c r="B185" s="240" t="s">
        <v>282</v>
      </c>
      <c r="C185" s="194" t="s">
        <v>233</v>
      </c>
      <c r="D185" s="4">
        <f>To_POTW!C83</f>
        <v>0</v>
      </c>
      <c r="E185" s="139" t="s">
        <v>18</v>
      </c>
      <c r="F185" s="284"/>
      <c r="O185" s="2"/>
    </row>
    <row r="186" spans="1:15" ht="32.4" customHeight="1" x14ac:dyDescent="0.5">
      <c r="A186" s="240">
        <v>2</v>
      </c>
      <c r="B186" s="240" t="s">
        <v>282</v>
      </c>
      <c r="C186" s="194" t="s">
        <v>292</v>
      </c>
      <c r="D186" s="4">
        <f>To_POTW!C84</f>
        <v>0</v>
      </c>
      <c r="E186" s="139" t="s">
        <v>18</v>
      </c>
      <c r="F186" s="284"/>
      <c r="O186" s="2"/>
    </row>
    <row r="187" spans="1:15" ht="32.4" customHeight="1" x14ac:dyDescent="0.5">
      <c r="A187" s="240">
        <v>2</v>
      </c>
      <c r="B187" s="240" t="s">
        <v>282</v>
      </c>
      <c r="C187" s="194" t="s">
        <v>293</v>
      </c>
      <c r="D187" s="4">
        <f>To_POTW!C85</f>
        <v>0</v>
      </c>
      <c r="E187" s="139" t="s">
        <v>18</v>
      </c>
      <c r="F187" s="284"/>
      <c r="O187" s="2"/>
    </row>
    <row r="188" spans="1:15" ht="32.4" customHeight="1" x14ac:dyDescent="0.5">
      <c r="A188" s="240">
        <v>2</v>
      </c>
      <c r="B188" s="240" t="s">
        <v>282</v>
      </c>
      <c r="C188" s="194" t="s">
        <v>294</v>
      </c>
      <c r="D188" s="4">
        <f>To_POTW!C86</f>
        <v>0</v>
      </c>
      <c r="E188" s="249" t="s">
        <v>18</v>
      </c>
      <c r="F188" s="284"/>
      <c r="O188" s="2"/>
    </row>
    <row r="189" spans="1:15" ht="32.4" customHeight="1" x14ac:dyDescent="0.5">
      <c r="A189" s="240">
        <v>3</v>
      </c>
      <c r="B189" s="240" t="s">
        <v>282</v>
      </c>
      <c r="C189" s="194" t="s">
        <v>231</v>
      </c>
      <c r="D189" s="4">
        <f>To_POTW!C88</f>
        <v>0</v>
      </c>
      <c r="E189" s="248" t="s">
        <v>18</v>
      </c>
      <c r="F189" s="284"/>
      <c r="O189" s="2"/>
    </row>
    <row r="190" spans="1:15" ht="32.4" customHeight="1" x14ac:dyDescent="0.5">
      <c r="A190" s="240">
        <v>3</v>
      </c>
      <c r="B190" s="240" t="s">
        <v>282</v>
      </c>
      <c r="C190" s="194" t="s">
        <v>283</v>
      </c>
      <c r="D190" s="4">
        <f>To_POTW!C89</f>
        <v>0</v>
      </c>
      <c r="E190" s="139" t="s">
        <v>18</v>
      </c>
      <c r="F190" s="284"/>
      <c r="O190" s="2"/>
    </row>
    <row r="191" spans="1:15" ht="32.4" customHeight="1" x14ac:dyDescent="0.5">
      <c r="A191" s="240">
        <v>3</v>
      </c>
      <c r="B191" s="240" t="s">
        <v>282</v>
      </c>
      <c r="C191" s="194" t="s">
        <v>232</v>
      </c>
      <c r="D191" s="4">
        <f>To_POTW!C90</f>
        <v>0</v>
      </c>
      <c r="E191" s="139" t="s">
        <v>18</v>
      </c>
      <c r="F191" s="284"/>
      <c r="O191" s="2"/>
    </row>
    <row r="192" spans="1:15" ht="32.4" customHeight="1" x14ac:dyDescent="0.5">
      <c r="A192" s="240">
        <v>3</v>
      </c>
      <c r="B192" s="240" t="s">
        <v>282</v>
      </c>
      <c r="C192" s="194" t="s">
        <v>284</v>
      </c>
      <c r="D192" s="4">
        <f>To_POTW!C91</f>
        <v>0</v>
      </c>
      <c r="E192" s="139" t="s">
        <v>18</v>
      </c>
      <c r="F192" s="284"/>
      <c r="O192" s="2"/>
    </row>
    <row r="193" spans="1:15" ht="32.4" customHeight="1" x14ac:dyDescent="0.5">
      <c r="A193" s="240">
        <v>3</v>
      </c>
      <c r="B193" s="240" t="s">
        <v>282</v>
      </c>
      <c r="C193" s="194" t="s">
        <v>285</v>
      </c>
      <c r="D193" s="4">
        <f>To_POTW!C92</f>
        <v>0</v>
      </c>
      <c r="E193" s="139" t="s">
        <v>18</v>
      </c>
      <c r="F193" s="284"/>
      <c r="O193" s="2"/>
    </row>
    <row r="194" spans="1:15" ht="32.4" customHeight="1" x14ac:dyDescent="0.5">
      <c r="A194" s="240">
        <v>3</v>
      </c>
      <c r="B194" s="240" t="s">
        <v>282</v>
      </c>
      <c r="C194" s="194" t="s">
        <v>286</v>
      </c>
      <c r="D194" s="4">
        <f>To_POTW!C93</f>
        <v>0</v>
      </c>
      <c r="E194" s="139" t="s">
        <v>18</v>
      </c>
      <c r="F194" s="284"/>
      <c r="O194" s="2"/>
    </row>
    <row r="195" spans="1:15" ht="32.4" customHeight="1" x14ac:dyDescent="0.5">
      <c r="A195" s="240">
        <v>3</v>
      </c>
      <c r="B195" s="240" t="s">
        <v>282</v>
      </c>
      <c r="C195" s="194" t="s">
        <v>287</v>
      </c>
      <c r="D195" s="4">
        <f>To_POTW!C94</f>
        <v>0</v>
      </c>
      <c r="E195" s="139" t="s">
        <v>18</v>
      </c>
      <c r="F195" s="284"/>
      <c r="O195" s="2"/>
    </row>
    <row r="196" spans="1:15" ht="32.4" customHeight="1" x14ac:dyDescent="0.5">
      <c r="A196" s="240">
        <v>3</v>
      </c>
      <c r="B196" s="240" t="s">
        <v>282</v>
      </c>
      <c r="C196" s="194" t="s">
        <v>288</v>
      </c>
      <c r="D196" s="4">
        <f>To_POTW!C95</f>
        <v>0</v>
      </c>
      <c r="E196" s="139" t="s">
        <v>18</v>
      </c>
      <c r="F196" s="284"/>
      <c r="O196" s="2"/>
    </row>
    <row r="197" spans="1:15" ht="32.4" customHeight="1" x14ac:dyDescent="0.5">
      <c r="A197" s="240">
        <v>3</v>
      </c>
      <c r="B197" s="240" t="s">
        <v>282</v>
      </c>
      <c r="C197" s="194" t="s">
        <v>289</v>
      </c>
      <c r="D197" s="4">
        <f>To_POTW!C96</f>
        <v>0</v>
      </c>
      <c r="E197" s="139" t="s">
        <v>18</v>
      </c>
      <c r="F197" s="284"/>
      <c r="O197" s="2"/>
    </row>
    <row r="198" spans="1:15" ht="32.4" customHeight="1" x14ac:dyDescent="0.5">
      <c r="A198" s="240">
        <v>3</v>
      </c>
      <c r="B198" s="240" t="s">
        <v>282</v>
      </c>
      <c r="C198" s="194" t="s">
        <v>290</v>
      </c>
      <c r="D198" s="4">
        <f>To_POTW!C97</f>
        <v>0</v>
      </c>
      <c r="E198" s="139" t="s">
        <v>18</v>
      </c>
      <c r="F198" s="284"/>
      <c r="O198" s="2"/>
    </row>
    <row r="199" spans="1:15" ht="32.4" customHeight="1" x14ac:dyDescent="0.5">
      <c r="A199" s="240">
        <v>3</v>
      </c>
      <c r="B199" s="240" t="s">
        <v>282</v>
      </c>
      <c r="C199" s="194" t="s">
        <v>291</v>
      </c>
      <c r="D199" s="4">
        <f>To_POTW!C98</f>
        <v>0</v>
      </c>
      <c r="E199" s="139" t="s">
        <v>18</v>
      </c>
      <c r="F199" s="284"/>
      <c r="O199" s="2"/>
    </row>
    <row r="200" spans="1:15" ht="32.4" customHeight="1" x14ac:dyDescent="0.5">
      <c r="A200" s="240">
        <v>3</v>
      </c>
      <c r="B200" s="240" t="s">
        <v>282</v>
      </c>
      <c r="C200" s="194" t="s">
        <v>233</v>
      </c>
      <c r="D200" s="4">
        <f>To_POTW!C99</f>
        <v>0</v>
      </c>
      <c r="E200" s="139" t="s">
        <v>18</v>
      </c>
      <c r="F200" s="284"/>
      <c r="O200" s="2"/>
    </row>
    <row r="201" spans="1:15" ht="32.4" customHeight="1" x14ac:dyDescent="0.5">
      <c r="A201" s="240">
        <v>3</v>
      </c>
      <c r="B201" s="240" t="s">
        <v>282</v>
      </c>
      <c r="C201" s="194" t="s">
        <v>292</v>
      </c>
      <c r="D201" s="4">
        <f>To_POTW!C100</f>
        <v>0</v>
      </c>
      <c r="E201" s="139" t="s">
        <v>18</v>
      </c>
      <c r="F201" s="284"/>
      <c r="O201" s="2"/>
    </row>
    <row r="202" spans="1:15" ht="32.4" customHeight="1" x14ac:dyDescent="0.5">
      <c r="A202" s="240">
        <v>3</v>
      </c>
      <c r="B202" s="240" t="s">
        <v>282</v>
      </c>
      <c r="C202" s="194" t="s">
        <v>293</v>
      </c>
      <c r="D202" s="4">
        <f>To_POTW!C101</f>
        <v>0</v>
      </c>
      <c r="E202" s="139" t="s">
        <v>18</v>
      </c>
      <c r="F202" s="284"/>
      <c r="O202" s="2"/>
    </row>
    <row r="203" spans="1:15" ht="30.6" customHeight="1" x14ac:dyDescent="0.5">
      <c r="A203" s="240">
        <v>3</v>
      </c>
      <c r="B203" s="240" t="s">
        <v>282</v>
      </c>
      <c r="C203" s="194" t="s">
        <v>294</v>
      </c>
      <c r="D203" s="4">
        <f>To_POTW!C102</f>
        <v>0</v>
      </c>
      <c r="E203" s="249" t="s">
        <v>18</v>
      </c>
      <c r="F203" s="284"/>
      <c r="O203" s="2"/>
    </row>
    <row r="204" spans="1:15" ht="32.4" customHeight="1" x14ac:dyDescent="0.5">
      <c r="A204" s="240">
        <v>4</v>
      </c>
      <c r="B204" s="240" t="s">
        <v>282</v>
      </c>
      <c r="C204" s="194" t="s">
        <v>231</v>
      </c>
      <c r="D204" s="4">
        <f>To_POTW!C104</f>
        <v>0</v>
      </c>
      <c r="E204" s="248" t="s">
        <v>18</v>
      </c>
      <c r="F204" s="284"/>
      <c r="O204" s="2"/>
    </row>
    <row r="205" spans="1:15" ht="32.4" customHeight="1" x14ac:dyDescent="0.5">
      <c r="A205" s="240">
        <v>4</v>
      </c>
      <c r="B205" s="240" t="s">
        <v>282</v>
      </c>
      <c r="C205" s="194" t="s">
        <v>283</v>
      </c>
      <c r="D205" s="4">
        <f>To_POTW!C105</f>
        <v>0</v>
      </c>
      <c r="E205" s="139" t="s">
        <v>18</v>
      </c>
      <c r="F205" s="284"/>
      <c r="O205" s="2"/>
    </row>
    <row r="206" spans="1:15" ht="32.4" customHeight="1" x14ac:dyDescent="0.5">
      <c r="A206" s="240">
        <v>4</v>
      </c>
      <c r="B206" s="240" t="s">
        <v>282</v>
      </c>
      <c r="C206" s="194" t="s">
        <v>232</v>
      </c>
      <c r="D206" s="4">
        <f>To_POTW!C106</f>
        <v>0</v>
      </c>
      <c r="E206" s="139" t="s">
        <v>18</v>
      </c>
      <c r="F206" s="284"/>
      <c r="O206" s="2"/>
    </row>
    <row r="207" spans="1:15" ht="32.4" customHeight="1" x14ac:dyDescent="0.5">
      <c r="A207" s="240">
        <v>4</v>
      </c>
      <c r="B207" s="240" t="s">
        <v>282</v>
      </c>
      <c r="C207" s="194" t="s">
        <v>284</v>
      </c>
      <c r="D207" s="4">
        <f>To_POTW!C107</f>
        <v>0</v>
      </c>
      <c r="E207" s="139" t="s">
        <v>18</v>
      </c>
      <c r="F207" s="284"/>
      <c r="O207" s="2"/>
    </row>
    <row r="208" spans="1:15" ht="32.4" customHeight="1" x14ac:dyDescent="0.5">
      <c r="A208" s="240">
        <v>4</v>
      </c>
      <c r="B208" s="240" t="s">
        <v>282</v>
      </c>
      <c r="C208" s="194" t="s">
        <v>285</v>
      </c>
      <c r="D208" s="4">
        <f>To_POTW!C108</f>
        <v>0</v>
      </c>
      <c r="E208" s="139" t="s">
        <v>18</v>
      </c>
      <c r="F208" s="284"/>
      <c r="O208" s="2"/>
    </row>
    <row r="209" spans="1:15" ht="32.4" customHeight="1" x14ac:dyDescent="0.5">
      <c r="A209" s="240">
        <v>4</v>
      </c>
      <c r="B209" s="240" t="s">
        <v>282</v>
      </c>
      <c r="C209" s="194" t="s">
        <v>286</v>
      </c>
      <c r="D209" s="4">
        <f>To_POTW!C109</f>
        <v>0</v>
      </c>
      <c r="E209" s="139" t="s">
        <v>18</v>
      </c>
      <c r="F209" s="284"/>
      <c r="O209" s="2"/>
    </row>
    <row r="210" spans="1:15" ht="32.4" customHeight="1" x14ac:dyDescent="0.5">
      <c r="A210" s="240">
        <v>4</v>
      </c>
      <c r="B210" s="240" t="s">
        <v>282</v>
      </c>
      <c r="C210" s="194" t="s">
        <v>287</v>
      </c>
      <c r="D210" s="4">
        <f>To_POTW!C110</f>
        <v>0</v>
      </c>
      <c r="E210" s="139" t="s">
        <v>18</v>
      </c>
      <c r="F210" s="284"/>
      <c r="O210" s="2"/>
    </row>
    <row r="211" spans="1:15" ht="32.4" customHeight="1" x14ac:dyDescent="0.5">
      <c r="A211" s="240">
        <v>4</v>
      </c>
      <c r="B211" s="240" t="s">
        <v>282</v>
      </c>
      <c r="C211" s="194" t="s">
        <v>288</v>
      </c>
      <c r="D211" s="4">
        <f>To_POTW!C111</f>
        <v>0</v>
      </c>
      <c r="E211" s="139" t="s">
        <v>18</v>
      </c>
      <c r="F211" s="284"/>
      <c r="O211" s="2"/>
    </row>
    <row r="212" spans="1:15" ht="32.4" customHeight="1" x14ac:dyDescent="0.5">
      <c r="A212" s="240">
        <v>4</v>
      </c>
      <c r="B212" s="240" t="s">
        <v>282</v>
      </c>
      <c r="C212" s="194" t="s">
        <v>289</v>
      </c>
      <c r="D212" s="4">
        <f>To_POTW!C112</f>
        <v>0</v>
      </c>
      <c r="E212" s="139" t="s">
        <v>18</v>
      </c>
      <c r="F212" s="284"/>
      <c r="O212" s="2"/>
    </row>
    <row r="213" spans="1:15" ht="32.4" customHeight="1" x14ac:dyDescent="0.5">
      <c r="A213" s="240">
        <v>4</v>
      </c>
      <c r="B213" s="240" t="s">
        <v>282</v>
      </c>
      <c r="C213" s="194" t="s">
        <v>290</v>
      </c>
      <c r="D213" s="4">
        <f>To_POTW!C113</f>
        <v>0</v>
      </c>
      <c r="E213" s="139" t="s">
        <v>18</v>
      </c>
      <c r="F213" s="284"/>
      <c r="O213" s="2"/>
    </row>
    <row r="214" spans="1:15" ht="32.4" customHeight="1" x14ac:dyDescent="0.5">
      <c r="A214" s="240">
        <v>4</v>
      </c>
      <c r="B214" s="240" t="s">
        <v>282</v>
      </c>
      <c r="C214" s="194" t="s">
        <v>291</v>
      </c>
      <c r="D214" s="4">
        <f>To_POTW!C114</f>
        <v>0</v>
      </c>
      <c r="E214" s="139" t="s">
        <v>18</v>
      </c>
      <c r="F214" s="284"/>
      <c r="O214" s="2"/>
    </row>
    <row r="215" spans="1:15" ht="32.4" customHeight="1" x14ac:dyDescent="0.5">
      <c r="A215" s="240">
        <v>4</v>
      </c>
      <c r="B215" s="240" t="s">
        <v>282</v>
      </c>
      <c r="C215" s="194" t="s">
        <v>233</v>
      </c>
      <c r="D215" s="4">
        <f>To_POTW!C115</f>
        <v>0</v>
      </c>
      <c r="E215" s="139" t="s">
        <v>18</v>
      </c>
      <c r="F215" s="284"/>
      <c r="O215" s="2"/>
    </row>
    <row r="216" spans="1:15" ht="32.4" customHeight="1" x14ac:dyDescent="0.5">
      <c r="A216" s="240">
        <v>4</v>
      </c>
      <c r="B216" s="240" t="s">
        <v>282</v>
      </c>
      <c r="C216" s="194" t="s">
        <v>292</v>
      </c>
      <c r="D216" s="4">
        <f>To_POTW!C116</f>
        <v>0</v>
      </c>
      <c r="E216" s="139" t="s">
        <v>18</v>
      </c>
      <c r="F216" s="284"/>
      <c r="O216" s="2"/>
    </row>
    <row r="217" spans="1:15" ht="32.4" customHeight="1" x14ac:dyDescent="0.5">
      <c r="A217" s="240">
        <v>4</v>
      </c>
      <c r="B217" s="240" t="s">
        <v>282</v>
      </c>
      <c r="C217" s="194" t="s">
        <v>293</v>
      </c>
      <c r="D217" s="4">
        <f>To_POTW!C117</f>
        <v>0</v>
      </c>
      <c r="E217" s="139" t="s">
        <v>18</v>
      </c>
      <c r="F217" s="284"/>
      <c r="O217" s="2"/>
    </row>
    <row r="218" spans="1:15" ht="32.4" customHeight="1" x14ac:dyDescent="0.5">
      <c r="A218" s="240">
        <v>4</v>
      </c>
      <c r="B218" s="240" t="s">
        <v>282</v>
      </c>
      <c r="C218" s="194" t="s">
        <v>294</v>
      </c>
      <c r="D218" s="4">
        <f>To_POTW!C118</f>
        <v>0</v>
      </c>
      <c r="E218" s="249" t="s">
        <v>18</v>
      </c>
      <c r="F218" s="284"/>
      <c r="O218" s="2"/>
    </row>
    <row r="219" spans="1:15" ht="32.4" customHeight="1" x14ac:dyDescent="0.5">
      <c r="A219" s="240">
        <v>5</v>
      </c>
      <c r="B219" s="240" t="s">
        <v>282</v>
      </c>
      <c r="C219" s="194" t="s">
        <v>231</v>
      </c>
      <c r="D219" s="4">
        <f>To_POTW!C120</f>
        <v>0</v>
      </c>
      <c r="E219" s="248" t="s">
        <v>18</v>
      </c>
      <c r="F219" s="284"/>
      <c r="O219" s="2"/>
    </row>
    <row r="220" spans="1:15" ht="32.4" customHeight="1" x14ac:dyDescent="0.5">
      <c r="A220" s="240">
        <v>5</v>
      </c>
      <c r="B220" s="240" t="s">
        <v>282</v>
      </c>
      <c r="C220" s="194" t="s">
        <v>283</v>
      </c>
      <c r="D220" s="4">
        <f>To_POTW!C121</f>
        <v>0</v>
      </c>
      <c r="E220" s="139" t="s">
        <v>18</v>
      </c>
      <c r="F220" s="284"/>
      <c r="O220" s="2"/>
    </row>
    <row r="221" spans="1:15" ht="32.4" customHeight="1" x14ac:dyDescent="0.5">
      <c r="A221" s="240">
        <v>5</v>
      </c>
      <c r="B221" s="240" t="s">
        <v>282</v>
      </c>
      <c r="C221" s="194" t="s">
        <v>232</v>
      </c>
      <c r="D221" s="4">
        <f>To_POTW!C122</f>
        <v>0</v>
      </c>
      <c r="E221" s="139" t="s">
        <v>18</v>
      </c>
      <c r="F221" s="284"/>
      <c r="O221" s="2"/>
    </row>
    <row r="222" spans="1:15" ht="32.4" customHeight="1" x14ac:dyDescent="0.5">
      <c r="A222" s="240">
        <v>5</v>
      </c>
      <c r="B222" s="240" t="s">
        <v>282</v>
      </c>
      <c r="C222" s="194" t="s">
        <v>284</v>
      </c>
      <c r="D222" s="4">
        <f>To_POTW!C123</f>
        <v>0</v>
      </c>
      <c r="E222" s="139" t="s">
        <v>18</v>
      </c>
      <c r="F222" s="284"/>
      <c r="O222" s="2"/>
    </row>
    <row r="223" spans="1:15" ht="32.4" customHeight="1" x14ac:dyDescent="0.5">
      <c r="A223" s="240">
        <v>5</v>
      </c>
      <c r="B223" s="240" t="s">
        <v>282</v>
      </c>
      <c r="C223" s="194" t="s">
        <v>285</v>
      </c>
      <c r="D223" s="4">
        <f>To_POTW!C124</f>
        <v>0</v>
      </c>
      <c r="E223" s="139" t="s">
        <v>18</v>
      </c>
      <c r="F223" s="284"/>
      <c r="O223" s="2"/>
    </row>
    <row r="224" spans="1:15" ht="32.4" customHeight="1" x14ac:dyDescent="0.5">
      <c r="A224" s="240">
        <v>5</v>
      </c>
      <c r="B224" s="240" t="s">
        <v>282</v>
      </c>
      <c r="C224" s="194" t="s">
        <v>286</v>
      </c>
      <c r="D224" s="4">
        <f>To_POTW!C125</f>
        <v>0</v>
      </c>
      <c r="E224" s="139" t="s">
        <v>18</v>
      </c>
      <c r="F224" s="284"/>
      <c r="O224" s="2"/>
    </row>
    <row r="225" spans="1:15" ht="32.4" customHeight="1" x14ac:dyDescent="0.5">
      <c r="A225" s="240">
        <v>5</v>
      </c>
      <c r="B225" s="240" t="s">
        <v>282</v>
      </c>
      <c r="C225" s="194" t="s">
        <v>287</v>
      </c>
      <c r="D225" s="4">
        <f>To_POTW!C126</f>
        <v>0</v>
      </c>
      <c r="E225" s="139" t="s">
        <v>18</v>
      </c>
      <c r="F225" s="284"/>
      <c r="O225" s="2"/>
    </row>
    <row r="226" spans="1:15" ht="32.4" customHeight="1" x14ac:dyDescent="0.5">
      <c r="A226" s="240">
        <v>5</v>
      </c>
      <c r="B226" s="240" t="s">
        <v>282</v>
      </c>
      <c r="C226" s="194" t="s">
        <v>288</v>
      </c>
      <c r="D226" s="4">
        <f>To_POTW!C127</f>
        <v>0</v>
      </c>
      <c r="E226" s="139" t="s">
        <v>18</v>
      </c>
      <c r="F226" s="284"/>
      <c r="O226" s="2"/>
    </row>
    <row r="227" spans="1:15" ht="32.4" customHeight="1" x14ac:dyDescent="0.5">
      <c r="A227" s="240">
        <v>5</v>
      </c>
      <c r="B227" s="240" t="s">
        <v>282</v>
      </c>
      <c r="C227" s="194" t="s">
        <v>289</v>
      </c>
      <c r="D227" s="4">
        <f>To_POTW!C128</f>
        <v>0</v>
      </c>
      <c r="E227" s="139" t="s">
        <v>18</v>
      </c>
      <c r="F227" s="284"/>
      <c r="O227" s="2"/>
    </row>
    <row r="228" spans="1:15" ht="32.4" customHeight="1" x14ac:dyDescent="0.5">
      <c r="A228" s="240">
        <v>5</v>
      </c>
      <c r="B228" s="240" t="s">
        <v>282</v>
      </c>
      <c r="C228" s="194" t="s">
        <v>290</v>
      </c>
      <c r="D228" s="4">
        <f>To_POTW!C129</f>
        <v>0</v>
      </c>
      <c r="E228" s="139" t="s">
        <v>18</v>
      </c>
      <c r="F228" s="284"/>
      <c r="O228" s="2"/>
    </row>
    <row r="229" spans="1:15" ht="32.4" customHeight="1" x14ac:dyDescent="0.5">
      <c r="A229" s="240">
        <v>5</v>
      </c>
      <c r="B229" s="240" t="s">
        <v>282</v>
      </c>
      <c r="C229" s="194" t="s">
        <v>291</v>
      </c>
      <c r="D229" s="4">
        <f>To_POTW!C130</f>
        <v>0</v>
      </c>
      <c r="E229" s="139" t="s">
        <v>18</v>
      </c>
      <c r="F229" s="284"/>
      <c r="O229" s="2"/>
    </row>
    <row r="230" spans="1:15" ht="32.4" customHeight="1" x14ac:dyDescent="0.5">
      <c r="A230" s="240">
        <v>5</v>
      </c>
      <c r="B230" s="240" t="s">
        <v>282</v>
      </c>
      <c r="C230" s="194" t="s">
        <v>233</v>
      </c>
      <c r="D230" s="4">
        <f>To_POTW!C131</f>
        <v>0</v>
      </c>
      <c r="E230" s="139" t="s">
        <v>18</v>
      </c>
      <c r="F230" s="284"/>
      <c r="O230" s="2"/>
    </row>
    <row r="231" spans="1:15" ht="32.4" customHeight="1" x14ac:dyDescent="0.5">
      <c r="A231" s="240">
        <v>5</v>
      </c>
      <c r="B231" s="240" t="s">
        <v>282</v>
      </c>
      <c r="C231" s="194" t="s">
        <v>292</v>
      </c>
      <c r="D231" s="4">
        <f>To_POTW!C132</f>
        <v>0</v>
      </c>
      <c r="E231" s="139" t="s">
        <v>18</v>
      </c>
      <c r="F231" s="284"/>
      <c r="O231" s="2"/>
    </row>
    <row r="232" spans="1:15" ht="32.4" customHeight="1" x14ac:dyDescent="0.5">
      <c r="A232" s="240">
        <v>5</v>
      </c>
      <c r="B232" s="240" t="s">
        <v>282</v>
      </c>
      <c r="C232" s="194" t="s">
        <v>293</v>
      </c>
      <c r="D232" s="4">
        <f>To_POTW!C133</f>
        <v>0</v>
      </c>
      <c r="E232" s="139" t="s">
        <v>18</v>
      </c>
      <c r="F232" s="284"/>
      <c r="O232" s="2"/>
    </row>
    <row r="233" spans="1:15" ht="32.4" customHeight="1" x14ac:dyDescent="0.5">
      <c r="A233" s="241">
        <v>5</v>
      </c>
      <c r="B233" s="241" t="s">
        <v>282</v>
      </c>
      <c r="C233" s="198" t="s">
        <v>294</v>
      </c>
      <c r="D233" s="7">
        <f>To_POTW!C134</f>
        <v>0</v>
      </c>
      <c r="E233" s="249" t="s">
        <v>18</v>
      </c>
      <c r="F233" s="284"/>
      <c r="O233" s="2"/>
    </row>
    <row r="234" spans="1:15" ht="32.4" customHeight="1" x14ac:dyDescent="0.5">
      <c r="A234" s="258" t="s">
        <v>320</v>
      </c>
      <c r="B234" s="258"/>
      <c r="C234" s="258"/>
      <c r="D234" s="258"/>
      <c r="E234" s="258"/>
      <c r="F234" s="234"/>
      <c r="O234" s="2"/>
    </row>
    <row r="235" spans="1:15" ht="32.4" customHeight="1" x14ac:dyDescent="0.5">
      <c r="A235" s="21" t="s">
        <v>206</v>
      </c>
      <c r="B235" s="250" t="s">
        <v>316</v>
      </c>
      <c r="C235" s="228" t="s">
        <v>317</v>
      </c>
      <c r="D235" s="21" t="s">
        <v>318</v>
      </c>
      <c r="E235" s="251"/>
      <c r="F235" s="234"/>
      <c r="O235" s="2"/>
    </row>
    <row r="236" spans="1:15" ht="32.4" customHeight="1" x14ac:dyDescent="0.5">
      <c r="A236" s="240" t="s">
        <v>80</v>
      </c>
      <c r="B236" s="194" t="s">
        <v>281</v>
      </c>
      <c r="C236" s="194" t="s">
        <v>231</v>
      </c>
      <c r="D236" s="4">
        <f>Direct_Release!C51</f>
        <v>0</v>
      </c>
      <c r="E236" s="139" t="s">
        <v>18</v>
      </c>
      <c r="F236" s="284" t="s">
        <v>218</v>
      </c>
      <c r="O236" s="2"/>
    </row>
    <row r="237" spans="1:15" ht="32.4" customHeight="1" x14ac:dyDescent="0.5">
      <c r="A237" s="240" t="s">
        <v>80</v>
      </c>
      <c r="B237" s="194" t="s">
        <v>281</v>
      </c>
      <c r="C237" s="194" t="s">
        <v>283</v>
      </c>
      <c r="D237" s="4">
        <f>Direct_Release!C52</f>
        <v>0</v>
      </c>
      <c r="E237" s="248" t="s">
        <v>18</v>
      </c>
      <c r="F237" s="284"/>
      <c r="O237" s="2"/>
    </row>
    <row r="238" spans="1:15" ht="32.4" customHeight="1" x14ac:dyDescent="0.5">
      <c r="A238" s="240" t="s">
        <v>80</v>
      </c>
      <c r="B238" s="194" t="s">
        <v>281</v>
      </c>
      <c r="C238" s="194" t="s">
        <v>232</v>
      </c>
      <c r="D238" s="4">
        <f>Direct_Release!C53</f>
        <v>0</v>
      </c>
      <c r="E238" s="248" t="s">
        <v>18</v>
      </c>
      <c r="F238" s="284"/>
      <c r="O238" s="2"/>
    </row>
    <row r="239" spans="1:15" ht="32.4" customHeight="1" x14ac:dyDescent="0.5">
      <c r="A239" s="240" t="s">
        <v>80</v>
      </c>
      <c r="B239" s="194" t="s">
        <v>281</v>
      </c>
      <c r="C239" s="194" t="s">
        <v>284</v>
      </c>
      <c r="D239" s="4">
        <f>Direct_Release!C54</f>
        <v>0</v>
      </c>
      <c r="E239" s="248" t="s">
        <v>18</v>
      </c>
      <c r="F239" s="284"/>
      <c r="O239" s="2"/>
    </row>
    <row r="240" spans="1:15" ht="32.4" customHeight="1" x14ac:dyDescent="0.5">
      <c r="A240" s="240" t="s">
        <v>80</v>
      </c>
      <c r="B240" s="194" t="s">
        <v>281</v>
      </c>
      <c r="C240" s="194" t="s">
        <v>285</v>
      </c>
      <c r="D240" s="4">
        <f>Direct_Release!C55</f>
        <v>0</v>
      </c>
      <c r="E240" s="248" t="s">
        <v>18</v>
      </c>
      <c r="F240" s="284"/>
      <c r="O240" s="2"/>
    </row>
    <row r="241" spans="1:15" ht="32.4" customHeight="1" x14ac:dyDescent="0.5">
      <c r="A241" s="240" t="s">
        <v>80</v>
      </c>
      <c r="B241" s="194" t="s">
        <v>281</v>
      </c>
      <c r="C241" s="194" t="s">
        <v>286</v>
      </c>
      <c r="D241" s="4">
        <f>Direct_Release!C56</f>
        <v>0</v>
      </c>
      <c r="E241" s="248" t="s">
        <v>18</v>
      </c>
      <c r="F241" s="284"/>
      <c r="O241" s="2"/>
    </row>
    <row r="242" spans="1:15" ht="32.4" customHeight="1" x14ac:dyDescent="0.5">
      <c r="A242" s="240" t="s">
        <v>80</v>
      </c>
      <c r="B242" s="194" t="s">
        <v>281</v>
      </c>
      <c r="C242" s="194" t="s">
        <v>287</v>
      </c>
      <c r="D242" s="4">
        <f>Direct_Release!C57</f>
        <v>0</v>
      </c>
      <c r="E242" s="248" t="s">
        <v>18</v>
      </c>
      <c r="F242" s="284"/>
      <c r="O242" s="2"/>
    </row>
    <row r="243" spans="1:15" ht="31.2" customHeight="1" x14ac:dyDescent="0.5">
      <c r="A243" s="240" t="s">
        <v>80</v>
      </c>
      <c r="B243" s="194" t="s">
        <v>281</v>
      </c>
      <c r="C243" s="194" t="s">
        <v>288</v>
      </c>
      <c r="D243" s="4">
        <f>Direct_Release!C58</f>
        <v>0</v>
      </c>
      <c r="E243" s="248" t="s">
        <v>18</v>
      </c>
      <c r="F243" s="284"/>
      <c r="H243" s="2"/>
    </row>
    <row r="244" spans="1:15" ht="73.95" customHeight="1" x14ac:dyDescent="0.5">
      <c r="A244" s="240" t="s">
        <v>80</v>
      </c>
      <c r="B244" s="194" t="s">
        <v>281</v>
      </c>
      <c r="C244" s="194" t="s">
        <v>289</v>
      </c>
      <c r="D244" s="4">
        <f>Direct_Release!C59</f>
        <v>0</v>
      </c>
      <c r="E244" s="248" t="s">
        <v>18</v>
      </c>
      <c r="F244" s="284"/>
    </row>
    <row r="245" spans="1:15" ht="66" customHeight="1" x14ac:dyDescent="0.5">
      <c r="A245" s="240" t="s">
        <v>80</v>
      </c>
      <c r="B245" s="194" t="s">
        <v>281</v>
      </c>
      <c r="C245" s="194" t="s">
        <v>290</v>
      </c>
      <c r="D245" s="4">
        <f>Direct_Release!C60</f>
        <v>0</v>
      </c>
      <c r="E245" s="248" t="s">
        <v>18</v>
      </c>
      <c r="F245" s="284"/>
    </row>
    <row r="246" spans="1:15" ht="49.2" customHeight="1" x14ac:dyDescent="0.5">
      <c r="A246" s="240" t="s">
        <v>80</v>
      </c>
      <c r="B246" s="194" t="s">
        <v>281</v>
      </c>
      <c r="C246" s="194" t="s">
        <v>291</v>
      </c>
      <c r="D246" s="4">
        <f>Direct_Release!C61</f>
        <v>0</v>
      </c>
      <c r="E246" s="248" t="s">
        <v>18</v>
      </c>
      <c r="F246" s="284"/>
    </row>
    <row r="247" spans="1:15" ht="36.6" customHeight="1" x14ac:dyDescent="0.5">
      <c r="A247" s="240" t="s">
        <v>80</v>
      </c>
      <c r="B247" s="194" t="s">
        <v>281</v>
      </c>
      <c r="C247" s="194" t="s">
        <v>233</v>
      </c>
      <c r="D247" s="4">
        <f>Direct_Release!C62</f>
        <v>0</v>
      </c>
      <c r="E247" s="248" t="s">
        <v>18</v>
      </c>
      <c r="F247" s="284"/>
    </row>
    <row r="248" spans="1:15" ht="54.6" customHeight="1" x14ac:dyDescent="0.5">
      <c r="A248" s="240" t="s">
        <v>80</v>
      </c>
      <c r="B248" s="194" t="s">
        <v>281</v>
      </c>
      <c r="C248" s="194" t="s">
        <v>292</v>
      </c>
      <c r="D248" s="4">
        <f>Direct_Release!C63</f>
        <v>0</v>
      </c>
      <c r="E248" s="248" t="s">
        <v>18</v>
      </c>
      <c r="F248" s="284"/>
    </row>
    <row r="249" spans="1:15" ht="62.4" customHeight="1" x14ac:dyDescent="0.5">
      <c r="A249" s="240" t="s">
        <v>80</v>
      </c>
      <c r="B249" s="194" t="s">
        <v>281</v>
      </c>
      <c r="C249" s="194" t="s">
        <v>293</v>
      </c>
      <c r="D249" s="4">
        <f>Direct_Release!C64</f>
        <v>0</v>
      </c>
      <c r="E249" s="248" t="s">
        <v>18</v>
      </c>
      <c r="F249" s="284"/>
    </row>
    <row r="250" spans="1:15" ht="56.4" customHeight="1" x14ac:dyDescent="0.5">
      <c r="A250" s="240" t="s">
        <v>80</v>
      </c>
      <c r="B250" s="194" t="s">
        <v>281</v>
      </c>
      <c r="C250" s="194" t="s">
        <v>294</v>
      </c>
      <c r="D250" s="4">
        <f>Direct_Release!C65</f>
        <v>0</v>
      </c>
      <c r="E250" s="248" t="s">
        <v>18</v>
      </c>
      <c r="F250" s="284"/>
      <c r="H250" s="2"/>
    </row>
    <row r="251" spans="1:15" ht="56.4" customHeight="1" x14ac:dyDescent="0.5">
      <c r="A251" s="240" t="s">
        <v>80</v>
      </c>
      <c r="B251" s="194" t="s">
        <v>253</v>
      </c>
      <c r="C251" s="50" t="s">
        <v>50</v>
      </c>
      <c r="D251" s="4">
        <f>Direct_Release!C100</f>
        <v>0</v>
      </c>
      <c r="E251" s="248" t="s">
        <v>18</v>
      </c>
      <c r="F251" s="284"/>
      <c r="H251" s="2"/>
    </row>
    <row r="252" spans="1:15" ht="56.4" customHeight="1" x14ac:dyDescent="0.5">
      <c r="A252" s="240" t="s">
        <v>80</v>
      </c>
      <c r="B252" s="194" t="s">
        <v>253</v>
      </c>
      <c r="C252" s="50" t="s">
        <v>151</v>
      </c>
      <c r="D252" s="4">
        <f>Direct_Release!C101</f>
        <v>0</v>
      </c>
      <c r="E252" s="248" t="s">
        <v>18</v>
      </c>
      <c r="F252" s="284"/>
      <c r="H252" s="2"/>
    </row>
    <row r="253" spans="1:15" ht="56.4" customHeight="1" x14ac:dyDescent="0.5">
      <c r="A253" s="240" t="s">
        <v>80</v>
      </c>
      <c r="B253" s="194" t="s">
        <v>253</v>
      </c>
      <c r="C253" s="50" t="s">
        <v>276</v>
      </c>
      <c r="D253" s="4">
        <f>Direct_Release!C102</f>
        <v>0</v>
      </c>
      <c r="E253" s="248" t="s">
        <v>18</v>
      </c>
      <c r="F253" s="284"/>
      <c r="H253" s="2"/>
    </row>
    <row r="254" spans="1:15" ht="56.4" customHeight="1" x14ac:dyDescent="0.5">
      <c r="A254" s="240" t="s">
        <v>80</v>
      </c>
      <c r="B254" s="194" t="s">
        <v>253</v>
      </c>
      <c r="C254" s="194" t="s">
        <v>289</v>
      </c>
      <c r="D254" s="4">
        <f>Direct_Release!C103</f>
        <v>0</v>
      </c>
      <c r="E254" s="248" t="s">
        <v>18</v>
      </c>
      <c r="F254" s="284"/>
      <c r="H254" s="2"/>
    </row>
    <row r="255" spans="1:15" ht="56.4" customHeight="1" x14ac:dyDescent="0.5">
      <c r="A255" s="240" t="s">
        <v>80</v>
      </c>
      <c r="B255" s="194" t="s">
        <v>253</v>
      </c>
      <c r="C255" s="50" t="s">
        <v>154</v>
      </c>
      <c r="D255" s="4">
        <f>Direct_Release!C104</f>
        <v>0</v>
      </c>
      <c r="E255" s="248" t="s">
        <v>18</v>
      </c>
      <c r="F255" s="284"/>
      <c r="H255" s="2"/>
    </row>
    <row r="256" spans="1:15" ht="56.4" customHeight="1" x14ac:dyDescent="0.5">
      <c r="A256" s="240" t="s">
        <v>80</v>
      </c>
      <c r="B256" s="194" t="s">
        <v>253</v>
      </c>
      <c r="C256" s="50" t="s">
        <v>156</v>
      </c>
      <c r="D256" s="4">
        <f>Direct_Release!C105</f>
        <v>0</v>
      </c>
      <c r="E256" s="248" t="s">
        <v>18</v>
      </c>
      <c r="F256" s="284"/>
      <c r="H256" s="2"/>
    </row>
    <row r="257" spans="1:8" ht="56.4" customHeight="1" x14ac:dyDescent="0.5">
      <c r="A257" s="240" t="s">
        <v>80</v>
      </c>
      <c r="B257" s="194" t="s">
        <v>253</v>
      </c>
      <c r="C257" s="50" t="s">
        <v>277</v>
      </c>
      <c r="D257" s="4">
        <f>Direct_Release!C106</f>
        <v>0</v>
      </c>
      <c r="E257" s="248" t="s">
        <v>18</v>
      </c>
      <c r="F257" s="284"/>
      <c r="H257" s="2"/>
    </row>
    <row r="258" spans="1:8" ht="56.4" customHeight="1" x14ac:dyDescent="0.5">
      <c r="A258" s="240" t="s">
        <v>80</v>
      </c>
      <c r="B258" s="194" t="s">
        <v>253</v>
      </c>
      <c r="C258" s="50" t="s">
        <v>278</v>
      </c>
      <c r="D258" s="4">
        <f>Direct_Release!C107</f>
        <v>0</v>
      </c>
      <c r="E258" s="248" t="s">
        <v>18</v>
      </c>
      <c r="F258" s="284"/>
      <c r="H258" s="2"/>
    </row>
    <row r="259" spans="1:8" ht="56.4" customHeight="1" x14ac:dyDescent="0.5">
      <c r="A259" s="240" t="s">
        <v>80</v>
      </c>
      <c r="B259" s="194" t="s">
        <v>253</v>
      </c>
      <c r="C259" s="50" t="s">
        <v>148</v>
      </c>
      <c r="D259" s="4">
        <f>Direct_Release!C108</f>
        <v>0</v>
      </c>
      <c r="E259" s="248" t="s">
        <v>18</v>
      </c>
      <c r="F259" s="284"/>
      <c r="H259" s="2"/>
    </row>
    <row r="260" spans="1:8" ht="56.4" customHeight="1" x14ac:dyDescent="0.5">
      <c r="A260" s="279" t="s">
        <v>35</v>
      </c>
      <c r="B260" s="279"/>
      <c r="C260" s="279"/>
      <c r="D260" s="279"/>
      <c r="E260" s="279"/>
      <c r="F260" s="234"/>
      <c r="H260" s="2"/>
    </row>
    <row r="261" spans="1:8" ht="56.4" customHeight="1" x14ac:dyDescent="0.5">
      <c r="A261" s="233" t="s">
        <v>321</v>
      </c>
      <c r="B261" s="233" t="s">
        <v>316</v>
      </c>
      <c r="C261" s="233" t="s">
        <v>317</v>
      </c>
      <c r="D261" s="233" t="s">
        <v>318</v>
      </c>
      <c r="E261" s="243" t="s">
        <v>319</v>
      </c>
      <c r="F261" s="234"/>
      <c r="H261" s="2"/>
    </row>
    <row r="262" spans="1:8" ht="25.8" customHeight="1" x14ac:dyDescent="0.5">
      <c r="A262" s="242" t="s">
        <v>35</v>
      </c>
      <c r="B262" s="32" t="s">
        <v>193</v>
      </c>
      <c r="C262" s="16" t="s">
        <v>322</v>
      </c>
      <c r="D262" s="16">
        <v>1000000</v>
      </c>
      <c r="E262" s="177" t="s">
        <v>7</v>
      </c>
      <c r="F262" s="177"/>
    </row>
    <row r="263" spans="1:8" ht="43.95" customHeight="1" x14ac:dyDescent="0.5">
      <c r="A263" s="242" t="s">
        <v>35</v>
      </c>
      <c r="B263" s="3" t="s">
        <v>36</v>
      </c>
      <c r="C263" s="4" t="s">
        <v>323</v>
      </c>
      <c r="D263" s="5">
        <v>1000000000</v>
      </c>
      <c r="E263" s="177" t="s">
        <v>7</v>
      </c>
      <c r="F263" s="177"/>
    </row>
    <row r="264" spans="1:8" ht="43.95" customHeight="1" x14ac:dyDescent="0.5">
      <c r="A264" s="242" t="s">
        <v>35</v>
      </c>
      <c r="B264" s="3" t="s">
        <v>167</v>
      </c>
      <c r="C264" s="4" t="s">
        <v>324</v>
      </c>
      <c r="D264" s="4">
        <v>1000000</v>
      </c>
      <c r="E264" s="177" t="s">
        <v>7</v>
      </c>
      <c r="F264" s="177"/>
    </row>
    <row r="265" spans="1:8" ht="25.8" customHeight="1" x14ac:dyDescent="0.5">
      <c r="A265" s="252" t="s">
        <v>35</v>
      </c>
      <c r="B265" s="6" t="s">
        <v>37</v>
      </c>
      <c r="C265" s="7" t="s">
        <v>325</v>
      </c>
      <c r="D265" s="174">
        <v>2447000</v>
      </c>
      <c r="E265" s="253" t="s">
        <v>7</v>
      </c>
      <c r="F265" s="177"/>
    </row>
    <row r="267" spans="1:8" x14ac:dyDescent="0.5">
      <c r="H267" s="2"/>
    </row>
    <row r="268" spans="1:8" x14ac:dyDescent="0.5">
      <c r="H268" s="2"/>
    </row>
    <row r="269" spans="1:8" x14ac:dyDescent="0.5">
      <c r="H269" s="2"/>
    </row>
    <row r="270" spans="1:8" x14ac:dyDescent="0.5">
      <c r="H270" s="2"/>
    </row>
    <row r="271" spans="1:8" x14ac:dyDescent="0.5">
      <c r="H271" s="2"/>
    </row>
    <row r="272" spans="1:8" x14ac:dyDescent="0.5">
      <c r="H272" s="2"/>
    </row>
    <row r="273" spans="8:8" x14ac:dyDescent="0.5">
      <c r="H273" s="2"/>
    </row>
    <row r="274" spans="8:8" x14ac:dyDescent="0.5">
      <c r="H274" s="2"/>
    </row>
    <row r="275" spans="8:8" x14ac:dyDescent="0.5">
      <c r="H275" s="2"/>
    </row>
    <row r="276" spans="8:8" x14ac:dyDescent="0.5">
      <c r="H276" s="2"/>
    </row>
    <row r="277" spans="8:8" x14ac:dyDescent="0.5">
      <c r="H277" s="2"/>
    </row>
    <row r="278" spans="8:8" x14ac:dyDescent="0.5">
      <c r="H278" s="2"/>
    </row>
    <row r="279" spans="8:8" x14ac:dyDescent="0.5">
      <c r="H279" s="2"/>
    </row>
    <row r="280" spans="8:8" x14ac:dyDescent="0.5">
      <c r="H280" s="2"/>
    </row>
    <row r="281" spans="8:8" x14ac:dyDescent="0.5">
      <c r="H281" s="2"/>
    </row>
    <row r="282" spans="8:8" ht="74.400000000000006" customHeight="1" x14ac:dyDescent="0.5"/>
    <row r="283" spans="8:8" ht="78.599999999999994" customHeight="1" x14ac:dyDescent="0.5"/>
    <row r="284" spans="8:8" ht="77.400000000000006" customHeight="1" x14ac:dyDescent="0.5"/>
    <row r="285" spans="8:8" ht="69" customHeight="1" x14ac:dyDescent="0.5"/>
    <row r="291" spans="8:12" x14ac:dyDescent="0.5">
      <c r="H291" s="39"/>
    </row>
    <row r="304" spans="8:12" x14ac:dyDescent="0.5">
      <c r="L304" s="39"/>
    </row>
    <row r="305" spans="12:12" x14ac:dyDescent="0.5">
      <c r="L305" s="39"/>
    </row>
  </sheetData>
  <mergeCells count="18">
    <mergeCell ref="F236:F259"/>
    <mergeCell ref="F69:F158"/>
    <mergeCell ref="F159:F233"/>
    <mergeCell ref="A3:F5"/>
    <mergeCell ref="A6:E6"/>
    <mergeCell ref="F56:F60"/>
    <mergeCell ref="B50:B52"/>
    <mergeCell ref="F50:F55"/>
    <mergeCell ref="F8:F43"/>
    <mergeCell ref="F61:F66"/>
    <mergeCell ref="F44:F46"/>
    <mergeCell ref="B44:B46"/>
    <mergeCell ref="A260:E260"/>
    <mergeCell ref="B47:B49"/>
    <mergeCell ref="A67:E67"/>
    <mergeCell ref="A234:E234"/>
    <mergeCell ref="B53:B55"/>
    <mergeCell ref="B56:B6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E3FA-4689-4388-8CF8-E61C2F6C0E3B}">
  <dimension ref="A1:N442"/>
  <sheetViews>
    <sheetView topLeftCell="A94" zoomScale="69" zoomScaleNormal="69" workbookViewId="0">
      <selection activeCell="E110" sqref="E110"/>
    </sheetView>
  </sheetViews>
  <sheetFormatPr defaultRowHeight="15" customHeight="1" x14ac:dyDescent="0.3"/>
  <cols>
    <col min="1" max="1" width="42.6640625" customWidth="1"/>
    <col min="2" max="2" width="72.109375" customWidth="1"/>
    <col min="3" max="3" width="97.5546875" customWidth="1"/>
    <col min="4" max="4" width="41.88671875" customWidth="1"/>
    <col min="5" max="5" width="34.6640625" customWidth="1"/>
    <col min="6" max="6" width="28.44140625" customWidth="1"/>
    <col min="7" max="7" width="25" customWidth="1"/>
    <col min="8" max="8" width="27.6640625" customWidth="1"/>
    <col min="9" max="9" width="23.33203125" customWidth="1"/>
    <col min="10" max="10" width="27.6640625" customWidth="1"/>
    <col min="11" max="11" width="25.88671875" customWidth="1"/>
    <col min="12" max="12" width="21.6640625" customWidth="1"/>
    <col min="13" max="13" width="13.109375" customWidth="1"/>
    <col min="14" max="14" width="15.44140625" bestFit="1" customWidth="1"/>
  </cols>
  <sheetData>
    <row r="1" spans="1:12" ht="60.75" customHeight="1" thickTop="1" thickBot="1" x14ac:dyDescent="0.65">
      <c r="A1" s="14" t="s">
        <v>81</v>
      </c>
      <c r="B1" s="47" t="s">
        <v>201</v>
      </c>
      <c r="C1" s="47"/>
      <c r="D1" s="48"/>
      <c r="E1" s="48"/>
      <c r="F1" s="48"/>
    </row>
    <row r="2" spans="1:12" ht="30" customHeight="1" thickBot="1" x14ac:dyDescent="0.4">
      <c r="A2" s="289">
        <v>1</v>
      </c>
      <c r="B2" s="294" t="s">
        <v>171</v>
      </c>
      <c r="C2" s="164"/>
      <c r="D2" s="46" t="s">
        <v>82</v>
      </c>
      <c r="E2" s="4"/>
      <c r="F2" s="4"/>
      <c r="H2" s="63"/>
      <c r="I2" s="64" t="s">
        <v>104</v>
      </c>
      <c r="J2" s="65"/>
      <c r="K2" s="65"/>
      <c r="L2" s="66"/>
    </row>
    <row r="3" spans="1:12" ht="30" customHeight="1" thickBot="1" x14ac:dyDescent="0.35">
      <c r="A3" s="289"/>
      <c r="B3" s="294"/>
      <c r="C3" s="164"/>
      <c r="D3" s="3" t="s">
        <v>83</v>
      </c>
      <c r="E3" s="4">
        <f>Parameters!$D$8*Parameters!D11*Parameters!$D$262</f>
        <v>2645055540.0000005</v>
      </c>
      <c r="F3" s="4" t="s">
        <v>84</v>
      </c>
      <c r="H3" s="67"/>
      <c r="I3" s="61"/>
      <c r="J3" s="4" t="s">
        <v>105</v>
      </c>
      <c r="K3" s="4"/>
      <c r="L3" s="68"/>
    </row>
    <row r="4" spans="1:12" ht="30" customHeight="1" thickBot="1" x14ac:dyDescent="0.35">
      <c r="A4" s="289"/>
      <c r="B4" s="294"/>
      <c r="C4" s="164"/>
      <c r="D4" s="3" t="s">
        <v>85</v>
      </c>
      <c r="E4" s="4">
        <f>Parameters!D12*Parameters!$D$262</f>
        <v>32075348.771084327</v>
      </c>
      <c r="F4" s="4" t="s">
        <v>84</v>
      </c>
      <c r="H4" s="67"/>
      <c r="I4" s="62"/>
      <c r="J4" s="4" t="s">
        <v>106</v>
      </c>
      <c r="K4" s="4"/>
      <c r="L4" s="68"/>
    </row>
    <row r="5" spans="1:12" ht="30" customHeight="1" x14ac:dyDescent="0.3">
      <c r="A5" s="289"/>
      <c r="B5" s="294"/>
      <c r="C5" s="164"/>
      <c r="D5" s="3" t="s">
        <v>87</v>
      </c>
      <c r="E5" s="5">
        <f>Parameters!D13*Parameters!$D$263</f>
        <v>0</v>
      </c>
      <c r="F5" s="4" t="s">
        <v>84</v>
      </c>
      <c r="H5" s="67"/>
      <c r="I5" s="4" t="s">
        <v>107</v>
      </c>
      <c r="J5" s="4" t="s">
        <v>109</v>
      </c>
      <c r="K5" s="4"/>
      <c r="L5" s="68"/>
    </row>
    <row r="6" spans="1:12" ht="30" customHeight="1" thickBot="1" x14ac:dyDescent="0.35">
      <c r="A6" s="289"/>
      <c r="B6" s="294"/>
      <c r="C6" s="164"/>
      <c r="D6" s="4" t="s">
        <v>88</v>
      </c>
      <c r="E6" s="4">
        <f>(Parameters!D14*Parameters!D10*Parameters!$D$264)</f>
        <v>8399999.9999999981</v>
      </c>
      <c r="F6" s="4" t="s">
        <v>84</v>
      </c>
      <c r="H6" s="69"/>
      <c r="I6" s="70" t="s">
        <v>108</v>
      </c>
      <c r="J6" s="70" t="s">
        <v>110</v>
      </c>
      <c r="K6" s="70"/>
      <c r="L6" s="71"/>
    </row>
    <row r="7" spans="1:12" ht="49.95" customHeight="1" x14ac:dyDescent="0.3">
      <c r="A7" s="289"/>
      <c r="B7" s="294"/>
      <c r="C7" s="164"/>
      <c r="D7" s="3" t="s">
        <v>191</v>
      </c>
      <c r="E7" s="5">
        <f>SUM(E3:E6)</f>
        <v>2685530888.7710848</v>
      </c>
      <c r="F7" s="4" t="s">
        <v>84</v>
      </c>
    </row>
    <row r="8" spans="1:12" ht="36" customHeight="1" x14ac:dyDescent="0.3">
      <c r="A8" s="289"/>
      <c r="B8" s="294"/>
      <c r="C8" s="164"/>
      <c r="D8" s="3" t="s">
        <v>185</v>
      </c>
      <c r="E8" s="5">
        <f>(E7)/(Parameters!D14 * Parameters!$D$264)</f>
        <v>223.79424073092372</v>
      </c>
      <c r="F8" s="4" t="s">
        <v>13</v>
      </c>
    </row>
    <row r="9" spans="1:12" ht="30" customHeight="1" x14ac:dyDescent="0.3">
      <c r="A9" s="289"/>
      <c r="B9" s="294"/>
      <c r="C9" s="164"/>
      <c r="D9" s="18" t="s">
        <v>186</v>
      </c>
      <c r="E9" s="5">
        <f>Parameters!D56</f>
        <v>0</v>
      </c>
      <c r="F9" s="10" t="s">
        <v>187</v>
      </c>
    </row>
    <row r="10" spans="1:12" ht="30" customHeight="1" x14ac:dyDescent="0.3">
      <c r="A10" s="289"/>
      <c r="B10" s="294"/>
      <c r="C10" s="164"/>
      <c r="D10" s="18" t="s">
        <v>207</v>
      </c>
      <c r="E10" s="5">
        <f>E7*(1-E9)</f>
        <v>2685530888.7710848</v>
      </c>
      <c r="F10" s="10"/>
    </row>
    <row r="11" spans="1:12" ht="30" customHeight="1" x14ac:dyDescent="0.3">
      <c r="A11" s="289"/>
      <c r="B11" s="294"/>
      <c r="C11" s="164"/>
      <c r="D11" s="3" t="s">
        <v>89</v>
      </c>
      <c r="E11" s="5">
        <f>E10/(Parameters!D14 * Parameters!$D$264)</f>
        <v>223.79424073092372</v>
      </c>
      <c r="F11" s="4" t="s">
        <v>13</v>
      </c>
    </row>
    <row r="12" spans="1:12" ht="30" customHeight="1" x14ac:dyDescent="0.35">
      <c r="A12" s="289"/>
      <c r="B12" s="294"/>
      <c r="C12" s="164"/>
      <c r="D12" s="19" t="s">
        <v>90</v>
      </c>
      <c r="E12" s="4"/>
      <c r="F12" s="4"/>
    </row>
    <row r="13" spans="1:12" ht="30" customHeight="1" x14ac:dyDescent="0.3">
      <c r="A13" s="289"/>
      <c r="B13" s="294"/>
      <c r="C13" s="164"/>
      <c r="D13" s="3" t="s">
        <v>91</v>
      </c>
      <c r="E13" s="52">
        <f>E3/$E$7</f>
        <v>0.9849283622317202</v>
      </c>
      <c r="F13" s="4"/>
    </row>
    <row r="14" spans="1:12" ht="30" customHeight="1" x14ac:dyDescent="0.3">
      <c r="A14" s="289"/>
      <c r="B14" s="294"/>
      <c r="C14" s="164"/>
      <c r="D14" s="3" t="s">
        <v>92</v>
      </c>
      <c r="E14" s="52">
        <f>E4/$E$7</f>
        <v>1.1943764603564921E-2</v>
      </c>
      <c r="F14" s="10"/>
    </row>
    <row r="15" spans="1:12" ht="30" customHeight="1" x14ac:dyDescent="0.3">
      <c r="A15" s="289"/>
      <c r="B15" s="294"/>
      <c r="C15" s="164"/>
      <c r="D15" s="3" t="s">
        <v>93</v>
      </c>
      <c r="E15" s="52">
        <f>E5/$E$7</f>
        <v>0</v>
      </c>
      <c r="F15" s="10"/>
    </row>
    <row r="16" spans="1:12" ht="30" customHeight="1" x14ac:dyDescent="0.3">
      <c r="A16" s="289"/>
      <c r="B16" s="294"/>
      <c r="C16" s="164"/>
      <c r="D16" s="3" t="s">
        <v>94</v>
      </c>
      <c r="E16" s="52">
        <f>E6/$E$7</f>
        <v>3.1278731647148878E-3</v>
      </c>
      <c r="F16" s="55" t="s">
        <v>95</v>
      </c>
      <c r="H16" s="53"/>
    </row>
    <row r="17" spans="1:8" ht="30" customHeight="1" x14ac:dyDescent="0.3">
      <c r="A17" s="289"/>
      <c r="B17" s="295"/>
      <c r="C17" s="164"/>
      <c r="D17" s="4"/>
      <c r="E17" s="49">
        <f>SUM(E13:E16)</f>
        <v>1</v>
      </c>
      <c r="F17" s="55" t="str">
        <f>IF(E17=1, "PASS", "FAIL")</f>
        <v>PASS</v>
      </c>
    </row>
    <row r="18" spans="1:8" ht="30" customHeight="1" x14ac:dyDescent="0.35">
      <c r="A18" s="289"/>
      <c r="B18" s="296" t="s">
        <v>169</v>
      </c>
      <c r="C18" s="165"/>
      <c r="D18" s="17" t="s">
        <v>82</v>
      </c>
      <c r="E18" s="16"/>
      <c r="F18" s="16"/>
    </row>
    <row r="19" spans="1:8" ht="30" customHeight="1" x14ac:dyDescent="0.3">
      <c r="A19" s="289"/>
      <c r="B19" s="297"/>
      <c r="C19" s="160"/>
      <c r="D19" s="3" t="s">
        <v>96</v>
      </c>
      <c r="E19" s="4">
        <f>Parameters!$D$8*Parameters!D18*Parameters!$D$262</f>
        <v>0</v>
      </c>
      <c r="F19" s="4" t="s">
        <v>84</v>
      </c>
    </row>
    <row r="20" spans="1:8" ht="30" customHeight="1" x14ac:dyDescent="0.3">
      <c r="A20" s="289"/>
      <c r="B20" s="297"/>
      <c r="C20" s="160"/>
      <c r="D20" s="3" t="s">
        <v>85</v>
      </c>
      <c r="E20" s="4">
        <f>Parameters!D19*Parameters!$D$262</f>
        <v>0</v>
      </c>
      <c r="F20" s="4" t="s">
        <v>84</v>
      </c>
    </row>
    <row r="21" spans="1:8" ht="30" customHeight="1" x14ac:dyDescent="0.3">
      <c r="A21" s="289"/>
      <c r="B21" s="297"/>
      <c r="C21" s="160"/>
      <c r="D21" s="3" t="s">
        <v>87</v>
      </c>
      <c r="E21" s="5">
        <f>Parameters!D20*Parameters!$D$263</f>
        <v>0</v>
      </c>
      <c r="F21" s="4" t="s">
        <v>84</v>
      </c>
    </row>
    <row r="22" spans="1:8" ht="30" customHeight="1" x14ac:dyDescent="0.3">
      <c r="A22" s="289"/>
      <c r="B22" s="297"/>
      <c r="C22" s="160"/>
      <c r="D22" s="3" t="s">
        <v>88</v>
      </c>
      <c r="E22" s="4">
        <f>Parameters!D17*Parameters!D21*Parameters!$D$264</f>
        <v>0</v>
      </c>
      <c r="F22" s="4" t="s">
        <v>84</v>
      </c>
    </row>
    <row r="23" spans="1:8" ht="45.6" customHeight="1" x14ac:dyDescent="0.3">
      <c r="A23" s="289"/>
      <c r="B23" s="297"/>
      <c r="C23" s="160"/>
      <c r="D23" s="3" t="s">
        <v>191</v>
      </c>
      <c r="E23" s="5">
        <f>SUM(E19:E22)</f>
        <v>0</v>
      </c>
      <c r="F23" s="4" t="s">
        <v>84</v>
      </c>
    </row>
    <row r="24" spans="1:8" ht="30" customHeight="1" x14ac:dyDescent="0.3">
      <c r="A24" s="289"/>
      <c r="B24" s="297"/>
      <c r="C24" s="160"/>
      <c r="D24" s="3" t="s">
        <v>185</v>
      </c>
      <c r="E24" s="5" t="e">
        <f>E23/(Parameters!D21*Parameters!$D$264)</f>
        <v>#DIV/0!</v>
      </c>
      <c r="F24" s="4" t="s">
        <v>13</v>
      </c>
    </row>
    <row r="25" spans="1:8" ht="30" customHeight="1" x14ac:dyDescent="0.3">
      <c r="A25" s="289"/>
      <c r="B25" s="297"/>
      <c r="C25" s="160"/>
      <c r="D25" s="18" t="s">
        <v>186</v>
      </c>
      <c r="E25" s="5">
        <f>Parameters!D57</f>
        <v>0</v>
      </c>
      <c r="F25" s="10" t="s">
        <v>187</v>
      </c>
    </row>
    <row r="26" spans="1:8" ht="30" customHeight="1" x14ac:dyDescent="0.3">
      <c r="A26" s="289"/>
      <c r="B26" s="297"/>
      <c r="C26" s="160"/>
      <c r="D26" s="18" t="s">
        <v>207</v>
      </c>
      <c r="E26" s="5">
        <f>E23*(1-E25)</f>
        <v>0</v>
      </c>
      <c r="F26" s="10"/>
    </row>
    <row r="27" spans="1:8" ht="30" customHeight="1" x14ac:dyDescent="0.3">
      <c r="A27" s="289"/>
      <c r="B27" s="297"/>
      <c r="C27" s="160"/>
      <c r="D27" s="3" t="s">
        <v>89</v>
      </c>
      <c r="E27" s="5" t="e">
        <f>E26/(Parameters!D21*Parameters!$D$264)</f>
        <v>#DIV/0!</v>
      </c>
      <c r="F27" s="4" t="s">
        <v>13</v>
      </c>
    </row>
    <row r="28" spans="1:8" ht="30" customHeight="1" x14ac:dyDescent="0.35">
      <c r="A28" s="289"/>
      <c r="B28" s="297"/>
      <c r="C28" s="160"/>
      <c r="D28" s="19" t="s">
        <v>90</v>
      </c>
      <c r="E28" s="4"/>
      <c r="F28" s="4"/>
    </row>
    <row r="29" spans="1:8" ht="30" customHeight="1" x14ac:dyDescent="0.3">
      <c r="A29" s="289"/>
      <c r="B29" s="297"/>
      <c r="C29" s="160"/>
      <c r="D29" s="3" t="s">
        <v>97</v>
      </c>
      <c r="E29" s="52" t="e">
        <f>E19/$E$23</f>
        <v>#DIV/0!</v>
      </c>
      <c r="F29" s="4"/>
    </row>
    <row r="30" spans="1:8" ht="30" customHeight="1" x14ac:dyDescent="0.3">
      <c r="A30" s="289"/>
      <c r="B30" s="297"/>
      <c r="C30" s="160"/>
      <c r="D30" s="3" t="s">
        <v>98</v>
      </c>
      <c r="E30" s="52" t="e">
        <f>E20/$E$23</f>
        <v>#DIV/0!</v>
      </c>
      <c r="F30" s="10"/>
    </row>
    <row r="31" spans="1:8" ht="30" customHeight="1" x14ac:dyDescent="0.3">
      <c r="A31" s="289"/>
      <c r="B31" s="297"/>
      <c r="C31" s="160"/>
      <c r="D31" s="3" t="s">
        <v>93</v>
      </c>
      <c r="E31" s="52" t="e">
        <f>E21/$E$23</f>
        <v>#DIV/0!</v>
      </c>
      <c r="F31" s="10"/>
      <c r="H31" s="53"/>
    </row>
    <row r="32" spans="1:8" ht="30" customHeight="1" x14ac:dyDescent="0.3">
      <c r="A32" s="289"/>
      <c r="B32" s="297"/>
      <c r="C32" s="160"/>
      <c r="D32" s="3" t="s">
        <v>94</v>
      </c>
      <c r="E32" s="52" t="e">
        <f>E22/$E$23</f>
        <v>#DIV/0!</v>
      </c>
      <c r="F32" s="55" t="s">
        <v>95</v>
      </c>
      <c r="H32" s="53"/>
    </row>
    <row r="33" spans="1:8" ht="30" customHeight="1" x14ac:dyDescent="0.3">
      <c r="A33" s="289"/>
      <c r="B33" s="297"/>
      <c r="C33" s="160"/>
      <c r="D33" s="4"/>
      <c r="E33" s="49" t="e">
        <f>SUM(E29:E32)</f>
        <v>#DIV/0!</v>
      </c>
      <c r="F33" s="55" t="e">
        <f>IF(E33=1,"PASS", "FAIL")</f>
        <v>#DIV/0!</v>
      </c>
    </row>
    <row r="34" spans="1:8" ht="27" customHeight="1" x14ac:dyDescent="0.35">
      <c r="A34" s="289"/>
      <c r="B34" s="296" t="s">
        <v>170</v>
      </c>
      <c r="C34" s="165"/>
      <c r="D34" s="17" t="s">
        <v>82</v>
      </c>
      <c r="E34" s="16"/>
      <c r="F34" s="16"/>
    </row>
    <row r="35" spans="1:8" ht="30" customHeight="1" x14ac:dyDescent="0.3">
      <c r="A35" s="289"/>
      <c r="B35" s="297"/>
      <c r="C35" s="160"/>
      <c r="D35" s="3" t="s">
        <v>96</v>
      </c>
      <c r="E35" s="4">
        <f>Parameters!$D$8*Parameters!D25*Parameters!$D$262</f>
        <v>0</v>
      </c>
      <c r="F35" s="4" t="s">
        <v>84</v>
      </c>
    </row>
    <row r="36" spans="1:8" ht="30" customHeight="1" x14ac:dyDescent="0.3">
      <c r="A36" s="289"/>
      <c r="B36" s="297"/>
      <c r="C36" s="160"/>
      <c r="D36" s="3" t="s">
        <v>85</v>
      </c>
      <c r="E36" s="4">
        <f>Parameters!D26*Parameters!$D$262</f>
        <v>0</v>
      </c>
      <c r="F36" s="4" t="s">
        <v>84</v>
      </c>
      <c r="H36" s="4"/>
    </row>
    <row r="37" spans="1:8" ht="30" customHeight="1" x14ac:dyDescent="0.3">
      <c r="A37" s="289"/>
      <c r="B37" s="297"/>
      <c r="C37" s="160"/>
      <c r="D37" s="3" t="s">
        <v>87</v>
      </c>
      <c r="E37" s="5">
        <f>Parameters!D27*Parameters!$D$263</f>
        <v>0</v>
      </c>
      <c r="F37" s="4" t="s">
        <v>84</v>
      </c>
      <c r="H37" s="4"/>
    </row>
    <row r="38" spans="1:8" ht="30" customHeight="1" x14ac:dyDescent="0.3">
      <c r="A38" s="289"/>
      <c r="B38" s="297"/>
      <c r="C38" s="160"/>
      <c r="D38" s="3" t="s">
        <v>88</v>
      </c>
      <c r="E38" s="4">
        <f>Parameters!D24*Parameters!D28*Parameters!$D$264</f>
        <v>0</v>
      </c>
      <c r="F38" s="4" t="s">
        <v>84</v>
      </c>
    </row>
    <row r="39" spans="1:8" ht="30" customHeight="1" x14ac:dyDescent="0.3">
      <c r="A39" s="289"/>
      <c r="B39" s="297"/>
      <c r="C39" s="160"/>
      <c r="D39" s="3" t="s">
        <v>192</v>
      </c>
      <c r="E39" s="5">
        <f>SUM(E35:E38)</f>
        <v>0</v>
      </c>
      <c r="F39" s="4" t="s">
        <v>84</v>
      </c>
      <c r="H39" s="4"/>
    </row>
    <row r="40" spans="1:8" ht="30" customHeight="1" x14ac:dyDescent="0.3">
      <c r="A40" s="289"/>
      <c r="B40" s="297"/>
      <c r="C40" s="160"/>
      <c r="D40" s="3" t="s">
        <v>185</v>
      </c>
      <c r="E40" s="5" t="e">
        <f>E39/(Parameters!D28*Parameters!$D$264)</f>
        <v>#DIV/0!</v>
      </c>
      <c r="F40" s="4" t="s">
        <v>13</v>
      </c>
      <c r="H40" s="4"/>
    </row>
    <row r="41" spans="1:8" ht="30" customHeight="1" x14ac:dyDescent="0.3">
      <c r="A41" s="289"/>
      <c r="B41" s="297"/>
      <c r="C41" s="160"/>
      <c r="D41" s="18" t="s">
        <v>186</v>
      </c>
      <c r="E41" s="5">
        <f>Parameters!D58</f>
        <v>0</v>
      </c>
      <c r="F41" s="10" t="s">
        <v>187</v>
      </c>
      <c r="H41" s="4"/>
    </row>
    <row r="42" spans="1:8" ht="30" customHeight="1" x14ac:dyDescent="0.3">
      <c r="A42" s="289"/>
      <c r="B42" s="297"/>
      <c r="C42" s="160"/>
      <c r="D42" s="18" t="s">
        <v>207</v>
      </c>
      <c r="E42" s="5">
        <f>E39*(1-E41)</f>
        <v>0</v>
      </c>
      <c r="F42" s="10"/>
    </row>
    <row r="43" spans="1:8" ht="30" customHeight="1" x14ac:dyDescent="0.3">
      <c r="A43" s="289"/>
      <c r="B43" s="297"/>
      <c r="C43" s="160"/>
      <c r="D43" s="3" t="s">
        <v>89</v>
      </c>
      <c r="E43" s="5" t="e">
        <f>E42/(Parameters!D28*Parameters!$D$264)</f>
        <v>#DIV/0!</v>
      </c>
      <c r="F43" s="4" t="s">
        <v>13</v>
      </c>
      <c r="H43" s="4"/>
    </row>
    <row r="44" spans="1:8" ht="30" customHeight="1" x14ac:dyDescent="0.35">
      <c r="A44" s="289"/>
      <c r="B44" s="297"/>
      <c r="C44" s="160"/>
      <c r="D44" s="19" t="s">
        <v>90</v>
      </c>
      <c r="E44" s="4"/>
      <c r="F44" s="4"/>
    </row>
    <row r="45" spans="1:8" ht="30" customHeight="1" x14ac:dyDescent="0.3">
      <c r="A45" s="289"/>
      <c r="B45" s="297"/>
      <c r="C45" s="160"/>
      <c r="D45" s="3" t="s">
        <v>97</v>
      </c>
      <c r="E45" s="52" t="e">
        <f>E35/$E$39</f>
        <v>#DIV/0!</v>
      </c>
      <c r="F45" s="4"/>
      <c r="H45" s="4"/>
    </row>
    <row r="46" spans="1:8" ht="30" customHeight="1" x14ac:dyDescent="0.3">
      <c r="A46" s="289"/>
      <c r="B46" s="297"/>
      <c r="C46" s="160"/>
      <c r="D46" s="3" t="s">
        <v>98</v>
      </c>
      <c r="E46" s="52" t="e">
        <f>E36/$E$39</f>
        <v>#DIV/0!</v>
      </c>
      <c r="F46" s="10"/>
    </row>
    <row r="47" spans="1:8" ht="30" customHeight="1" x14ac:dyDescent="0.3">
      <c r="A47" s="289"/>
      <c r="B47" s="297"/>
      <c r="C47" s="160"/>
      <c r="D47" s="3" t="s">
        <v>93</v>
      </c>
      <c r="E47" s="52" t="e">
        <f>E37/$E$39</f>
        <v>#DIV/0!</v>
      </c>
      <c r="F47" s="10"/>
    </row>
    <row r="48" spans="1:8" ht="30" customHeight="1" x14ac:dyDescent="0.3">
      <c r="A48" s="289"/>
      <c r="B48" s="297"/>
      <c r="C48" s="160"/>
      <c r="D48" s="3" t="s">
        <v>94</v>
      </c>
      <c r="E48" s="52" t="e">
        <f>E38/$E$39</f>
        <v>#DIV/0!</v>
      </c>
      <c r="F48" s="55" t="s">
        <v>95</v>
      </c>
    </row>
    <row r="49" spans="1:6" ht="30" customHeight="1" x14ac:dyDescent="0.3">
      <c r="A49" s="289"/>
      <c r="B49" s="297"/>
      <c r="C49" s="160"/>
      <c r="D49" s="7"/>
      <c r="E49" s="131" t="e">
        <f>SUM(E45:E48)</f>
        <v>#DIV/0!</v>
      </c>
      <c r="F49" s="132" t="e">
        <f>IF(E49=1,"PASS", "FAIL")</f>
        <v>#DIV/0!</v>
      </c>
    </row>
    <row r="50" spans="1:6" ht="45.6" customHeight="1" x14ac:dyDescent="0.3">
      <c r="A50" s="289"/>
      <c r="B50" s="292" t="s">
        <v>130</v>
      </c>
      <c r="C50" s="161"/>
      <c r="D50" s="15" t="s">
        <v>195</v>
      </c>
      <c r="E50" s="4">
        <f>Parameters!D10*Parameters!D50*Parameters!$D$264</f>
        <v>140000000</v>
      </c>
      <c r="F50" s="4" t="s">
        <v>84</v>
      </c>
    </row>
    <row r="51" spans="1:6" ht="45.6" customHeight="1" x14ac:dyDescent="0.3">
      <c r="A51" s="289"/>
      <c r="B51" s="292"/>
      <c r="C51" s="161"/>
      <c r="D51" s="15" t="s">
        <v>238</v>
      </c>
      <c r="E51" s="5">
        <f>Parameters!D44*Parameters!$D$263</f>
        <v>0</v>
      </c>
      <c r="F51" s="4" t="s">
        <v>84</v>
      </c>
    </row>
    <row r="52" spans="1:6" ht="43.95" customHeight="1" x14ac:dyDescent="0.3">
      <c r="A52" s="289"/>
      <c r="B52" s="292"/>
      <c r="C52" s="161"/>
      <c r="D52" s="15" t="s">
        <v>237</v>
      </c>
      <c r="E52" s="5">
        <f>Parameters!D47*Parameters!$D$263</f>
        <v>0</v>
      </c>
    </row>
    <row r="53" spans="1:6" ht="43.95" customHeight="1" x14ac:dyDescent="0.3">
      <c r="A53" s="289"/>
      <c r="B53" s="292"/>
      <c r="C53" s="161"/>
      <c r="D53" s="15" t="s">
        <v>205</v>
      </c>
      <c r="E53" s="5">
        <f>SUM(E10,E26,E42)</f>
        <v>2685530888.7710848</v>
      </c>
      <c r="F53" s="4"/>
    </row>
    <row r="54" spans="1:6" ht="43.95" customHeight="1" x14ac:dyDescent="0.3">
      <c r="A54" s="289"/>
      <c r="B54" s="292"/>
      <c r="C54" s="161"/>
      <c r="D54" s="3" t="s">
        <v>99</v>
      </c>
      <c r="E54" s="5">
        <f>SUM(E50:E53)</f>
        <v>2825530888.7710848</v>
      </c>
      <c r="F54" s="4" t="s">
        <v>84</v>
      </c>
    </row>
    <row r="55" spans="1:6" ht="43.95" customHeight="1" thickBot="1" x14ac:dyDescent="0.35">
      <c r="A55" s="290"/>
      <c r="B55" s="309"/>
      <c r="C55" s="162"/>
      <c r="D55" s="133" t="s">
        <v>100</v>
      </c>
      <c r="E55" s="134">
        <f>(Parameters!D53*Parameters!$D$265)</f>
        <v>734100000</v>
      </c>
      <c r="F55" s="70" t="s">
        <v>101</v>
      </c>
    </row>
    <row r="56" spans="1:6" ht="43.95" customHeight="1" x14ac:dyDescent="0.35">
      <c r="A56" s="303">
        <v>2</v>
      </c>
      <c r="B56" s="299" t="s">
        <v>202</v>
      </c>
      <c r="C56" s="167"/>
      <c r="D56" s="135" t="s">
        <v>82</v>
      </c>
      <c r="E56" s="65"/>
      <c r="F56" s="65"/>
    </row>
    <row r="57" spans="1:6" ht="43.95" customHeight="1" x14ac:dyDescent="0.3">
      <c r="A57" s="304"/>
      <c r="B57" s="297"/>
      <c r="C57" s="160"/>
      <c r="D57" s="3" t="s">
        <v>96</v>
      </c>
      <c r="E57" s="4">
        <f>Parameters!$D$8*Parameters!D32*Parameters!$D$262</f>
        <v>0</v>
      </c>
      <c r="F57" s="4" t="s">
        <v>84</v>
      </c>
    </row>
    <row r="58" spans="1:6" ht="43.95" customHeight="1" x14ac:dyDescent="0.3">
      <c r="A58" s="304"/>
      <c r="B58" s="297"/>
      <c r="C58" s="160"/>
      <c r="D58" s="3" t="s">
        <v>85</v>
      </c>
      <c r="E58" s="4">
        <f>Parameters!D33*Parameters!$D$262</f>
        <v>0</v>
      </c>
      <c r="F58" s="4" t="s">
        <v>84</v>
      </c>
    </row>
    <row r="59" spans="1:6" ht="43.95" customHeight="1" x14ac:dyDescent="0.3">
      <c r="A59" s="304"/>
      <c r="B59" s="297"/>
      <c r="C59" s="160"/>
      <c r="D59" s="3" t="s">
        <v>87</v>
      </c>
      <c r="E59" s="5">
        <f>Parameters!D34*Parameters!$D$263</f>
        <v>0</v>
      </c>
      <c r="F59" s="4" t="s">
        <v>84</v>
      </c>
    </row>
    <row r="60" spans="1:6" ht="43.95" customHeight="1" x14ac:dyDescent="0.3">
      <c r="A60" s="304"/>
      <c r="B60" s="297"/>
      <c r="C60" s="160"/>
      <c r="D60" s="3" t="s">
        <v>88</v>
      </c>
      <c r="E60" s="4">
        <f>Parameters!D31*Parameters!D35*Parameters!$D$264</f>
        <v>0</v>
      </c>
      <c r="F60" s="4" t="s">
        <v>84</v>
      </c>
    </row>
    <row r="61" spans="1:6" ht="43.95" customHeight="1" x14ac:dyDescent="0.3">
      <c r="A61" s="304"/>
      <c r="B61" s="297"/>
      <c r="C61" s="160"/>
      <c r="D61" s="3" t="s">
        <v>192</v>
      </c>
      <c r="E61" s="5">
        <f>SUM(E57:E60)</f>
        <v>0</v>
      </c>
      <c r="F61" s="4" t="s">
        <v>84</v>
      </c>
    </row>
    <row r="62" spans="1:6" ht="43.95" customHeight="1" x14ac:dyDescent="0.3">
      <c r="A62" s="304"/>
      <c r="B62" s="297"/>
      <c r="C62" s="160"/>
      <c r="D62" s="3" t="s">
        <v>185</v>
      </c>
      <c r="E62" s="5" t="e">
        <f>E61/(Parameters!D35*Parameters!$D$264)</f>
        <v>#DIV/0!</v>
      </c>
      <c r="F62" s="4" t="s">
        <v>13</v>
      </c>
    </row>
    <row r="63" spans="1:6" ht="43.95" customHeight="1" x14ac:dyDescent="0.3">
      <c r="A63" s="304"/>
      <c r="B63" s="297"/>
      <c r="C63" s="160"/>
      <c r="D63" s="18" t="s">
        <v>186</v>
      </c>
      <c r="E63" s="5">
        <f>Parameters!D59</f>
        <v>0</v>
      </c>
      <c r="F63" s="10" t="s">
        <v>187</v>
      </c>
    </row>
    <row r="64" spans="1:6" ht="30" customHeight="1" x14ac:dyDescent="0.3">
      <c r="A64" s="304"/>
      <c r="B64" s="297"/>
      <c r="C64" s="160"/>
      <c r="D64" s="18" t="s">
        <v>207</v>
      </c>
      <c r="E64" s="5">
        <f>E61*(1-E63)</f>
        <v>0</v>
      </c>
      <c r="F64" s="10"/>
    </row>
    <row r="65" spans="1:6" ht="43.95" customHeight="1" x14ac:dyDescent="0.3">
      <c r="A65" s="304"/>
      <c r="B65" s="297"/>
      <c r="C65" s="160"/>
      <c r="D65" s="3" t="s">
        <v>89</v>
      </c>
      <c r="E65" s="5" t="e">
        <f>E64/(Parameters!D35*Parameters!$D$264)</f>
        <v>#DIV/0!</v>
      </c>
      <c r="F65" s="4" t="s">
        <v>13</v>
      </c>
    </row>
    <row r="66" spans="1:6" ht="43.95" customHeight="1" x14ac:dyDescent="0.35">
      <c r="A66" s="304"/>
      <c r="B66" s="297"/>
      <c r="C66" s="160"/>
      <c r="D66" s="19" t="s">
        <v>90</v>
      </c>
      <c r="E66" s="4"/>
      <c r="F66" s="4"/>
    </row>
    <row r="67" spans="1:6" ht="43.95" customHeight="1" x14ac:dyDescent="0.3">
      <c r="A67" s="304"/>
      <c r="B67" s="297"/>
      <c r="C67" s="160"/>
      <c r="D67" s="3" t="s">
        <v>97</v>
      </c>
      <c r="E67" s="52" t="e">
        <f>E57/$E$61</f>
        <v>#DIV/0!</v>
      </c>
      <c r="F67" s="4"/>
    </row>
    <row r="68" spans="1:6" ht="43.95" customHeight="1" x14ac:dyDescent="0.3">
      <c r="A68" s="304"/>
      <c r="B68" s="297"/>
      <c r="C68" s="160"/>
      <c r="D68" s="3" t="s">
        <v>98</v>
      </c>
      <c r="E68" s="52" t="e">
        <f>E58/$E$61</f>
        <v>#DIV/0!</v>
      </c>
      <c r="F68" s="10"/>
    </row>
    <row r="69" spans="1:6" ht="43.95" customHeight="1" x14ac:dyDescent="0.3">
      <c r="A69" s="304"/>
      <c r="B69" s="297"/>
      <c r="C69" s="160"/>
      <c r="D69" s="3" t="s">
        <v>93</v>
      </c>
      <c r="E69" s="52" t="e">
        <f>E59/$E$61</f>
        <v>#DIV/0!</v>
      </c>
      <c r="F69" s="10"/>
    </row>
    <row r="70" spans="1:6" ht="43.95" customHeight="1" x14ac:dyDescent="0.3">
      <c r="A70" s="304"/>
      <c r="B70" s="297"/>
      <c r="C70" s="160"/>
      <c r="D70" s="3" t="s">
        <v>94</v>
      </c>
      <c r="E70" s="52" t="e">
        <f>E60/$E$61</f>
        <v>#DIV/0!</v>
      </c>
      <c r="F70" s="55" t="s">
        <v>95</v>
      </c>
    </row>
    <row r="71" spans="1:6" ht="43.95" customHeight="1" x14ac:dyDescent="0.3">
      <c r="A71" s="304"/>
      <c r="B71" s="297"/>
      <c r="C71" s="160"/>
      <c r="D71" s="7"/>
      <c r="E71" s="131" t="e">
        <f>SUM(E67:E70)</f>
        <v>#DIV/0!</v>
      </c>
      <c r="F71" s="132" t="e">
        <f>IF(E71=1,"PASS", IF( Parameters!D54=0, "PASS", "FAIL"))</f>
        <v>#DIV/0!</v>
      </c>
    </row>
    <row r="72" spans="1:6" ht="43.95" customHeight="1" x14ac:dyDescent="0.3">
      <c r="A72" s="304"/>
      <c r="B72" s="292" t="s">
        <v>130</v>
      </c>
      <c r="C72" s="161"/>
      <c r="D72" s="15" t="s">
        <v>195</v>
      </c>
      <c r="E72" s="52">
        <f>Parameters!D31*Parameters!D51*Parameters!$D$264</f>
        <v>0</v>
      </c>
      <c r="F72" s="4" t="s">
        <v>84</v>
      </c>
    </row>
    <row r="73" spans="1:6" ht="43.95" customHeight="1" x14ac:dyDescent="0.3">
      <c r="A73" s="304"/>
      <c r="B73" s="292"/>
      <c r="C73" s="161"/>
      <c r="D73" s="15" t="s">
        <v>238</v>
      </c>
      <c r="E73" s="5">
        <f>Parameters!D45*Parameters!$D$263</f>
        <v>0</v>
      </c>
      <c r="F73" s="4" t="s">
        <v>84</v>
      </c>
    </row>
    <row r="74" spans="1:6" ht="43.95" customHeight="1" x14ac:dyDescent="0.3">
      <c r="A74" s="304"/>
      <c r="B74" s="292"/>
      <c r="C74" s="161"/>
      <c r="D74" s="15" t="s">
        <v>237</v>
      </c>
      <c r="E74" s="5">
        <f>Parameters!D48*Parameters!$D$263</f>
        <v>0</v>
      </c>
    </row>
    <row r="75" spans="1:6" ht="43.95" customHeight="1" x14ac:dyDescent="0.3">
      <c r="A75" s="304"/>
      <c r="B75" s="292"/>
      <c r="C75" s="161"/>
      <c r="D75" s="15" t="s">
        <v>205</v>
      </c>
      <c r="E75" s="5">
        <f>SUM(E64)</f>
        <v>0</v>
      </c>
      <c r="F75" s="4"/>
    </row>
    <row r="76" spans="1:6" ht="43.95" customHeight="1" x14ac:dyDescent="0.3">
      <c r="A76" s="304"/>
      <c r="B76" s="292"/>
      <c r="C76" s="161"/>
      <c r="D76" s="3" t="s">
        <v>99</v>
      </c>
      <c r="E76" s="5">
        <f>SUM(E72:E75)</f>
        <v>0</v>
      </c>
      <c r="F76" s="4" t="s">
        <v>84</v>
      </c>
    </row>
    <row r="77" spans="1:6" ht="43.95" customHeight="1" thickBot="1" x14ac:dyDescent="0.35">
      <c r="A77" s="305"/>
      <c r="B77" s="298"/>
      <c r="C77" s="166"/>
      <c r="D77" s="136" t="s">
        <v>100</v>
      </c>
      <c r="E77" s="134">
        <f>(Parameters!D54*Parameters!$D$265)</f>
        <v>0</v>
      </c>
      <c r="F77" s="137" t="s">
        <v>101</v>
      </c>
    </row>
    <row r="78" spans="1:6" ht="43.95" customHeight="1" thickTop="1" x14ac:dyDescent="0.35">
      <c r="A78" s="306">
        <v>3</v>
      </c>
      <c r="B78" s="297" t="s">
        <v>203</v>
      </c>
      <c r="C78" s="160"/>
      <c r="D78" s="46" t="s">
        <v>82</v>
      </c>
      <c r="E78" s="4"/>
      <c r="F78" s="4"/>
    </row>
    <row r="79" spans="1:6" ht="43.95" customHeight="1" x14ac:dyDescent="0.3">
      <c r="A79" s="306"/>
      <c r="B79" s="297"/>
      <c r="C79" s="160"/>
      <c r="D79" s="3" t="s">
        <v>96</v>
      </c>
      <c r="E79" s="4">
        <f>Parameters!$D$8*Parameters!D39*Parameters!$D$262</f>
        <v>0</v>
      </c>
      <c r="F79" s="4" t="s">
        <v>84</v>
      </c>
    </row>
    <row r="80" spans="1:6" ht="43.95" customHeight="1" x14ac:dyDescent="0.3">
      <c r="A80" s="306"/>
      <c r="B80" s="297"/>
      <c r="C80" s="160"/>
      <c r="D80" s="3" t="s">
        <v>85</v>
      </c>
      <c r="E80" s="4">
        <f>Parameters!D40*Parameters!$D$262</f>
        <v>0</v>
      </c>
      <c r="F80" s="4" t="s">
        <v>84</v>
      </c>
    </row>
    <row r="81" spans="1:8" ht="43.95" customHeight="1" x14ac:dyDescent="0.3">
      <c r="A81" s="306"/>
      <c r="B81" s="297"/>
      <c r="C81" s="160"/>
      <c r="D81" s="3" t="s">
        <v>87</v>
      </c>
      <c r="E81" s="5">
        <f>Parameters!D41*Parameters!$D$263</f>
        <v>0</v>
      </c>
      <c r="F81" s="4" t="s">
        <v>84</v>
      </c>
    </row>
    <row r="82" spans="1:8" ht="32.4" customHeight="1" x14ac:dyDescent="0.3">
      <c r="A82" s="306"/>
      <c r="B82" s="297"/>
      <c r="C82" s="160"/>
      <c r="D82" s="3" t="s">
        <v>88</v>
      </c>
      <c r="E82" s="4">
        <f>Parameters!D38*Parameters!D42*Parameters!$D$264</f>
        <v>0</v>
      </c>
      <c r="F82" s="4" t="s">
        <v>84</v>
      </c>
    </row>
    <row r="83" spans="1:8" ht="32.4" customHeight="1" x14ac:dyDescent="0.3">
      <c r="A83" s="306"/>
      <c r="B83" s="297"/>
      <c r="C83" s="160"/>
      <c r="D83" s="3" t="s">
        <v>192</v>
      </c>
      <c r="E83" s="5">
        <f>SUM(E79:E82)</f>
        <v>0</v>
      </c>
      <c r="F83" s="4" t="s">
        <v>84</v>
      </c>
    </row>
    <row r="84" spans="1:8" ht="32.4" customHeight="1" x14ac:dyDescent="0.3">
      <c r="A84" s="306"/>
      <c r="B84" s="297"/>
      <c r="C84" s="160"/>
      <c r="D84" s="3" t="s">
        <v>185</v>
      </c>
      <c r="E84" s="5" t="e">
        <f>E83/(Parameters!D42*Parameters!$D$264)</f>
        <v>#DIV/0!</v>
      </c>
      <c r="F84" s="4" t="s">
        <v>13</v>
      </c>
    </row>
    <row r="85" spans="1:8" ht="32.4" customHeight="1" x14ac:dyDescent="0.3">
      <c r="A85" s="306"/>
      <c r="B85" s="297"/>
      <c r="C85" s="160"/>
      <c r="D85" s="18" t="s">
        <v>186</v>
      </c>
      <c r="E85" s="5">
        <f>Parameters!D60</f>
        <v>0</v>
      </c>
      <c r="F85" s="10" t="s">
        <v>187</v>
      </c>
    </row>
    <row r="86" spans="1:8" ht="30" customHeight="1" x14ac:dyDescent="0.3">
      <c r="A86" s="306"/>
      <c r="B86" s="297"/>
      <c r="C86" s="160"/>
      <c r="D86" s="18" t="s">
        <v>207</v>
      </c>
      <c r="E86" s="5">
        <f>E83*(1-E85)</f>
        <v>0</v>
      </c>
      <c r="F86" s="10" t="s">
        <v>84</v>
      </c>
    </row>
    <row r="87" spans="1:8" ht="32.4" customHeight="1" x14ac:dyDescent="0.3">
      <c r="A87" s="306"/>
      <c r="B87" s="297"/>
      <c r="C87" s="160"/>
      <c r="D87" s="3" t="s">
        <v>89</v>
      </c>
      <c r="E87" s="5" t="e">
        <f>E86/(Parameters!D42*Parameters!$D$264)</f>
        <v>#DIV/0!</v>
      </c>
      <c r="F87" s="4" t="s">
        <v>13</v>
      </c>
    </row>
    <row r="88" spans="1:8" ht="32.4" customHeight="1" x14ac:dyDescent="0.35">
      <c r="A88" s="306"/>
      <c r="B88" s="297"/>
      <c r="C88" s="160"/>
      <c r="D88" s="19" t="s">
        <v>90</v>
      </c>
      <c r="E88" s="4"/>
      <c r="F88" s="4"/>
    </row>
    <row r="89" spans="1:8" ht="32.4" customHeight="1" x14ac:dyDescent="0.3">
      <c r="A89" s="306"/>
      <c r="B89" s="297"/>
      <c r="C89" s="160"/>
      <c r="D89" s="3" t="s">
        <v>97</v>
      </c>
      <c r="E89" s="52" t="e">
        <f>E79/$E$83</f>
        <v>#DIV/0!</v>
      </c>
      <c r="F89" s="4"/>
    </row>
    <row r="90" spans="1:8" ht="32.4" customHeight="1" x14ac:dyDescent="0.3">
      <c r="A90" s="306"/>
      <c r="B90" s="297"/>
      <c r="C90" s="160"/>
      <c r="D90" s="3" t="s">
        <v>98</v>
      </c>
      <c r="E90" s="52" t="e">
        <f>E80/$E$83</f>
        <v>#DIV/0!</v>
      </c>
      <c r="F90" s="10"/>
    </row>
    <row r="91" spans="1:8" ht="32.4" customHeight="1" x14ac:dyDescent="0.3">
      <c r="A91" s="306"/>
      <c r="B91" s="297"/>
      <c r="C91" s="160"/>
      <c r="D91" s="3" t="s">
        <v>93</v>
      </c>
      <c r="E91" s="52" t="e">
        <f>E81/$E$83</f>
        <v>#DIV/0!</v>
      </c>
      <c r="F91" s="10"/>
    </row>
    <row r="92" spans="1:8" ht="32.4" customHeight="1" x14ac:dyDescent="0.3">
      <c r="A92" s="306"/>
      <c r="B92" s="297"/>
      <c r="C92" s="160"/>
      <c r="D92" s="3" t="s">
        <v>94</v>
      </c>
      <c r="E92" s="52" t="e">
        <f>E82/$E$83</f>
        <v>#DIV/0!</v>
      </c>
      <c r="F92" s="55" t="s">
        <v>95</v>
      </c>
    </row>
    <row r="93" spans="1:8" ht="32.4" customHeight="1" x14ac:dyDescent="0.3">
      <c r="A93" s="306"/>
      <c r="B93" s="297"/>
      <c r="C93" s="160"/>
      <c r="D93" s="4"/>
      <c r="E93" s="49" t="e">
        <f>SUM(E89:E92)</f>
        <v>#DIV/0!</v>
      </c>
      <c r="F93" s="55" t="e">
        <f>IF(E93=1,"PASS", IF(Parameters!D55=0, "PASS","FAIL"))</f>
        <v>#DIV/0!</v>
      </c>
    </row>
    <row r="94" spans="1:8" ht="24.6" customHeight="1" x14ac:dyDescent="0.3">
      <c r="A94" s="306"/>
      <c r="B94" s="292" t="s">
        <v>130</v>
      </c>
      <c r="C94" s="161"/>
      <c r="D94" s="15" t="s">
        <v>195</v>
      </c>
      <c r="E94" s="52">
        <f>Parameters!D38*Parameters!D52*Parameters!$D$264</f>
        <v>0</v>
      </c>
      <c r="F94" s="4" t="s">
        <v>84</v>
      </c>
    </row>
    <row r="95" spans="1:8" ht="24.6" customHeight="1" x14ac:dyDescent="0.3">
      <c r="A95" s="306"/>
      <c r="B95" s="292"/>
      <c r="C95" s="161"/>
      <c r="D95" s="15" t="s">
        <v>238</v>
      </c>
      <c r="E95" s="5">
        <f>Parameters!D46*Parameters!$D$263</f>
        <v>0</v>
      </c>
      <c r="F95" s="10" t="s">
        <v>84</v>
      </c>
    </row>
    <row r="96" spans="1:8" ht="39" customHeight="1" x14ac:dyDescent="0.3">
      <c r="A96" s="306"/>
      <c r="B96" s="292"/>
      <c r="C96" s="161"/>
      <c r="D96" s="15" t="s">
        <v>237</v>
      </c>
      <c r="E96" s="5">
        <f>Parameters!D49*Parameters!$D$263</f>
        <v>0</v>
      </c>
      <c r="H96" s="26"/>
    </row>
    <row r="97" spans="1:11" ht="39" customHeight="1" x14ac:dyDescent="0.3">
      <c r="A97" s="306"/>
      <c r="B97" s="292"/>
      <c r="C97" s="161"/>
      <c r="D97" s="15" t="s">
        <v>205</v>
      </c>
      <c r="E97" s="5">
        <f>SUM(E86)</f>
        <v>0</v>
      </c>
      <c r="F97" s="10"/>
      <c r="H97" s="26"/>
    </row>
    <row r="98" spans="1:11" ht="39" customHeight="1" x14ac:dyDescent="0.3">
      <c r="A98" s="306"/>
      <c r="B98" s="292"/>
      <c r="C98" s="161"/>
      <c r="D98" s="3" t="s">
        <v>99</v>
      </c>
      <c r="E98" s="5">
        <f>SUM(E94:E97)</f>
        <v>0</v>
      </c>
      <c r="F98" s="10" t="s">
        <v>84</v>
      </c>
    </row>
    <row r="99" spans="1:11" ht="34.200000000000003" customHeight="1" x14ac:dyDescent="0.3">
      <c r="A99" s="306"/>
      <c r="B99" s="293"/>
      <c r="C99" s="161"/>
      <c r="D99" s="3" t="s">
        <v>100</v>
      </c>
      <c r="E99" s="5">
        <f>Parameters!D55*Parameters!$D$265</f>
        <v>0</v>
      </c>
      <c r="F99" s="4" t="s">
        <v>101</v>
      </c>
    </row>
    <row r="100" spans="1:11" ht="34.200000000000003" customHeight="1" x14ac:dyDescent="0.3">
      <c r="A100" s="141"/>
      <c r="B100" s="300" t="s">
        <v>211</v>
      </c>
      <c r="C100" s="168"/>
      <c r="D100" s="32" t="s">
        <v>25</v>
      </c>
      <c r="E100" s="97">
        <f>DownStreamPWS!B2</f>
        <v>1</v>
      </c>
      <c r="F100" s="4"/>
    </row>
    <row r="101" spans="1:11" ht="34.200000000000003" customHeight="1" x14ac:dyDescent="0.3">
      <c r="A101" s="141"/>
      <c r="B101" s="292"/>
      <c r="C101" s="161"/>
      <c r="D101" s="3" t="s">
        <v>29</v>
      </c>
      <c r="E101" s="97">
        <f>DownStreamPWS!B3</f>
        <v>0</v>
      </c>
      <c r="F101" s="4"/>
    </row>
    <row r="102" spans="1:11" ht="34.200000000000003" customHeight="1" x14ac:dyDescent="0.3">
      <c r="A102" s="141"/>
      <c r="B102" s="292"/>
      <c r="C102" s="161"/>
      <c r="D102" s="3" t="s">
        <v>31</v>
      </c>
      <c r="E102" s="97">
        <f>DownStreamPWS!B4</f>
        <v>0</v>
      </c>
      <c r="F102" s="4"/>
    </row>
    <row r="103" spans="1:11" ht="34.200000000000003" customHeight="1" x14ac:dyDescent="0.3">
      <c r="A103" s="141"/>
      <c r="B103" s="292"/>
      <c r="C103" s="161"/>
      <c r="D103" s="3" t="s">
        <v>33</v>
      </c>
      <c r="E103" s="97">
        <f>DownStreamPWS!B6</f>
        <v>0</v>
      </c>
      <c r="F103" s="4"/>
    </row>
    <row r="104" spans="1:11" ht="34.200000000000003" customHeight="1" x14ac:dyDescent="0.3">
      <c r="A104" s="141"/>
      <c r="B104" s="292"/>
      <c r="C104" s="161"/>
      <c r="D104" s="15" t="s">
        <v>126</v>
      </c>
      <c r="E104" s="97">
        <f>DownStreamPWS!B7</f>
        <v>0</v>
      </c>
      <c r="F104" s="4"/>
      <c r="H104" s="15"/>
    </row>
    <row r="105" spans="1:11" ht="34.200000000000003" customHeight="1" thickBot="1" x14ac:dyDescent="0.35">
      <c r="A105" s="141"/>
      <c r="B105" s="292"/>
      <c r="C105" s="161"/>
      <c r="D105" s="15" t="s">
        <v>125</v>
      </c>
      <c r="E105" s="97">
        <f>DownStreamPWS!B8</f>
        <v>0</v>
      </c>
      <c r="F105" s="4"/>
      <c r="H105" s="15"/>
    </row>
    <row r="106" spans="1:11" ht="34.200000000000003" customHeight="1" x14ac:dyDescent="0.3">
      <c r="A106" s="302" t="s">
        <v>217</v>
      </c>
      <c r="B106" s="302"/>
      <c r="C106" s="302"/>
      <c r="D106" s="302"/>
      <c r="E106" s="302"/>
      <c r="F106" s="302"/>
      <c r="H106" s="15"/>
    </row>
    <row r="107" spans="1:11" ht="33.6" customHeight="1" x14ac:dyDescent="0.3">
      <c r="A107" s="181" t="s">
        <v>247</v>
      </c>
      <c r="B107" s="181" t="s">
        <v>239</v>
      </c>
      <c r="C107" s="181" t="s">
        <v>240</v>
      </c>
      <c r="D107" s="181" t="s">
        <v>295</v>
      </c>
      <c r="E107" s="181" t="s">
        <v>241</v>
      </c>
      <c r="F107" s="177" t="s">
        <v>243</v>
      </c>
      <c r="H107" s="77"/>
    </row>
    <row r="108" spans="1:11" ht="31.95" customHeight="1" x14ac:dyDescent="0.4">
      <c r="A108" s="50" t="s">
        <v>246</v>
      </c>
      <c r="B108" s="182" t="s">
        <v>244</v>
      </c>
      <c r="C108" s="182" t="s">
        <v>255</v>
      </c>
      <c r="D108" s="178" t="s">
        <v>264</v>
      </c>
      <c r="E108" s="183">
        <f>SUM(E54,E76,E98)</f>
        <v>2825530888.7710848</v>
      </c>
      <c r="F108" s="50" t="s">
        <v>7</v>
      </c>
    </row>
    <row r="109" spans="1:11" ht="30" customHeight="1" x14ac:dyDescent="0.4">
      <c r="A109" s="50" t="s">
        <v>130</v>
      </c>
      <c r="B109" s="182" t="s">
        <v>244</v>
      </c>
      <c r="C109" s="182" t="s">
        <v>256</v>
      </c>
      <c r="D109" s="178" t="s">
        <v>266</v>
      </c>
      <c r="E109" s="183">
        <f>SUM(E99,E77,E55)</f>
        <v>734100000</v>
      </c>
      <c r="F109" s="50" t="s">
        <v>7</v>
      </c>
    </row>
    <row r="110" spans="1:11" ht="30" customHeight="1" x14ac:dyDescent="0.4">
      <c r="A110" s="50" t="s">
        <v>242</v>
      </c>
      <c r="B110" s="182" t="s">
        <v>244</v>
      </c>
      <c r="C110" s="184" t="s">
        <v>257</v>
      </c>
      <c r="D110" s="185" t="s">
        <v>265</v>
      </c>
      <c r="E110" s="193">
        <f>E108/E109</f>
        <v>3.8489727404591809</v>
      </c>
      <c r="F110" s="50" t="s">
        <v>7</v>
      </c>
    </row>
    <row r="111" spans="1:11" ht="30" customHeight="1" x14ac:dyDescent="0.4">
      <c r="A111" s="50" t="s">
        <v>242</v>
      </c>
      <c r="B111" s="182" t="s">
        <v>244</v>
      </c>
      <c r="C111" s="184" t="s">
        <v>258</v>
      </c>
      <c r="D111" s="178" t="s">
        <v>267</v>
      </c>
      <c r="E111" s="98">
        <f>(E110*(E100)+ E101*E103+E102*E104)*(1-E105)</f>
        <v>3.8489727404591809</v>
      </c>
      <c r="F111" s="50" t="s">
        <v>7</v>
      </c>
    </row>
    <row r="112" spans="1:11" ht="30" customHeight="1" x14ac:dyDescent="0.4">
      <c r="A112" s="50" t="s">
        <v>27</v>
      </c>
      <c r="B112" s="182" t="s">
        <v>244</v>
      </c>
      <c r="C112" s="186" t="s">
        <v>262</v>
      </c>
      <c r="D112" s="178" t="s">
        <v>77</v>
      </c>
      <c r="E112" s="98">
        <f>(($E$53)+($E$75)+($E$97))/$E$108</f>
        <v>0.950451789234946</v>
      </c>
      <c r="F112" s="50" t="s">
        <v>7</v>
      </c>
      <c r="J112" s="4"/>
      <c r="K112" s="10"/>
    </row>
    <row r="113" spans="1:14" ht="30" customHeight="1" x14ac:dyDescent="0.4">
      <c r="A113" s="50" t="s">
        <v>27</v>
      </c>
      <c r="B113" s="182" t="s">
        <v>244</v>
      </c>
      <c r="C113" s="186" t="s">
        <v>262</v>
      </c>
      <c r="D113" s="178" t="s">
        <v>268</v>
      </c>
      <c r="E113" s="98">
        <f>SUM(E52,E74,E96)/$E$108</f>
        <v>0</v>
      </c>
      <c r="F113" s="50" t="s">
        <v>7</v>
      </c>
      <c r="J113" s="4"/>
      <c r="K113" s="10"/>
    </row>
    <row r="114" spans="1:14" ht="30" customHeight="1" x14ac:dyDescent="0.4">
      <c r="A114" s="50" t="s">
        <v>27</v>
      </c>
      <c r="B114" s="182" t="s">
        <v>244</v>
      </c>
      <c r="C114" s="186" t="s">
        <v>262</v>
      </c>
      <c r="D114" s="178" t="s">
        <v>269</v>
      </c>
      <c r="E114" s="98">
        <f>SUM($E$51,$E$73,$E$95)/$E$108</f>
        <v>0</v>
      </c>
      <c r="F114" s="50" t="s">
        <v>7</v>
      </c>
      <c r="J114" s="4"/>
      <c r="K114" s="10"/>
    </row>
    <row r="115" spans="1:14" ht="30" customHeight="1" x14ac:dyDescent="0.4">
      <c r="A115" s="50" t="s">
        <v>27</v>
      </c>
      <c r="B115" s="182" t="s">
        <v>244</v>
      </c>
      <c r="C115" s="186" t="s">
        <v>262</v>
      </c>
      <c r="D115" s="178" t="s">
        <v>270</v>
      </c>
      <c r="E115" s="98">
        <f>SUM($E$50,$E$72,$E$94)/$E$108</f>
        <v>4.9548210765053981E-2</v>
      </c>
      <c r="F115" s="50" t="s">
        <v>7</v>
      </c>
      <c r="J115" s="4"/>
      <c r="K115" s="10"/>
    </row>
    <row r="116" spans="1:14" ht="30" customHeight="1" x14ac:dyDescent="0.4">
      <c r="A116" s="50" t="s">
        <v>27</v>
      </c>
      <c r="B116" s="182" t="s">
        <v>244</v>
      </c>
      <c r="C116" s="186" t="s">
        <v>262</v>
      </c>
      <c r="D116" s="187" t="s">
        <v>245</v>
      </c>
      <c r="E116" s="188">
        <f>SUM(E112:E115)</f>
        <v>1</v>
      </c>
      <c r="F116" s="50" t="str">
        <f>IF(E116=1,"PASS", "FAIL")</f>
        <v>PASS</v>
      </c>
    </row>
    <row r="117" spans="1:14" ht="30" customHeight="1" x14ac:dyDescent="0.4">
      <c r="A117" s="50" t="s">
        <v>27</v>
      </c>
      <c r="B117" s="182" t="s">
        <v>244</v>
      </c>
      <c r="C117" s="186" t="s">
        <v>263</v>
      </c>
      <c r="D117" s="178" t="s">
        <v>271</v>
      </c>
      <c r="E117" s="98">
        <f>(E3*(1-$E$9)+(E19*(1-$E$25)) +(E35*(1-$E$41))+(E57*(1-$E$63))+(E79*(1-$E$85)))/$E$108</f>
        <v>0.93612692415138354</v>
      </c>
      <c r="F117" s="50" t="s">
        <v>7</v>
      </c>
    </row>
    <row r="118" spans="1:14" ht="30" customHeight="1" x14ac:dyDescent="0.4">
      <c r="A118" s="50" t="s">
        <v>27</v>
      </c>
      <c r="B118" s="182" t="s">
        <v>244</v>
      </c>
      <c r="C118" s="186" t="s">
        <v>263</v>
      </c>
      <c r="D118" s="178" t="s">
        <v>272</v>
      </c>
      <c r="E118" s="98">
        <f>(E4*(1-$E$9)+(E20*(1-$E$25)) +(E36*(1-$E$41))+(E58*(1-$E$63))+(E80*(1-$E$85)))/$E$108</f>
        <v>1.1351972437659296E-2</v>
      </c>
      <c r="F118" s="50" t="s">
        <v>7</v>
      </c>
    </row>
    <row r="119" spans="1:14" ht="30" customHeight="1" x14ac:dyDescent="0.4">
      <c r="A119" s="50" t="s">
        <v>27</v>
      </c>
      <c r="B119" s="182" t="s">
        <v>244</v>
      </c>
      <c r="C119" s="186" t="s">
        <v>263</v>
      </c>
      <c r="D119" s="178" t="s">
        <v>273</v>
      </c>
      <c r="E119" s="98">
        <f>(E5*(1-$E$9)+(E21*(1-$E$25)) +(E37*(1-$E$41))+(E59*(1-$E$63))+(E81*(1-$E$85)))/$E$108</f>
        <v>0</v>
      </c>
      <c r="F119" s="50" t="s">
        <v>7</v>
      </c>
    </row>
    <row r="120" spans="1:14" ht="30" customHeight="1" x14ac:dyDescent="0.4">
      <c r="A120" s="50" t="s">
        <v>27</v>
      </c>
      <c r="B120" s="182" t="s">
        <v>244</v>
      </c>
      <c r="C120" s="186" t="s">
        <v>263</v>
      </c>
      <c r="D120" s="178" t="s">
        <v>270</v>
      </c>
      <c r="E120" s="98">
        <f>(E6*(1-$E$9)+(E22*(1-$E$25)) +(E38*(1-$E$41))+(E60*(1-$E$63))+(E82*(1-$E$85)))/$E$108</f>
        <v>2.972892645903238E-3</v>
      </c>
      <c r="F120" s="50" t="s">
        <v>7</v>
      </c>
      <c r="N120" s="99"/>
    </row>
    <row r="121" spans="1:14" ht="30" customHeight="1" x14ac:dyDescent="0.4">
      <c r="A121" s="50" t="s">
        <v>27</v>
      </c>
      <c r="B121" s="182" t="s">
        <v>244</v>
      </c>
      <c r="C121" s="186" t="s">
        <v>263</v>
      </c>
      <c r="D121" s="187" t="s">
        <v>245</v>
      </c>
      <c r="E121" s="189">
        <f>ROUND(SUM(E117:E120),3)</f>
        <v>0.95</v>
      </c>
      <c r="F121" s="50" t="str">
        <f>IF(ROUND(E121,3)=ROUND(E112,3), "PASS", "FAIL")</f>
        <v>PASS</v>
      </c>
      <c r="N121" s="95"/>
    </row>
    <row r="122" spans="1:14" ht="30" customHeight="1" x14ac:dyDescent="0.4">
      <c r="A122" s="50" t="s">
        <v>27</v>
      </c>
      <c r="B122" s="182" t="s">
        <v>244</v>
      </c>
      <c r="C122" s="190" t="s">
        <v>259</v>
      </c>
      <c r="D122" s="178" t="s">
        <v>248</v>
      </c>
      <c r="E122" s="98">
        <f>(E110*(1-$E$105)*E100)/$E$111</f>
        <v>1</v>
      </c>
      <c r="F122" s="50" t="s">
        <v>7</v>
      </c>
    </row>
    <row r="123" spans="1:14" ht="30" customHeight="1" x14ac:dyDescent="0.4">
      <c r="A123" s="50" t="s">
        <v>27</v>
      </c>
      <c r="B123" s="182" t="s">
        <v>244</v>
      </c>
      <c r="C123" s="190" t="s">
        <v>259</v>
      </c>
      <c r="D123" s="178" t="s">
        <v>274</v>
      </c>
      <c r="E123" s="98">
        <f>(E103*(1-$E$105)*E101)/$E$111</f>
        <v>0</v>
      </c>
      <c r="F123" s="50" t="s">
        <v>7</v>
      </c>
    </row>
    <row r="124" spans="1:14" ht="30" customHeight="1" x14ac:dyDescent="0.4">
      <c r="A124" s="50" t="s">
        <v>27</v>
      </c>
      <c r="B124" s="182" t="s">
        <v>244</v>
      </c>
      <c r="C124" s="190" t="s">
        <v>259</v>
      </c>
      <c r="D124" s="178" t="s">
        <v>275</v>
      </c>
      <c r="E124" s="98">
        <f>(E104*(1-$E$105)*E102)/$E$111</f>
        <v>0</v>
      </c>
      <c r="F124" s="50" t="s">
        <v>7</v>
      </c>
    </row>
    <row r="125" spans="1:14" ht="30" customHeight="1" x14ac:dyDescent="0.4">
      <c r="A125" s="50" t="s">
        <v>27</v>
      </c>
      <c r="B125" s="182" t="s">
        <v>244</v>
      </c>
      <c r="C125" s="190" t="s">
        <v>259</v>
      </c>
      <c r="D125" s="187" t="s">
        <v>245</v>
      </c>
      <c r="E125" s="188">
        <f>SUM(E122:E124)</f>
        <v>1</v>
      </c>
      <c r="F125" s="50" t="str">
        <f>IF(E125=1,"PASS", "FAIL")</f>
        <v>PASS</v>
      </c>
    </row>
    <row r="126" spans="1:14" ht="30" customHeight="1" x14ac:dyDescent="0.4">
      <c r="A126" s="50" t="s">
        <v>27</v>
      </c>
      <c r="B126" s="182" t="s">
        <v>244</v>
      </c>
      <c r="C126" s="190" t="s">
        <v>260</v>
      </c>
      <c r="D126" s="178" t="s">
        <v>77</v>
      </c>
      <c r="E126" s="98">
        <f>(((($E$53)+($E$75)+($E$97))/$E$109)*(1-$E$105)*$E$100)/$E$111</f>
        <v>0.95045178923494611</v>
      </c>
      <c r="F126" s="50" t="s">
        <v>7</v>
      </c>
    </row>
    <row r="127" spans="1:14" ht="30" customHeight="1" x14ac:dyDescent="0.4">
      <c r="A127" s="50" t="s">
        <v>27</v>
      </c>
      <c r="B127" s="182" t="s">
        <v>244</v>
      </c>
      <c r="C127" s="190" t="s">
        <v>260</v>
      </c>
      <c r="D127" s="178" t="s">
        <v>268</v>
      </c>
      <c r="E127" s="98">
        <f>(((($E$52)+($E$74)+($E$96))/$E$109)*(1-$E$105)*$E$100)/$E$111</f>
        <v>0</v>
      </c>
      <c r="F127" s="50" t="s">
        <v>7</v>
      </c>
    </row>
    <row r="128" spans="1:14" ht="30" customHeight="1" x14ac:dyDescent="0.4">
      <c r="A128" s="50" t="s">
        <v>27</v>
      </c>
      <c r="B128" s="182" t="s">
        <v>244</v>
      </c>
      <c r="C128" s="190" t="s">
        <v>260</v>
      </c>
      <c r="D128" s="178" t="s">
        <v>269</v>
      </c>
      <c r="E128" s="98">
        <f>(((($E$51)+($E$73)+($E$95))/$E$109)*(1-$E$105)*$E$100)/$E$111</f>
        <v>0</v>
      </c>
      <c r="F128" s="50" t="s">
        <v>7</v>
      </c>
    </row>
    <row r="129" spans="1:14" ht="30" customHeight="1" x14ac:dyDescent="0.4">
      <c r="A129" s="50" t="s">
        <v>27</v>
      </c>
      <c r="B129" s="182" t="s">
        <v>244</v>
      </c>
      <c r="C129" s="190" t="s">
        <v>260</v>
      </c>
      <c r="D129" s="178" t="s">
        <v>270</v>
      </c>
      <c r="E129" s="98">
        <f>(((($E$50)+($E$72)+($E$94))/$E$109)*(1-$E$105)*$E$100)/$E$111</f>
        <v>4.9548210765053981E-2</v>
      </c>
      <c r="F129" s="50" t="s">
        <v>7</v>
      </c>
    </row>
    <row r="130" spans="1:14" ht="30" customHeight="1" x14ac:dyDescent="0.4">
      <c r="A130" s="50" t="s">
        <v>27</v>
      </c>
      <c r="B130" s="182" t="s">
        <v>244</v>
      </c>
      <c r="C130" s="190" t="s">
        <v>260</v>
      </c>
      <c r="D130" s="187" t="s">
        <v>245</v>
      </c>
      <c r="E130" s="188">
        <f>SUM(E126:E129)</f>
        <v>1</v>
      </c>
      <c r="F130" s="50" t="str">
        <f>IF(E130=E122,"PASS", "FAIL")</f>
        <v>PASS</v>
      </c>
    </row>
    <row r="131" spans="1:14" ht="30" customHeight="1" x14ac:dyDescent="0.4">
      <c r="A131" s="50" t="s">
        <v>27</v>
      </c>
      <c r="B131" s="182" t="s">
        <v>244</v>
      </c>
      <c r="C131" s="190" t="s">
        <v>261</v>
      </c>
      <c r="D131" s="178" t="s">
        <v>271</v>
      </c>
      <c r="E131" s="98">
        <f>($E$100*(1-$E$105)*SUM(E3*(1-$E$9),E19*(1-$E$25),E35*(1-$E$41),E57*(1-$E$63),E79*(1-$E$85))/$E$109)/$E$111</f>
        <v>0.93612692415138354</v>
      </c>
      <c r="F131" s="50" t="s">
        <v>7</v>
      </c>
      <c r="N131" s="95"/>
    </row>
    <row r="132" spans="1:14" ht="30" customHeight="1" x14ac:dyDescent="0.4">
      <c r="A132" s="50" t="s">
        <v>27</v>
      </c>
      <c r="B132" s="182" t="s">
        <v>244</v>
      </c>
      <c r="C132" s="190" t="s">
        <v>261</v>
      </c>
      <c r="D132" s="178" t="s">
        <v>272</v>
      </c>
      <c r="E132" s="180">
        <f>($E$100*(1-$E$105)*SUM(E4*(1-$E$9),E20*(1-$E$25),E36*(1-$E$41),E58*(1-$E$63),E80*(1-$E$85))/$E$109)/$E$111</f>
        <v>1.1351972437659296E-2</v>
      </c>
      <c r="F132" s="50" t="s">
        <v>7</v>
      </c>
      <c r="N132" s="95"/>
    </row>
    <row r="133" spans="1:14" ht="30" customHeight="1" x14ac:dyDescent="0.4">
      <c r="A133" s="50" t="s">
        <v>27</v>
      </c>
      <c r="B133" s="182" t="s">
        <v>244</v>
      </c>
      <c r="C133" s="190" t="s">
        <v>261</v>
      </c>
      <c r="D133" s="178" t="s">
        <v>273</v>
      </c>
      <c r="E133" s="98">
        <f>($E$100*(1-$E$105)*SUM(E5*(1-$E$9),E21*(1-$E$25),E37*(1-$E$41),E59*(1-$E$63),E81*(1-$E$85))/$E$109)/$E$111</f>
        <v>0</v>
      </c>
      <c r="F133" s="50" t="s">
        <v>7</v>
      </c>
      <c r="N133" s="95"/>
    </row>
    <row r="134" spans="1:14" ht="30" customHeight="1" x14ac:dyDescent="0.4">
      <c r="A134" s="50" t="s">
        <v>27</v>
      </c>
      <c r="B134" s="182" t="s">
        <v>244</v>
      </c>
      <c r="C134" s="190" t="s">
        <v>261</v>
      </c>
      <c r="D134" s="178" t="s">
        <v>270</v>
      </c>
      <c r="E134" s="98">
        <f>($E$100*(1-$E$105)*SUM(E6*(1-$E$9),E22*(1-$E$25),E38*(1-$E$41),E60*(1-$E$63),E82*(1-$E$85))/$E$109)/$E$111</f>
        <v>2.972892645903238E-3</v>
      </c>
      <c r="F134" s="50" t="s">
        <v>7</v>
      </c>
      <c r="N134" s="95"/>
    </row>
    <row r="135" spans="1:14" ht="30" customHeight="1" x14ac:dyDescent="0.4">
      <c r="A135" s="50" t="s">
        <v>27</v>
      </c>
      <c r="B135" s="182" t="s">
        <v>244</v>
      </c>
      <c r="C135" s="190" t="s">
        <v>261</v>
      </c>
      <c r="D135" s="187" t="s">
        <v>245</v>
      </c>
      <c r="E135" s="98">
        <f>SUM(E131:E134)</f>
        <v>0.95045178923494611</v>
      </c>
      <c r="F135" s="50" t="str">
        <f>IF(ROUND(E135,3)=ROUND(E126,3),"PASS", "FAIL")</f>
        <v>PASS</v>
      </c>
      <c r="N135" s="95"/>
    </row>
    <row r="136" spans="1:14" ht="30" customHeight="1" x14ac:dyDescent="0.3">
      <c r="A136" s="191" t="s">
        <v>27</v>
      </c>
      <c r="B136" s="179" t="s">
        <v>249</v>
      </c>
      <c r="C136" s="179" t="s">
        <v>251</v>
      </c>
      <c r="D136" s="50" t="s">
        <v>50</v>
      </c>
      <c r="E136" s="98">
        <f>((Parameters!$D$262)*SUM(SUM(Parameters!D69,Parameters!D78)*(1-$E$9),SUM(Parameters!D87,Parameters!D96)*(1-Calculations_and_Results!$E$25),SUM(Parameters!D105,Parameters!D114)*(1-$E$41),SUM(Parameters!D123,Parameters!D132)*(1-Calculations_and_Results!$E$63),SUM(Parameters!D141,Parameters!D150)*(1-Calculations_and_Results!$E$85)))/$E$108</f>
        <v>0</v>
      </c>
      <c r="F136" s="50" t="s">
        <v>7</v>
      </c>
    </row>
    <row r="137" spans="1:14" ht="30" customHeight="1" x14ac:dyDescent="0.3">
      <c r="A137" s="191" t="s">
        <v>27</v>
      </c>
      <c r="B137" s="179" t="s">
        <v>249</v>
      </c>
      <c r="C137" s="179" t="s">
        <v>251</v>
      </c>
      <c r="D137" s="50" t="s">
        <v>151</v>
      </c>
      <c r="E137" s="98">
        <f>((Parameters!$D$262)*SUM(SUM(Parameters!D70,Parameters!D79)*(1-$E$9),SUM(Parameters!D88,Parameters!D97)*(1-Calculations_and_Results!$E$25),SUM(Parameters!D106,Parameters!D115)*(1-$E$41),SUM(Parameters!D124,Parameters!D133)*(1-Calculations_and_Results!$E$63),SUM(Parameters!D142,Parameters!D151)*(1-Calculations_and_Results!$E$85)))/$E$108</f>
        <v>0.83671102467011782</v>
      </c>
      <c r="F137" s="50" t="s">
        <v>7</v>
      </c>
    </row>
    <row r="138" spans="1:14" ht="30" customHeight="1" x14ac:dyDescent="0.3">
      <c r="A138" s="191" t="s">
        <v>27</v>
      </c>
      <c r="B138" s="179" t="s">
        <v>249</v>
      </c>
      <c r="C138" s="179" t="s">
        <v>251</v>
      </c>
      <c r="D138" s="50" t="s">
        <v>276</v>
      </c>
      <c r="E138" s="98">
        <f>((Parameters!$D$262)*SUM(SUM(Parameters!D71,Parameters!D80)*(1-$E$9),SUM(Parameters!D89,Parameters!D98)*(1-Calculations_and_Results!$E$25),SUM(Parameters!D107,Parameters!D116)*(1-$E$41),SUM(Parameters!D125,Parameters!D134)*(1-Calculations_and_Results!$E$63),SUM(Parameters!D143,Parameters!D152)*(1-Calculations_and_Results!$E$85)))/$E$108</f>
        <v>1.0927332417355806E-2</v>
      </c>
      <c r="F138" s="50" t="s">
        <v>7</v>
      </c>
    </row>
    <row r="139" spans="1:14" ht="30" customHeight="1" x14ac:dyDescent="0.3">
      <c r="A139" s="191" t="s">
        <v>27</v>
      </c>
      <c r="B139" s="179" t="s">
        <v>249</v>
      </c>
      <c r="C139" s="179" t="s">
        <v>251</v>
      </c>
      <c r="D139" s="194" t="s">
        <v>289</v>
      </c>
      <c r="E139" s="98">
        <f>((Parameters!$D$262)*SUM(SUM(Parameters!D72,Parameters!D81)*(1-$E$9),SUM(Parameters!D90,Parameters!D99)*(1-Calculations_and_Results!$E$25),SUM(Parameters!D108,Parameters!D117)*(1-$E$41),SUM(Parameters!D126,Parameters!D135)*(1-Calculations_and_Results!$E$63),SUM(Parameters!D144,Parameters!D153)*(1-Calculations_and_Results!$E$85)))/$E$108</f>
        <v>0</v>
      </c>
      <c r="F139" s="50" t="s">
        <v>7</v>
      </c>
    </row>
    <row r="140" spans="1:14" ht="30" customHeight="1" x14ac:dyDescent="0.3">
      <c r="A140" s="191" t="s">
        <v>27</v>
      </c>
      <c r="B140" s="179" t="s">
        <v>249</v>
      </c>
      <c r="C140" s="179" t="s">
        <v>251</v>
      </c>
      <c r="D140" s="50" t="s">
        <v>154</v>
      </c>
      <c r="E140" s="98">
        <f>((Parameters!$D$262)*SUM(SUM(Parameters!D73,Parameters!D82)*(1-$E$9),SUM(Parameters!D91,Parameters!D100)*(1-Calculations_and_Results!$E$25),SUM(Parameters!D109,Parameters!D118)*(1-$E$41),SUM(Parameters!D127,Parameters!D136)*(1-Calculations_and_Results!$E$63),SUM(Parameters!D145,Parameters!D154)*(1-Calculations_and_Results!$E$85)))/$E$108</f>
        <v>1.4244069229717821E-2</v>
      </c>
      <c r="F140" s="50" t="s">
        <v>7</v>
      </c>
    </row>
    <row r="141" spans="1:14" ht="30" customHeight="1" x14ac:dyDescent="0.3">
      <c r="A141" s="191" t="s">
        <v>27</v>
      </c>
      <c r="B141" s="179" t="s">
        <v>249</v>
      </c>
      <c r="C141" s="179" t="s">
        <v>251</v>
      </c>
      <c r="D141" s="50" t="s">
        <v>156</v>
      </c>
      <c r="E141" s="98">
        <f>((Parameters!$D$262)*SUM(SUM(Parameters!D74,Parameters!D83)*(1-$E$9),SUM(Parameters!D92,Parameters!D101)*(1-Calculations_and_Results!$E$25),SUM(Parameters!D110,Parameters!D119)*(1-$E$41),SUM(Parameters!D128,Parameters!D137)*(1-Calculations_and_Results!$E$63),SUM(Parameters!D146,Parameters!D155)*(1-Calculations_and_Results!$E$85)))/$E$108</f>
        <v>5.7728149910204855E-2</v>
      </c>
      <c r="F141" s="50" t="s">
        <v>7</v>
      </c>
    </row>
    <row r="142" spans="1:14" ht="30" customHeight="1" x14ac:dyDescent="0.3">
      <c r="A142" s="191" t="s">
        <v>27</v>
      </c>
      <c r="B142" s="179" t="s">
        <v>249</v>
      </c>
      <c r="C142" s="179" t="s">
        <v>251</v>
      </c>
      <c r="D142" s="50" t="s">
        <v>277</v>
      </c>
      <c r="E142" s="98">
        <f>((Parameters!$D$262)*SUM(SUM(Parameters!D75,Parameters!D84)*(1-$E$9),SUM(Parameters!D93,Parameters!D102)*(1-Calculations_and_Results!$E$25),SUM(Parameters!D111,Parameters!D120)*(1-$E$41),SUM(Parameters!D129,Parameters!D138)*(1-Calculations_and_Results!$E$63),SUM(Parameters!D147,Parameters!D156)*(1-Calculations_and_Results!$E$85)))/$E$108</f>
        <v>0</v>
      </c>
      <c r="F142" s="50" t="s">
        <v>7</v>
      </c>
    </row>
    <row r="143" spans="1:14" ht="30" customHeight="1" x14ac:dyDescent="0.3">
      <c r="A143" s="191" t="s">
        <v>27</v>
      </c>
      <c r="B143" s="179" t="s">
        <v>249</v>
      </c>
      <c r="C143" s="179" t="s">
        <v>251</v>
      </c>
      <c r="D143" s="50" t="s">
        <v>278</v>
      </c>
      <c r="E143" s="98">
        <f>((Parameters!$D$262)*SUM(SUM(Parameters!D76,Parameters!D85)*(1-$E$9),SUM(Parameters!D94,Parameters!D103)*(1-Calculations_and_Results!$E$25),SUM(Parameters!D112,Parameters!D121)*(1-$E$41),SUM(Parameters!D130,Parameters!D139)*(1-Calculations_and_Results!$E$63),SUM(Parameters!D148,Parameters!D157)*(1-Calculations_and_Results!$E$85)))/$E$108</f>
        <v>0</v>
      </c>
      <c r="F143" s="50" t="s">
        <v>7</v>
      </c>
    </row>
    <row r="144" spans="1:14" ht="30" customHeight="1" x14ac:dyDescent="0.3">
      <c r="A144" s="191" t="s">
        <v>27</v>
      </c>
      <c r="B144" s="179" t="s">
        <v>249</v>
      </c>
      <c r="C144" s="179" t="s">
        <v>251</v>
      </c>
      <c r="D144" s="50" t="s">
        <v>148</v>
      </c>
      <c r="E144" s="98">
        <f>((Parameters!$D$262)*SUM(SUM(Parameters!D77,Parameters!D86)*(1-$E$9),SUM(Parameters!D95,Parameters!D104)*(1-Calculations_and_Results!$E$25),SUM(Parameters!D113,Parameters!D122)*(1-$E$41),SUM(Parameters!D131,Parameters!D140)*(1-Calculations_and_Results!$E$63),SUM(Parameters!D149,Parameters!D158)*(1-Calculations_and_Results!$E$85)))/$E$108</f>
        <v>2.7868320361646375E-2</v>
      </c>
      <c r="F144" s="50" t="s">
        <v>7</v>
      </c>
    </row>
    <row r="145" spans="1:6" ht="30" customHeight="1" x14ac:dyDescent="0.3">
      <c r="A145" s="191" t="s">
        <v>27</v>
      </c>
      <c r="B145" s="179" t="s">
        <v>249</v>
      </c>
      <c r="C145" s="179" t="s">
        <v>251</v>
      </c>
      <c r="D145" s="187" t="s">
        <v>245</v>
      </c>
      <c r="E145" s="192">
        <f>SUM(E136:E144)</f>
        <v>0.9474788965890425</v>
      </c>
      <c r="F145" s="50" t="str">
        <f>IF(ROUND(E145,3)=ROUND(SUM(E117:E118),3), "PASS", "FAIL")</f>
        <v>PASS</v>
      </c>
    </row>
    <row r="146" spans="1:6" ht="30" customHeight="1" x14ac:dyDescent="0.3">
      <c r="A146" s="191" t="s">
        <v>27</v>
      </c>
      <c r="B146" s="179" t="s">
        <v>249</v>
      </c>
      <c r="C146" s="179" t="s">
        <v>315</v>
      </c>
      <c r="D146" s="50" t="s">
        <v>50</v>
      </c>
      <c r="E146" s="98">
        <f>(Parameters!$D$262)*SUM(SUM(Parameters!D69)*(1-$E$9),SUM(Parameters!D87)*(1-Calculations_and_Results!$E$25),SUM(Parameters!D105)*(1-$E$41),SUM(Parameters!D123)*(1-Calculations_and_Results!$E$63),SUM(Parameters!D141)*(1-Calculations_and_Results!$E$85))/$E$108</f>
        <v>0</v>
      </c>
      <c r="F146" s="50" t="s">
        <v>7</v>
      </c>
    </row>
    <row r="147" spans="1:6" ht="30" customHeight="1" x14ac:dyDescent="0.3">
      <c r="A147" s="191" t="s">
        <v>27</v>
      </c>
      <c r="B147" s="179" t="s">
        <v>249</v>
      </c>
      <c r="C147" s="179" t="s">
        <v>315</v>
      </c>
      <c r="D147" s="50" t="s">
        <v>151</v>
      </c>
      <c r="E147" s="98">
        <f>(Parameters!$D$262)*SUM(SUM(Parameters!D70)*(1-$E$9),SUM(Parameters!D88)*(1-Calculations_and_Results!$E$25),SUM(Parameters!D106)*(1-$E$41),SUM(Parameters!D124)*(1-Calculations_and_Results!$E$63),SUM(Parameters!D142)*(1-Calculations_and_Results!$E$85))/$E$108</f>
        <v>0.83263849613169227</v>
      </c>
      <c r="F147" s="50" t="s">
        <v>7</v>
      </c>
    </row>
    <row r="148" spans="1:6" ht="30" customHeight="1" x14ac:dyDescent="0.3">
      <c r="A148" s="191" t="s">
        <v>27</v>
      </c>
      <c r="B148" s="179" t="s">
        <v>249</v>
      </c>
      <c r="C148" s="179" t="s">
        <v>315</v>
      </c>
      <c r="D148" s="50" t="s">
        <v>276</v>
      </c>
      <c r="E148" s="98">
        <f>(Parameters!$D$262)*SUM(SUM(Parameters!D71)*(1-$E$9),SUM(Parameters!D89)*(1-Calculations_and_Results!$E$25),SUM(Parameters!D107)*(1-$E$41),SUM(Parameters!D125)*(1-Calculations_and_Results!$E$63),SUM(Parameters!D143)*(1-Calculations_and_Results!$E$85))/$E$108</f>
        <v>1.0836529914318925E-2</v>
      </c>
      <c r="F148" s="50" t="s">
        <v>7</v>
      </c>
    </row>
    <row r="149" spans="1:6" ht="30" customHeight="1" x14ac:dyDescent="0.3">
      <c r="A149" s="191" t="s">
        <v>27</v>
      </c>
      <c r="B149" s="179" t="s">
        <v>249</v>
      </c>
      <c r="C149" s="179" t="s">
        <v>315</v>
      </c>
      <c r="D149" s="194" t="s">
        <v>289</v>
      </c>
      <c r="E149" s="98">
        <f>(Parameters!$D$262)*SUM(SUM(Parameters!D72)*(1-$E$9),SUM(Parameters!D90)*(1-Calculations_and_Results!$E$25),SUM(Parameters!D108)*(1-$E$41),SUM(Parameters!D126)*(1-Calculations_and_Results!$E$63),SUM(Parameters!D144)*(1-Calculations_and_Results!$E$85))/$E$108</f>
        <v>0</v>
      </c>
      <c r="F149" s="50" t="s">
        <v>7</v>
      </c>
    </row>
    <row r="150" spans="1:6" ht="30" customHeight="1" x14ac:dyDescent="0.3">
      <c r="A150" s="191" t="s">
        <v>27</v>
      </c>
      <c r="B150" s="179" t="s">
        <v>249</v>
      </c>
      <c r="C150" s="179" t="s">
        <v>315</v>
      </c>
      <c r="D150" s="50" t="s">
        <v>154</v>
      </c>
      <c r="E150" s="98">
        <f>(Parameters!$D$262)*SUM(SUM(Parameters!D73)*(1-$E$9),SUM(Parameters!D91)*(1-Calculations_and_Results!$E$25),SUM(Parameters!D109)*(1-$E$41),SUM(Parameters!D127)*(1-Calculations_and_Results!$E$63),SUM(Parameters!D145)*(1-Calculations_and_Results!$E$85))/$E$108</f>
        <v>1.4198963514941194E-2</v>
      </c>
      <c r="F150" s="50" t="s">
        <v>7</v>
      </c>
    </row>
    <row r="151" spans="1:6" ht="30" customHeight="1" x14ac:dyDescent="0.3">
      <c r="A151" s="191" t="s">
        <v>27</v>
      </c>
      <c r="B151" s="179" t="s">
        <v>249</v>
      </c>
      <c r="C151" s="179" t="s">
        <v>315</v>
      </c>
      <c r="D151" s="50" t="s">
        <v>156</v>
      </c>
      <c r="E151" s="98">
        <f>(Parameters!$D$262)*SUM(SUM(Parameters!D74)*(1-$E$9),SUM(Parameters!D92)*(1-Calculations_and_Results!$E$25),SUM(Parameters!D110)*(1-$E$41),SUM(Parameters!D128)*(1-Calculations_and_Results!$E$63),SUM(Parameters!D146)*(1-Calculations_and_Results!$E$85))/$E$108</f>
        <v>5.0584614228784526E-2</v>
      </c>
      <c r="F151" s="50" t="s">
        <v>7</v>
      </c>
    </row>
    <row r="152" spans="1:6" ht="30" customHeight="1" x14ac:dyDescent="0.3">
      <c r="A152" s="191" t="s">
        <v>27</v>
      </c>
      <c r="B152" s="179" t="s">
        <v>249</v>
      </c>
      <c r="C152" s="179" t="s">
        <v>315</v>
      </c>
      <c r="D152" s="50" t="s">
        <v>277</v>
      </c>
      <c r="E152" s="98">
        <f>(Parameters!$D$262)*SUM(SUM(Parameters!D75)*(1-$E$9),SUM(Parameters!D93)*(1-Calculations_and_Results!$E$25),SUM(Parameters!D111)*(1-$E$41),SUM(Parameters!D129)*(1-Calculations_and_Results!$E$63),SUM(Parameters!D147)*(1-Calculations_and_Results!$E$85))/$E$108</f>
        <v>0</v>
      </c>
      <c r="F152" s="50" t="s">
        <v>7</v>
      </c>
    </row>
    <row r="153" spans="1:6" ht="30" customHeight="1" x14ac:dyDescent="0.3">
      <c r="A153" s="191" t="s">
        <v>27</v>
      </c>
      <c r="B153" s="179" t="s">
        <v>249</v>
      </c>
      <c r="C153" s="179" t="s">
        <v>315</v>
      </c>
      <c r="D153" s="50" t="s">
        <v>278</v>
      </c>
      <c r="E153" s="98">
        <f>(Parameters!$D$262)*SUM(SUM(Parameters!D76)*(1-$E$9),SUM(Parameters!D94)*(1-Calculations_and_Results!$E$25),SUM(Parameters!D112)*(1-$E$41),SUM(Parameters!D130)*(1-Calculations_and_Results!$E$63),SUM(Parameters!D148)*(1-Calculations_and_Results!$E$85))/$E$108</f>
        <v>0</v>
      </c>
      <c r="F153" s="50" t="s">
        <v>7</v>
      </c>
    </row>
    <row r="154" spans="1:6" ht="30" customHeight="1" x14ac:dyDescent="0.3">
      <c r="A154" s="191" t="s">
        <v>27</v>
      </c>
      <c r="B154" s="179" t="s">
        <v>249</v>
      </c>
      <c r="C154" s="179" t="s">
        <v>315</v>
      </c>
      <c r="D154" s="50" t="s">
        <v>148</v>
      </c>
      <c r="E154" s="98">
        <f>(Parameters!$D$262)*SUM(SUM(Parameters!D77)*(1-$E$9),SUM(Parameters!D95)*(1-Calculations_and_Results!$E$25),SUM(Parameters!D113)*(1-$E$41),SUM(Parameters!D131)*(1-Calculations_and_Results!$E$63),SUM(Parameters!D149)*(1-Calculations_and_Results!$E$85))/$E$108</f>
        <v>2.7868320361646375E-2</v>
      </c>
      <c r="F154" s="50" t="s">
        <v>7</v>
      </c>
    </row>
    <row r="155" spans="1:6" ht="30" customHeight="1" x14ac:dyDescent="0.3">
      <c r="A155" s="191" t="s">
        <v>27</v>
      </c>
      <c r="B155" s="179" t="s">
        <v>249</v>
      </c>
      <c r="C155" s="179" t="s">
        <v>315</v>
      </c>
      <c r="D155" s="187" t="s">
        <v>245</v>
      </c>
      <c r="E155" s="98">
        <f>SUM(E146:E154)</f>
        <v>0.93612692415138332</v>
      </c>
      <c r="F155" s="50" t="str">
        <f>IF(ROUND(E155,3)=ROUND(SUM(E117),3), "PASS", "FAIL")</f>
        <v>PASS</v>
      </c>
    </row>
    <row r="156" spans="1:6" ht="30" customHeight="1" x14ac:dyDescent="0.3">
      <c r="A156" s="191" t="s">
        <v>27</v>
      </c>
      <c r="B156" s="179" t="s">
        <v>249</v>
      </c>
      <c r="C156" s="179" t="s">
        <v>252</v>
      </c>
      <c r="D156" s="50" t="s">
        <v>50</v>
      </c>
      <c r="E156" s="98">
        <f>((Parameters!$D$262)*SUM(SUM(Parameters!D78)*(1-$E$9),SUM(Parameters!D96)*(1-Calculations_and_Results!$E$25),SUM(Parameters!D114)*(1-$E$41),SUM(Parameters!D132)*(1-Calculations_and_Results!$E$63),SUM(Parameters!D150)*(1-Calculations_and_Results!$E$85)))+(Parameters!D251*Parameters!$D$263)/$E$108</f>
        <v>0</v>
      </c>
      <c r="F156" s="50" t="s">
        <v>7</v>
      </c>
    </row>
    <row r="157" spans="1:6" ht="30" customHeight="1" x14ac:dyDescent="0.3">
      <c r="A157" s="191" t="s">
        <v>27</v>
      </c>
      <c r="B157" s="179" t="s">
        <v>249</v>
      </c>
      <c r="C157" s="179" t="s">
        <v>252</v>
      </c>
      <c r="D157" s="50" t="s">
        <v>151</v>
      </c>
      <c r="E157" s="98">
        <f>((Parameters!$D$262)*SUM(SUM(Parameters!D79)*(1-$E$9),SUM(Parameters!D97)*(1-Calculations_and_Results!$E$25),SUM(Parameters!D115)*(1-$E$41),SUM(Parameters!D133)*(1-Calculations_and_Results!$E$63),SUM(Parameters!D151)*(1-Calculations_and_Results!$E$85)) + (Parameters!D252*Parameters!$D$263))/$E$108</f>
        <v>4.0725285384254619E-3</v>
      </c>
      <c r="F157" s="50" t="s">
        <v>7</v>
      </c>
    </row>
    <row r="158" spans="1:6" ht="30" customHeight="1" x14ac:dyDescent="0.3">
      <c r="A158" s="191" t="s">
        <v>27</v>
      </c>
      <c r="B158" s="179" t="s">
        <v>249</v>
      </c>
      <c r="C158" s="179" t="s">
        <v>252</v>
      </c>
      <c r="D158" s="50" t="s">
        <v>276</v>
      </c>
      <c r="E158" s="98">
        <f>((Parameters!$D$262)*SUM(SUM(Parameters!D80)*(1-$E$9),SUM(Parameters!D98)*(1-Calculations_and_Results!$E$25),SUM(Parameters!D116)*(1-$E$41),SUM(Parameters!D134)*(1-Calculations_and_Results!$E$63),SUM(Parameters!D152)*(1-Calculations_and_Results!$E$85)) + (Parameters!D253*Parameters!$D$263))/$E$108</f>
        <v>9.0802503036879731E-5</v>
      </c>
      <c r="F158" s="50" t="s">
        <v>7</v>
      </c>
    </row>
    <row r="159" spans="1:6" ht="30" customHeight="1" x14ac:dyDescent="0.3">
      <c r="A159" s="191" t="s">
        <v>27</v>
      </c>
      <c r="B159" s="179" t="s">
        <v>249</v>
      </c>
      <c r="C159" s="179" t="s">
        <v>252</v>
      </c>
      <c r="D159" s="194" t="s">
        <v>289</v>
      </c>
      <c r="E159" s="98">
        <f>((Parameters!$D$262)*SUM(SUM(Parameters!D81)*(1-$E$9),SUM(Parameters!D99)*(1-Calculations_and_Results!$E$25),SUM(Parameters!D117)*(1-$E$41),SUM(Parameters!D135)*(1-Calculations_and_Results!$E$63),SUM(Parameters!D153)*(1-Calculations_and_Results!$E$85)) + (Parameters!D254*Parameters!$D$263))/$E$108</f>
        <v>0</v>
      </c>
      <c r="F159" s="50" t="s">
        <v>7</v>
      </c>
    </row>
    <row r="160" spans="1:6" ht="30" customHeight="1" x14ac:dyDescent="0.3">
      <c r="A160" s="191" t="s">
        <v>27</v>
      </c>
      <c r="B160" s="179" t="s">
        <v>249</v>
      </c>
      <c r="C160" s="179" t="s">
        <v>252</v>
      </c>
      <c r="D160" s="50" t="s">
        <v>154</v>
      </c>
      <c r="E160" s="98">
        <f>((Parameters!$D$262)*SUM(SUM(Parameters!D82)*(1-$E$9),SUM(Parameters!D100)*(1-Calculations_and_Results!$E$25),SUM(Parameters!D118)*(1-$E$41),SUM(Parameters!D136)*(1-Calculations_and_Results!$E$63),SUM(Parameters!D154)*(1-Calculations_and_Results!$E$85)) + (Parameters!D255*Parameters!$D$263))/$E$108</f>
        <v>4.5105714776622692E-5</v>
      </c>
      <c r="F160" s="50" t="s">
        <v>7</v>
      </c>
    </row>
    <row r="161" spans="1:6" ht="30" customHeight="1" x14ac:dyDescent="0.3">
      <c r="A161" s="191" t="s">
        <v>27</v>
      </c>
      <c r="B161" s="179" t="s">
        <v>249</v>
      </c>
      <c r="C161" s="179" t="s">
        <v>252</v>
      </c>
      <c r="D161" s="50" t="s">
        <v>156</v>
      </c>
      <c r="E161" s="98">
        <f>((Parameters!$D$262)*SUM(SUM(Parameters!D83)*(1-$E$9),SUM(Parameters!D101)*(1-Calculations_and_Results!$E$25),SUM(Parameters!D119)*(1-$E$41),SUM(Parameters!D137)*(1-Calculations_and_Results!$E$63),SUM(Parameters!D155)*(1-Calculations_and_Results!$E$85)) + (Parameters!D256*Parameters!$D$263))/$E$108</f>
        <v>7.1435356814203328E-3</v>
      </c>
      <c r="F161" s="50" t="s">
        <v>7</v>
      </c>
    </row>
    <row r="162" spans="1:6" ht="30" customHeight="1" x14ac:dyDescent="0.3">
      <c r="A162" s="191" t="s">
        <v>27</v>
      </c>
      <c r="B162" s="179" t="s">
        <v>249</v>
      </c>
      <c r="C162" s="179" t="s">
        <v>252</v>
      </c>
      <c r="D162" s="50" t="s">
        <v>277</v>
      </c>
      <c r="E162" s="98">
        <f>((Parameters!$D$262)*SUM(SUM(Parameters!D84)*(1-$E$9),SUM(Parameters!D102)*(1-Calculations_and_Results!$E$25),SUM(Parameters!D120)*(1-$E$41),SUM(Parameters!D138)*(1-Calculations_and_Results!$E$63),SUM(Parameters!D156)*(1-Calculations_and_Results!$E$85)) + (Parameters!D257*Parameters!$D$263))/$E$108</f>
        <v>0</v>
      </c>
      <c r="F162" s="50" t="s">
        <v>7</v>
      </c>
    </row>
    <row r="163" spans="1:6" ht="30" customHeight="1" x14ac:dyDescent="0.3">
      <c r="A163" s="191" t="s">
        <v>27</v>
      </c>
      <c r="B163" s="179" t="s">
        <v>249</v>
      </c>
      <c r="C163" s="179" t="s">
        <v>252</v>
      </c>
      <c r="D163" s="50" t="s">
        <v>278</v>
      </c>
      <c r="E163" s="98">
        <f>((Parameters!$D$262)*SUM(SUM(Parameters!D85)*(1-$E$9),SUM(Parameters!D103)*(1-Calculations_and_Results!$E$25),SUM(Parameters!D121)*(1-$E$41),SUM(Parameters!D139)*(1-Calculations_and_Results!$E$63),SUM(Parameters!D157)*(1-Calculations_and_Results!$E$85)) + (Parameters!D258*Parameters!$D$263))/$E$108</f>
        <v>0</v>
      </c>
      <c r="F163" s="50" t="s">
        <v>7</v>
      </c>
    </row>
    <row r="164" spans="1:6" ht="30" customHeight="1" x14ac:dyDescent="0.3">
      <c r="A164" s="191" t="s">
        <v>27</v>
      </c>
      <c r="B164" s="179" t="s">
        <v>249</v>
      </c>
      <c r="C164" s="179" t="s">
        <v>252</v>
      </c>
      <c r="D164" s="50" t="s">
        <v>148</v>
      </c>
      <c r="E164" s="98">
        <f>((Parameters!$D$262)*SUM(SUM(Parameters!D86)*(1-$E$9),SUM(Parameters!D104)*(1-Calculations_and_Results!$E$25),SUM(Parameters!D122)*(1-$E$41),SUM(Parameters!D140)*(1-Calculations_and_Results!$E$63),SUM(Parameters!D158)*(1-Calculations_and_Results!$E$85)) + (Parameters!D259*Parameters!$D$263))/$E$108</f>
        <v>0</v>
      </c>
      <c r="F164" s="50" t="s">
        <v>7</v>
      </c>
    </row>
    <row r="165" spans="1:6" ht="30" customHeight="1" x14ac:dyDescent="0.3">
      <c r="A165" s="191" t="s">
        <v>27</v>
      </c>
      <c r="B165" s="179" t="s">
        <v>249</v>
      </c>
      <c r="C165" s="179" t="s">
        <v>252</v>
      </c>
      <c r="D165" s="187" t="s">
        <v>245</v>
      </c>
      <c r="E165" s="180">
        <f>SUM(E156:E164)</f>
        <v>1.1351972437659296E-2</v>
      </c>
      <c r="F165" s="50" t="str">
        <f>IF(ROUND(E165,3)=ROUND(SUM(E113+E118),3), "PASS", "FAIL")</f>
        <v>PASS</v>
      </c>
    </row>
    <row r="166" spans="1:6" ht="30" customHeight="1" x14ac:dyDescent="0.3">
      <c r="A166" s="191" t="s">
        <v>27</v>
      </c>
      <c r="B166" s="179" t="s">
        <v>249</v>
      </c>
      <c r="C166" s="179" t="s">
        <v>253</v>
      </c>
      <c r="D166" s="50" t="s">
        <v>50</v>
      </c>
      <c r="E166" s="98">
        <f>(Parameters!D251*Parameters!$D$263)/$E$108</f>
        <v>0</v>
      </c>
      <c r="F166" s="50" t="s">
        <v>7</v>
      </c>
    </row>
    <row r="167" spans="1:6" ht="30" customHeight="1" x14ac:dyDescent="0.3">
      <c r="A167" s="191" t="s">
        <v>27</v>
      </c>
      <c r="B167" s="179" t="s">
        <v>249</v>
      </c>
      <c r="C167" s="179" t="s">
        <v>253</v>
      </c>
      <c r="D167" s="50" t="s">
        <v>151</v>
      </c>
      <c r="E167" s="98">
        <f>(Parameters!D252*Parameters!$D$263)/$E$108</f>
        <v>0</v>
      </c>
      <c r="F167" s="50" t="s">
        <v>7</v>
      </c>
    </row>
    <row r="168" spans="1:6" ht="30" customHeight="1" x14ac:dyDescent="0.3">
      <c r="A168" s="191" t="s">
        <v>27</v>
      </c>
      <c r="B168" s="179" t="s">
        <v>249</v>
      </c>
      <c r="C168" s="179" t="s">
        <v>253</v>
      </c>
      <c r="D168" s="50" t="s">
        <v>276</v>
      </c>
      <c r="E168" s="98">
        <f>(Parameters!D253*Parameters!$D$263)/$E$108</f>
        <v>0</v>
      </c>
      <c r="F168" s="50" t="s">
        <v>7</v>
      </c>
    </row>
    <row r="169" spans="1:6" ht="30" customHeight="1" x14ac:dyDescent="0.3">
      <c r="A169" s="191" t="s">
        <v>27</v>
      </c>
      <c r="B169" s="179" t="s">
        <v>249</v>
      </c>
      <c r="C169" s="179" t="s">
        <v>253</v>
      </c>
      <c r="D169" s="194" t="s">
        <v>289</v>
      </c>
      <c r="E169" s="98">
        <f>(Parameters!D254*Parameters!$D$263)/$E$108</f>
        <v>0</v>
      </c>
      <c r="F169" s="50" t="s">
        <v>7</v>
      </c>
    </row>
    <row r="170" spans="1:6" ht="30" customHeight="1" x14ac:dyDescent="0.3">
      <c r="A170" s="191" t="s">
        <v>27</v>
      </c>
      <c r="B170" s="179" t="s">
        <v>249</v>
      </c>
      <c r="C170" s="179" t="s">
        <v>253</v>
      </c>
      <c r="D170" s="50" t="s">
        <v>154</v>
      </c>
      <c r="E170" s="98">
        <f>(Parameters!D255*Parameters!$D$263)/$E$108</f>
        <v>0</v>
      </c>
      <c r="F170" s="50" t="s">
        <v>7</v>
      </c>
    </row>
    <row r="171" spans="1:6" ht="30" customHeight="1" x14ac:dyDescent="0.3">
      <c r="A171" s="191" t="s">
        <v>27</v>
      </c>
      <c r="B171" s="179" t="s">
        <v>249</v>
      </c>
      <c r="C171" s="179" t="s">
        <v>253</v>
      </c>
      <c r="D171" s="50" t="s">
        <v>156</v>
      </c>
      <c r="E171" s="98">
        <f>(Parameters!D256*Parameters!$D$263)/$E$108</f>
        <v>0</v>
      </c>
      <c r="F171" s="50" t="s">
        <v>7</v>
      </c>
    </row>
    <row r="172" spans="1:6" ht="30" customHeight="1" x14ac:dyDescent="0.3">
      <c r="A172" s="191" t="s">
        <v>27</v>
      </c>
      <c r="B172" s="179" t="s">
        <v>249</v>
      </c>
      <c r="C172" s="179" t="s">
        <v>253</v>
      </c>
      <c r="D172" s="50" t="s">
        <v>277</v>
      </c>
      <c r="E172" s="98">
        <f>(Parameters!D257*Parameters!$D$263)/$E$108</f>
        <v>0</v>
      </c>
      <c r="F172" s="50" t="s">
        <v>7</v>
      </c>
    </row>
    <row r="173" spans="1:6" ht="30" customHeight="1" x14ac:dyDescent="0.3">
      <c r="A173" s="191" t="s">
        <v>27</v>
      </c>
      <c r="B173" s="179" t="s">
        <v>249</v>
      </c>
      <c r="C173" s="179" t="s">
        <v>253</v>
      </c>
      <c r="D173" s="50" t="s">
        <v>278</v>
      </c>
      <c r="E173" s="98">
        <f>(Parameters!D258*Parameters!$D$263)/$E$108</f>
        <v>0</v>
      </c>
      <c r="F173" s="50" t="s">
        <v>7</v>
      </c>
    </row>
    <row r="174" spans="1:6" ht="30" customHeight="1" x14ac:dyDescent="0.3">
      <c r="A174" s="191" t="s">
        <v>27</v>
      </c>
      <c r="B174" s="179" t="s">
        <v>249</v>
      </c>
      <c r="C174" s="179" t="s">
        <v>253</v>
      </c>
      <c r="D174" s="50" t="s">
        <v>148</v>
      </c>
      <c r="E174" s="98">
        <f>(Parameters!D259*Parameters!$D$263)/$E$108</f>
        <v>0</v>
      </c>
      <c r="F174" s="50" t="s">
        <v>7</v>
      </c>
    </row>
    <row r="175" spans="1:6" ht="30" customHeight="1" x14ac:dyDescent="0.3">
      <c r="A175" s="191" t="s">
        <v>27</v>
      </c>
      <c r="B175" s="179" t="s">
        <v>249</v>
      </c>
      <c r="C175" s="179" t="s">
        <v>253</v>
      </c>
      <c r="D175" s="187" t="s">
        <v>245</v>
      </c>
      <c r="E175" s="98">
        <f>SUM(E166:E174)</f>
        <v>0</v>
      </c>
      <c r="F175" s="50" t="str">
        <f>IF(ROUND(E175,3)=ROUND(SUM(E113),3), "PASS", "FAIL")</f>
        <v>PASS</v>
      </c>
    </row>
    <row r="176" spans="1:6" ht="30" customHeight="1" x14ac:dyDescent="0.3">
      <c r="A176" s="191" t="s">
        <v>27</v>
      </c>
      <c r="B176" s="179" t="s">
        <v>249</v>
      </c>
      <c r="C176" s="179" t="s">
        <v>254</v>
      </c>
      <c r="D176" s="50" t="s">
        <v>50</v>
      </c>
      <c r="E176" s="98">
        <f>(Parameters!$D$262)*SUM(SUM(Parameters!$D$78)*(1-$E$9),SUM(Parameters!$D$96)*(1-Calculations_and_Results!$E$25),SUM(Parameters!$D$114)*(1-$E$41),SUM(Parameters!$D$132)*(1-Calculations_and_Results!$E$63),SUM(Parameters!$D$150)*(1-Calculations_and_Results!$E$85))/$E$108</f>
        <v>0</v>
      </c>
      <c r="F176" s="50" t="s">
        <v>7</v>
      </c>
    </row>
    <row r="177" spans="1:6" ht="30" customHeight="1" x14ac:dyDescent="0.3">
      <c r="A177" s="191" t="s">
        <v>27</v>
      </c>
      <c r="B177" s="179" t="s">
        <v>249</v>
      </c>
      <c r="C177" s="179" t="s">
        <v>254</v>
      </c>
      <c r="D177" s="50" t="s">
        <v>151</v>
      </c>
      <c r="E177" s="98">
        <f>(Parameters!$D$262)*SUM(SUM(Parameters!D79)*(1-$E$9),SUM(Parameters!D97)*(1-Calculations_and_Results!$E$25),SUM(Parameters!D115)*(1-$E$41),SUM(Parameters!D133)*(1-Calculations_and_Results!$E$63),SUM(Parameters!D151)*(1-Calculations_and_Results!$E$85))/$E$108</f>
        <v>4.0725285384254619E-3</v>
      </c>
      <c r="F177" s="50" t="s">
        <v>7</v>
      </c>
    </row>
    <row r="178" spans="1:6" ht="30" customHeight="1" x14ac:dyDescent="0.3">
      <c r="A178" s="191" t="s">
        <v>27</v>
      </c>
      <c r="B178" s="179" t="s">
        <v>249</v>
      </c>
      <c r="C178" s="179" t="s">
        <v>254</v>
      </c>
      <c r="D178" s="50" t="s">
        <v>276</v>
      </c>
      <c r="E178" s="98">
        <f>(Parameters!$D$262)*SUM(SUM(Parameters!D80)*(1-$E$9),SUM(Parameters!D98)*(1-Calculations_and_Results!$E$25),SUM(Parameters!D116)*(1-$E$41),SUM(Parameters!D134)*(1-Calculations_and_Results!$E$63),SUM(Parameters!D152)*(1-Calculations_and_Results!$E$85))/$E$108</f>
        <v>9.0802503036879731E-5</v>
      </c>
      <c r="F178" s="50" t="s">
        <v>7</v>
      </c>
    </row>
    <row r="179" spans="1:6" ht="30" customHeight="1" x14ac:dyDescent="0.3">
      <c r="A179" s="191" t="s">
        <v>27</v>
      </c>
      <c r="B179" s="179" t="s">
        <v>249</v>
      </c>
      <c r="C179" s="179" t="s">
        <v>254</v>
      </c>
      <c r="D179" s="194" t="s">
        <v>289</v>
      </c>
      <c r="E179" s="98">
        <f>(Parameters!$D$262)*SUM(SUM(Parameters!D81)*(1-$E$9),SUM(Parameters!D99)*(1-Calculations_and_Results!$E$25),SUM(Parameters!D117)*(1-$E$41),SUM(Parameters!D135)*(1-Calculations_and_Results!$E$63),SUM(Parameters!D153)*(1-Calculations_and_Results!$E$85))/$E$108</f>
        <v>0</v>
      </c>
      <c r="F179" s="50" t="s">
        <v>7</v>
      </c>
    </row>
    <row r="180" spans="1:6" ht="30" customHeight="1" x14ac:dyDescent="0.3">
      <c r="A180" s="191" t="s">
        <v>27</v>
      </c>
      <c r="B180" s="179" t="s">
        <v>249</v>
      </c>
      <c r="C180" s="179" t="s">
        <v>254</v>
      </c>
      <c r="D180" s="50" t="s">
        <v>154</v>
      </c>
      <c r="E180" s="98">
        <f>(Parameters!$D$262)*SUM(SUM(Parameters!D82)*(1-$E$9),SUM(Parameters!D100)*(1-Calculations_and_Results!$E$25),SUM(Parameters!D118)*(1-$E$41),SUM(Parameters!D136)*(1-Calculations_and_Results!$E$63),SUM(Parameters!D154)*(1-Calculations_and_Results!$E$85))/$E$108</f>
        <v>4.5105714776622692E-5</v>
      </c>
      <c r="F180" s="50" t="s">
        <v>7</v>
      </c>
    </row>
    <row r="181" spans="1:6" ht="30" customHeight="1" x14ac:dyDescent="0.3">
      <c r="A181" s="191" t="s">
        <v>27</v>
      </c>
      <c r="B181" s="179" t="s">
        <v>249</v>
      </c>
      <c r="C181" s="179" t="s">
        <v>254</v>
      </c>
      <c r="D181" s="50" t="s">
        <v>156</v>
      </c>
      <c r="E181" s="98">
        <f>(Parameters!$D$262)*SUM(SUM(Parameters!D83)*(1-$E$9),SUM(Parameters!D101)*(1-Calculations_and_Results!$E$25),SUM(Parameters!D119)*(1-$E$41),SUM(Parameters!D137)*(1-Calculations_and_Results!$E$63),SUM(Parameters!D155)*(1-Calculations_and_Results!$E$85))/$E$108</f>
        <v>7.1435356814203328E-3</v>
      </c>
      <c r="F181" s="50" t="s">
        <v>7</v>
      </c>
    </row>
    <row r="182" spans="1:6" ht="30" customHeight="1" x14ac:dyDescent="0.3">
      <c r="A182" s="191" t="s">
        <v>27</v>
      </c>
      <c r="B182" s="179" t="s">
        <v>249</v>
      </c>
      <c r="C182" s="179" t="s">
        <v>254</v>
      </c>
      <c r="D182" s="50" t="s">
        <v>277</v>
      </c>
      <c r="E182" s="98">
        <f>(Parameters!$D$262)*SUM(SUM(Parameters!D84)*(1-$E$9),SUM(Parameters!D102)*(1-Calculations_and_Results!$E$25),SUM(Parameters!D120)*(1-$E$41),SUM(Parameters!D138)*(1-Calculations_and_Results!$E$63),SUM(Parameters!D156)*(1-Calculations_and_Results!$E$85))/$E$108</f>
        <v>0</v>
      </c>
      <c r="F182" s="50" t="s">
        <v>7</v>
      </c>
    </row>
    <row r="183" spans="1:6" ht="30" customHeight="1" x14ac:dyDescent="0.3">
      <c r="A183" s="191" t="s">
        <v>27</v>
      </c>
      <c r="B183" s="179" t="s">
        <v>249</v>
      </c>
      <c r="C183" s="179" t="s">
        <v>254</v>
      </c>
      <c r="D183" s="50" t="s">
        <v>278</v>
      </c>
      <c r="E183" s="98">
        <f>(Parameters!$D$262)*SUM(SUM(Parameters!D85)*(1-$E$9),SUM(Parameters!D103)*(1-Calculations_and_Results!$E$25),SUM(Parameters!D121)*(1-$E$41),SUM(Parameters!D139)*(1-Calculations_and_Results!$E$63),SUM(Parameters!D157)*(1-Calculations_and_Results!$E$85))/$E$108</f>
        <v>0</v>
      </c>
      <c r="F183" s="50" t="s">
        <v>7</v>
      </c>
    </row>
    <row r="184" spans="1:6" ht="30" customHeight="1" x14ac:dyDescent="0.3">
      <c r="A184" s="191" t="s">
        <v>27</v>
      </c>
      <c r="B184" s="179" t="s">
        <v>249</v>
      </c>
      <c r="C184" s="179" t="s">
        <v>254</v>
      </c>
      <c r="D184" s="50" t="s">
        <v>148</v>
      </c>
      <c r="E184" s="98">
        <f>(Parameters!$D$262)*SUM(SUM(Parameters!D86)*(1-$E$9),SUM(Parameters!D104)*(1-Calculations_and_Results!$E$25),SUM(Parameters!D122)*(1-$E$41),SUM(Parameters!D140)*(1-Calculations_and_Results!$E$63),SUM(Parameters!D158)*(1-Calculations_and_Results!$E$85))/$E$108</f>
        <v>0</v>
      </c>
      <c r="F184" s="50" t="s">
        <v>7</v>
      </c>
    </row>
    <row r="185" spans="1:6" ht="30" customHeight="1" x14ac:dyDescent="0.3">
      <c r="A185" s="191" t="s">
        <v>27</v>
      </c>
      <c r="B185" s="179" t="s">
        <v>249</v>
      </c>
      <c r="C185" s="179" t="s">
        <v>254</v>
      </c>
      <c r="D185" s="187" t="s">
        <v>245</v>
      </c>
      <c r="E185" s="180">
        <f>SUM(E176:E184)</f>
        <v>1.1351972437659296E-2</v>
      </c>
      <c r="F185" s="50" t="str">
        <f>IF(ROUND(E185,3)=ROUND(SUM(E118),3), "PASS", "FAIL")</f>
        <v>PASS</v>
      </c>
    </row>
    <row r="186" spans="1:6" ht="30" customHeight="1" x14ac:dyDescent="0.3">
      <c r="A186" s="191" t="s">
        <v>27</v>
      </c>
      <c r="B186" s="191" t="s">
        <v>250</v>
      </c>
      <c r="C186" s="179" t="s">
        <v>251</v>
      </c>
      <c r="D186" s="50" t="s">
        <v>50</v>
      </c>
      <c r="E186" s="98">
        <f>($E$100*((1-$E$105)*(Parameters!$D$262)*SUM(SUM(Parameters!$D$69,Parameters!$D$78)*(1-$E$9),SUM(Parameters!$D$87,Parameters!$D$96)*(1-Calculations_and_Results!$E$25),SUM(Parameters!$D$105,Parameters!$D$114)*(1-$E$41),SUM(Parameters!$D$123,Parameters!$D$132)*(1-Calculations_and_Results!$E$63),SUM(Parameters!$D$141,Parameters!$D$150)*(1-Calculations_and_Results!$E$85)))/$E$109)/$E$111</f>
        <v>0</v>
      </c>
      <c r="F186" s="50" t="s">
        <v>7</v>
      </c>
    </row>
    <row r="187" spans="1:6" ht="30" customHeight="1" x14ac:dyDescent="0.3">
      <c r="A187" s="191" t="s">
        <v>27</v>
      </c>
      <c r="B187" s="191" t="s">
        <v>250</v>
      </c>
      <c r="C187" s="179" t="s">
        <v>251</v>
      </c>
      <c r="D187" s="50" t="s">
        <v>151</v>
      </c>
      <c r="E187" s="98">
        <f>($E$100*((1-$E$105)*(Parameters!$D$262)*SUM(SUM(Parameters!D70,Parameters!D79)*(1-$E$9),SUM(Parameters!D88,Parameters!D97)*(1-Calculations_and_Results!$E$25),SUM(Parameters!D106,Parameters!D115)*(1-$E$41),SUM(Parameters!D124,Parameters!D133)*(1-Calculations_and_Results!$E$63),SUM(Parameters!D142,Parameters!D151)*(1-Calculations_and_Results!$E$85)))/$E$109)/$E$111</f>
        <v>0.83671102467011793</v>
      </c>
      <c r="F187" s="50" t="s">
        <v>7</v>
      </c>
    </row>
    <row r="188" spans="1:6" ht="30" customHeight="1" x14ac:dyDescent="0.3">
      <c r="A188" s="191" t="s">
        <v>27</v>
      </c>
      <c r="B188" s="191" t="s">
        <v>250</v>
      </c>
      <c r="C188" s="179" t="s">
        <v>251</v>
      </c>
      <c r="D188" s="50" t="s">
        <v>276</v>
      </c>
      <c r="E188" s="98">
        <f>($E$100*((1-$E$105)*(Parameters!$D$262)*SUM(SUM(Parameters!D71,Parameters!D80)*(1-$E$9),SUM(Parameters!D89,Parameters!D98)*(1-Calculations_and_Results!$E$25),SUM(Parameters!D107,Parameters!D116)*(1-$E$41),SUM(Parameters!D125,Parameters!D134)*(1-Calculations_and_Results!$E$63),SUM(Parameters!D143,Parameters!D152)*(1-Calculations_and_Results!$E$85)))/$E$109)/$E$111</f>
        <v>1.0927332417355806E-2</v>
      </c>
      <c r="F188" s="50" t="s">
        <v>7</v>
      </c>
    </row>
    <row r="189" spans="1:6" ht="30" customHeight="1" x14ac:dyDescent="0.3">
      <c r="A189" s="191" t="s">
        <v>27</v>
      </c>
      <c r="B189" s="191" t="s">
        <v>250</v>
      </c>
      <c r="C189" s="179" t="s">
        <v>251</v>
      </c>
      <c r="D189" s="194" t="s">
        <v>289</v>
      </c>
      <c r="E189" s="98">
        <f>($E$100*((1-$E$105)*(Parameters!$D$262)*SUM(SUM(Parameters!D72,Parameters!D81)*(1-$E$9),SUM(Parameters!D90,Parameters!D99)*(1-Calculations_and_Results!$E$25),SUM(Parameters!D108,Parameters!D117)*(1-$E$41),SUM(Parameters!D126,Parameters!D135)*(1-Calculations_and_Results!$E$63),SUM(Parameters!D144,Parameters!D153)*(1-Calculations_and_Results!$E$85)))/$E$109)/$E$111</f>
        <v>0</v>
      </c>
      <c r="F189" s="50" t="s">
        <v>7</v>
      </c>
    </row>
    <row r="190" spans="1:6" ht="30" customHeight="1" x14ac:dyDescent="0.3">
      <c r="A190" s="191" t="s">
        <v>27</v>
      </c>
      <c r="B190" s="191" t="s">
        <v>250</v>
      </c>
      <c r="C190" s="179" t="s">
        <v>251</v>
      </c>
      <c r="D190" s="50" t="s">
        <v>154</v>
      </c>
      <c r="E190" s="98">
        <f>($E$100*((1-$E$105)*(Parameters!$D$262)*SUM(SUM(Parameters!D73,Parameters!D82)*(1-$E$9),SUM(Parameters!D91,Parameters!D100)*(1-Calculations_and_Results!$E$25),SUM(Parameters!D109,Parameters!D118)*(1-$E$41),SUM(Parameters!D127,Parameters!D136)*(1-Calculations_and_Results!$E$63),SUM(Parameters!D145,Parameters!D154)*(1-Calculations_and_Results!$E$85)))/$E$109)/$E$111</f>
        <v>1.4244069229717819E-2</v>
      </c>
      <c r="F190" s="50" t="s">
        <v>7</v>
      </c>
    </row>
    <row r="191" spans="1:6" ht="30" customHeight="1" x14ac:dyDescent="0.3">
      <c r="A191" s="191" t="s">
        <v>27</v>
      </c>
      <c r="B191" s="191" t="s">
        <v>250</v>
      </c>
      <c r="C191" s="179" t="s">
        <v>251</v>
      </c>
      <c r="D191" s="50" t="s">
        <v>156</v>
      </c>
      <c r="E191" s="98">
        <f>($E$100*((1-$E$105)*(Parameters!$D$262)*SUM(SUM(Parameters!D74,Parameters!D83)*(1-$E$9),SUM(Parameters!D92,Parameters!D101)*(1-Calculations_and_Results!$E$25),SUM(Parameters!D110,Parameters!D119)*(1-$E$41),SUM(Parameters!D128,Parameters!D137)*(1-Calculations_and_Results!$E$63),SUM(Parameters!D146,Parameters!D155)*(1-Calculations_and_Results!$E$85)))/$E$109)/$E$111</f>
        <v>5.7728149910204855E-2</v>
      </c>
      <c r="F191" s="50" t="s">
        <v>7</v>
      </c>
    </row>
    <row r="192" spans="1:6" ht="30" customHeight="1" x14ac:dyDescent="0.3">
      <c r="A192" s="191" t="s">
        <v>27</v>
      </c>
      <c r="B192" s="191" t="s">
        <v>250</v>
      </c>
      <c r="C192" s="179" t="s">
        <v>251</v>
      </c>
      <c r="D192" s="50" t="s">
        <v>277</v>
      </c>
      <c r="E192" s="98">
        <f>($E$100*((1-$E$105)*(Parameters!$D$262)*SUM(SUM(Parameters!D75,Parameters!D84)*(1-$E$9),SUM(Parameters!D93,Parameters!D102)*(1-Calculations_and_Results!$E$25),SUM(Parameters!D111,Parameters!D120)*(1-$E$41),SUM(Parameters!D129,Parameters!D138)*(1-Calculations_and_Results!$E$63),SUM(Parameters!D147,Parameters!D156)*(1-Calculations_and_Results!$E$85)))/$E$109)/$E$111</f>
        <v>0</v>
      </c>
      <c r="F192" s="50" t="s">
        <v>7</v>
      </c>
    </row>
    <row r="193" spans="1:6" ht="30" customHeight="1" x14ac:dyDescent="0.3">
      <c r="A193" s="191" t="s">
        <v>27</v>
      </c>
      <c r="B193" s="191" t="s">
        <v>250</v>
      </c>
      <c r="C193" s="179" t="s">
        <v>251</v>
      </c>
      <c r="D193" s="50" t="s">
        <v>278</v>
      </c>
      <c r="E193" s="98">
        <f>($E$100*((1-$E$105)*(Parameters!$D$262)*SUM(SUM(Parameters!D76,Parameters!D85)*(1-$E$9),SUM(Parameters!D94,Parameters!D103)*(1-Calculations_and_Results!$E$25),SUM(Parameters!D112,Parameters!D121)*(1-$E$41),SUM(Parameters!D130,Parameters!D139)*(1-Calculations_and_Results!$E$63),SUM(Parameters!D148,Parameters!D157)*(1-Calculations_and_Results!$E$85)))/$E$109)/$E$111</f>
        <v>0</v>
      </c>
      <c r="F193" s="50" t="s">
        <v>7</v>
      </c>
    </row>
    <row r="194" spans="1:6" ht="30" customHeight="1" x14ac:dyDescent="0.3">
      <c r="A194" s="191" t="s">
        <v>27</v>
      </c>
      <c r="B194" s="191" t="s">
        <v>250</v>
      </c>
      <c r="C194" s="179" t="s">
        <v>251</v>
      </c>
      <c r="D194" s="50" t="s">
        <v>148</v>
      </c>
      <c r="E194" s="98">
        <f>($E$100*((1-$E$105)*(Parameters!$D$262)*SUM(SUM(Parameters!D77,Parameters!D86)*(1-$E$9),SUM(Parameters!D95,Parameters!D104)*(1-Calculations_and_Results!$E$25),SUM(Parameters!D113,Parameters!D122)*(1-$E$41),SUM(Parameters!D131,Parameters!D140)*(1-Calculations_and_Results!$E$63),SUM(Parameters!D149,Parameters!D158)*(1-Calculations_and_Results!$E$85)))/$E$109)/$E$111</f>
        <v>2.7868320361646375E-2</v>
      </c>
      <c r="F194" s="50" t="s">
        <v>7</v>
      </c>
    </row>
    <row r="195" spans="1:6" ht="30" customHeight="1" x14ac:dyDescent="0.3">
      <c r="A195" s="191" t="s">
        <v>27</v>
      </c>
      <c r="B195" s="191" t="s">
        <v>250</v>
      </c>
      <c r="C195" s="179" t="s">
        <v>251</v>
      </c>
      <c r="D195" s="187" t="s">
        <v>245</v>
      </c>
      <c r="E195" s="98">
        <f>SUM(E186:E194)</f>
        <v>0.94747889658904261</v>
      </c>
      <c r="F195" s="50" t="str">
        <f>IF(ROUND(SUM(E131:E132),3)=ROUND(E195,3),"PASS", "FAIL")</f>
        <v>PASS</v>
      </c>
    </row>
    <row r="196" spans="1:6" ht="30" customHeight="1" x14ac:dyDescent="0.3">
      <c r="A196" s="191" t="s">
        <v>27</v>
      </c>
      <c r="B196" s="191" t="s">
        <v>250</v>
      </c>
      <c r="C196" s="179" t="s">
        <v>315</v>
      </c>
      <c r="D196" s="50" t="s">
        <v>50</v>
      </c>
      <c r="E196" s="98">
        <f>($E$100*((1-$E$105)*(Parameters!$D$262)*SUM(SUM(Parameters!D69)*(1-$E$9),SUM(Parameters!D87)*(1-Calculations_and_Results!$E$25),SUM(Parameters!D105)*(1-$E$41),SUM(Parameters!D123)*(1-Calculations_and_Results!$E$63),SUM(Parameters!D141)*(1-Calculations_and_Results!$E$85)))/$E$109)/$E$111</f>
        <v>0</v>
      </c>
      <c r="F196" s="50" t="s">
        <v>7</v>
      </c>
    </row>
    <row r="197" spans="1:6" ht="30" customHeight="1" x14ac:dyDescent="0.3">
      <c r="A197" s="191" t="s">
        <v>27</v>
      </c>
      <c r="B197" s="191" t="s">
        <v>250</v>
      </c>
      <c r="C197" s="179" t="s">
        <v>315</v>
      </c>
      <c r="D197" s="50" t="s">
        <v>151</v>
      </c>
      <c r="E197" s="98">
        <f>($E$100*((1-$E$105)*(Parameters!$D$262)*SUM(SUM(Parameters!D70)*(1-$E$9),SUM(Parameters!D88)*(1-Calculations_and_Results!$E$25),SUM(Parameters!D106)*(1-$E$41),SUM(Parameters!D124)*(1-Calculations_and_Results!$E$63),SUM(Parameters!D142)*(1-Calculations_and_Results!$E$85)))/$E$109)/$E$111</f>
        <v>0.83263849613169238</v>
      </c>
      <c r="F197" s="50" t="s">
        <v>7</v>
      </c>
    </row>
    <row r="198" spans="1:6" ht="30" customHeight="1" x14ac:dyDescent="0.3">
      <c r="A198" s="191" t="s">
        <v>27</v>
      </c>
      <c r="B198" s="191" t="s">
        <v>250</v>
      </c>
      <c r="C198" s="179" t="s">
        <v>315</v>
      </c>
      <c r="D198" s="50" t="s">
        <v>276</v>
      </c>
      <c r="E198" s="98">
        <f>($E$100*((1-$E$105)*(Parameters!$D$262)*SUM(SUM(Parameters!D71)*(1-$E$9),SUM(Parameters!D89)*(1-Calculations_and_Results!$E$25),SUM(Parameters!D107)*(1-$E$41),SUM(Parameters!D125)*(1-Calculations_and_Results!$E$63),SUM(Parameters!D143)*(1-Calculations_and_Results!$E$85)))/$E$109)/$E$111</f>
        <v>1.0836529914318925E-2</v>
      </c>
      <c r="F198" s="50" t="s">
        <v>7</v>
      </c>
    </row>
    <row r="199" spans="1:6" ht="30" customHeight="1" x14ac:dyDescent="0.3">
      <c r="A199" s="191" t="s">
        <v>27</v>
      </c>
      <c r="B199" s="191" t="s">
        <v>250</v>
      </c>
      <c r="C199" s="179" t="s">
        <v>315</v>
      </c>
      <c r="D199" s="194" t="s">
        <v>289</v>
      </c>
      <c r="E199" s="98">
        <f>($E$100*((1-$E$105)*(Parameters!$D$262)*SUM(SUM(Parameters!D72)*(1-$E$9),SUM(Parameters!D90)*(1-Calculations_and_Results!$E$25),SUM(Parameters!D108)*(1-$E$41),SUM(Parameters!D126)*(1-Calculations_and_Results!$E$63),SUM(Parameters!D144)*(1-Calculations_and_Results!$E$85)))/$E$109)/$E$111</f>
        <v>0</v>
      </c>
      <c r="F199" s="50" t="s">
        <v>7</v>
      </c>
    </row>
    <row r="200" spans="1:6" ht="30" customHeight="1" x14ac:dyDescent="0.3">
      <c r="A200" s="191" t="s">
        <v>27</v>
      </c>
      <c r="B200" s="191" t="s">
        <v>250</v>
      </c>
      <c r="C200" s="179" t="s">
        <v>315</v>
      </c>
      <c r="D200" s="50" t="s">
        <v>154</v>
      </c>
      <c r="E200" s="98">
        <f>($E$100*((1-$E$105)*(Parameters!$D$262)*SUM(SUM(Parameters!D73)*(1-$E$9),SUM(Parameters!D91)*(1-Calculations_and_Results!$E$25),SUM(Parameters!D109)*(1-$E$41),SUM(Parameters!D127)*(1-Calculations_and_Results!$E$63),SUM(Parameters!D145)*(1-Calculations_and_Results!$E$85)))/$E$109)/$E$111</f>
        <v>1.4198963514941194E-2</v>
      </c>
      <c r="F200" s="50" t="s">
        <v>7</v>
      </c>
    </row>
    <row r="201" spans="1:6" ht="30" customHeight="1" x14ac:dyDescent="0.3">
      <c r="A201" s="191" t="s">
        <v>27</v>
      </c>
      <c r="B201" s="191" t="s">
        <v>250</v>
      </c>
      <c r="C201" s="179" t="s">
        <v>315</v>
      </c>
      <c r="D201" s="50" t="s">
        <v>156</v>
      </c>
      <c r="E201" s="98">
        <f>($E$100*((1-$E$105)*(Parameters!$D$262)*SUM(SUM(Parameters!D74)*(1-$E$9),SUM(Parameters!D92)*(1-Calculations_and_Results!$E$25),SUM(Parameters!D110)*(1-$E$41),SUM(Parameters!D128)*(1-Calculations_and_Results!$E$63),SUM(Parameters!D146)*(1-Calculations_and_Results!$E$85)))/$E$109)/$E$111</f>
        <v>5.0584614228784526E-2</v>
      </c>
      <c r="F201" s="50" t="s">
        <v>7</v>
      </c>
    </row>
    <row r="202" spans="1:6" ht="30" customHeight="1" x14ac:dyDescent="0.3">
      <c r="A202" s="191" t="s">
        <v>27</v>
      </c>
      <c r="B202" s="191" t="s">
        <v>250</v>
      </c>
      <c r="C202" s="179" t="s">
        <v>315</v>
      </c>
      <c r="D202" s="50" t="s">
        <v>277</v>
      </c>
      <c r="E202" s="98">
        <f>($E$100*((1-$E$105)*(Parameters!$D$262)*SUM(SUM(Parameters!D75)*(1-$E$9),SUM(Parameters!D93)*(1-Calculations_and_Results!$E$25),SUM(Parameters!D111)*(1-$E$41),SUM(Parameters!D129)*(1-Calculations_and_Results!$E$63),SUM(Parameters!D147)*(1-Calculations_and_Results!$E$85)))/$E$109)/$E$111</f>
        <v>0</v>
      </c>
      <c r="F202" s="50" t="s">
        <v>7</v>
      </c>
    </row>
    <row r="203" spans="1:6" ht="30" customHeight="1" x14ac:dyDescent="0.3">
      <c r="A203" s="191" t="s">
        <v>27</v>
      </c>
      <c r="B203" s="191" t="s">
        <v>250</v>
      </c>
      <c r="C203" s="179" t="s">
        <v>315</v>
      </c>
      <c r="D203" s="50" t="s">
        <v>278</v>
      </c>
      <c r="E203" s="98">
        <f>($E$100*((1-$E$105)*(Parameters!$D$262)*SUM(SUM(Parameters!D76)*(1-$E$9),SUM(Parameters!D94)*(1-Calculations_and_Results!$E$25),SUM(Parameters!D112)*(1-$E$41),SUM(Parameters!D130)*(1-Calculations_and_Results!$E$63),SUM(Parameters!D148)*(1-Calculations_and_Results!$E$85)))/$E$109)/$E$111</f>
        <v>0</v>
      </c>
      <c r="F203" s="50" t="s">
        <v>7</v>
      </c>
    </row>
    <row r="204" spans="1:6" ht="30" customHeight="1" x14ac:dyDescent="0.3">
      <c r="A204" s="191" t="s">
        <v>27</v>
      </c>
      <c r="B204" s="191" t="s">
        <v>250</v>
      </c>
      <c r="C204" s="179" t="s">
        <v>315</v>
      </c>
      <c r="D204" s="50" t="s">
        <v>148</v>
      </c>
      <c r="E204" s="98">
        <f>($E$100*((1-$E$105)*(Parameters!$D$262)*SUM(SUM(Parameters!D77)*(1-$E$9),SUM(Parameters!D95)*(1-Calculations_and_Results!$E$25),SUM(Parameters!D113)*(1-$E$41),SUM(Parameters!D131)*(1-Calculations_and_Results!$E$63),SUM(Parameters!D149)*(1-Calculations_and_Results!$E$85)))/$E$109)/$E$111</f>
        <v>2.7868320361646375E-2</v>
      </c>
      <c r="F204" s="50" t="s">
        <v>7</v>
      </c>
    </row>
    <row r="205" spans="1:6" ht="30" customHeight="1" x14ac:dyDescent="0.3">
      <c r="A205" s="191" t="s">
        <v>27</v>
      </c>
      <c r="B205" s="191" t="s">
        <v>250</v>
      </c>
      <c r="C205" s="179" t="s">
        <v>315</v>
      </c>
      <c r="D205" s="187" t="s">
        <v>245</v>
      </c>
      <c r="E205" s="98">
        <f>SUM(E196:E204)</f>
        <v>0.93612692415138343</v>
      </c>
      <c r="F205" s="50" t="str">
        <f>IF(ROUND(SUM(E131),3)=ROUND(E205,3),"PASS", "FAIL")</f>
        <v>PASS</v>
      </c>
    </row>
    <row r="206" spans="1:6" ht="30" customHeight="1" x14ac:dyDescent="0.3">
      <c r="A206" s="191" t="s">
        <v>27</v>
      </c>
      <c r="B206" s="191" t="s">
        <v>250</v>
      </c>
      <c r="C206" s="179" t="s">
        <v>252</v>
      </c>
      <c r="D206" s="50" t="s">
        <v>50</v>
      </c>
      <c r="E206" s="98">
        <f>(($E$100*(1-$E$105)*((Parameters!$D$262)*SUM(Parameters!D78*(1-$E$9),Parameters!D96*(1-Calculations_and_Results!$E$25),Parameters!D114*(1-$E$41),Parameters!D132*(1-Calculations_and_Results!$E$63),Parameters!D150*(1-Calculations_and_Results!$E$85)) + Parameters!D251*Parameters!$D$263))/Calculations_and_Results!$E$109)/$E$111</f>
        <v>0</v>
      </c>
      <c r="F206" s="50" t="s">
        <v>7</v>
      </c>
    </row>
    <row r="207" spans="1:6" ht="30" customHeight="1" x14ac:dyDescent="0.3">
      <c r="A207" s="191" t="s">
        <v>27</v>
      </c>
      <c r="B207" s="191" t="s">
        <v>250</v>
      </c>
      <c r="C207" s="179" t="s">
        <v>252</v>
      </c>
      <c r="D207" s="50" t="s">
        <v>151</v>
      </c>
      <c r="E207" s="98">
        <f>(($E$100*(1-$E$105)*((Parameters!$D$262)*SUM(Parameters!D79*(1-$E$9),Parameters!D97*(1-Calculations_and_Results!$E$25),Parameters!D115*(1-$E$41),Parameters!D133*(1-Calculations_and_Results!$E$63),Parameters!D151*(1-Calculations_and_Results!$E$85)) + Parameters!D252*Parameters!$D$263))/Calculations_and_Results!$E$109)/$E$111</f>
        <v>4.0725285384254611E-3</v>
      </c>
      <c r="F207" s="50" t="s">
        <v>7</v>
      </c>
    </row>
    <row r="208" spans="1:6" ht="30" customHeight="1" x14ac:dyDescent="0.3">
      <c r="A208" s="191" t="s">
        <v>27</v>
      </c>
      <c r="B208" s="191" t="s">
        <v>250</v>
      </c>
      <c r="C208" s="179" t="s">
        <v>252</v>
      </c>
      <c r="D208" s="50" t="s">
        <v>276</v>
      </c>
      <c r="E208" s="98">
        <f>(($E$100*(1-$E$105)*((Parameters!$D$262)*SUM(Parameters!D80*(1-$E$9),Parameters!D98*(1-Calculations_and_Results!$E$25),Parameters!D116*(1-$E$41),Parameters!D134*(1-Calculations_and_Results!$E$63),Parameters!D152*(1-Calculations_and_Results!$E$85)) + Parameters!D253*Parameters!$D$263))/Calculations_and_Results!$E$109)/$E$111</f>
        <v>9.0802503036879731E-5</v>
      </c>
      <c r="F208" s="50" t="s">
        <v>7</v>
      </c>
    </row>
    <row r="209" spans="1:6" ht="30" customHeight="1" x14ac:dyDescent="0.3">
      <c r="A209" s="191" t="s">
        <v>27</v>
      </c>
      <c r="B209" s="191" t="s">
        <v>250</v>
      </c>
      <c r="C209" s="179" t="s">
        <v>252</v>
      </c>
      <c r="D209" s="194" t="s">
        <v>289</v>
      </c>
      <c r="E209" s="98">
        <f>(($E$100*(1-$E$105)*((Parameters!$D$262)*SUM(Parameters!D81*(1-$E$9),Parameters!D99*(1-Calculations_and_Results!$E$25),Parameters!D117*(1-$E$41),Parameters!D135*(1-Calculations_and_Results!$E$63),Parameters!D153*(1-Calculations_and_Results!$E$85)) + Parameters!D254*Parameters!$D$263))/Calculations_and_Results!$E$109)/$E$111</f>
        <v>0</v>
      </c>
      <c r="F209" s="50" t="s">
        <v>7</v>
      </c>
    </row>
    <row r="210" spans="1:6" ht="30" customHeight="1" x14ac:dyDescent="0.3">
      <c r="A210" s="191" t="s">
        <v>27</v>
      </c>
      <c r="B210" s="191" t="s">
        <v>250</v>
      </c>
      <c r="C210" s="179" t="s">
        <v>252</v>
      </c>
      <c r="D210" s="50" t="s">
        <v>154</v>
      </c>
      <c r="E210" s="98">
        <f>(($E$100*(1-$E$105)*((Parameters!$D$262)*SUM(Parameters!D82*(1-$E$9),Parameters!D100*(1-Calculations_and_Results!$E$25),Parameters!D118*(1-$E$41),Parameters!D136*(1-Calculations_and_Results!$E$63),Parameters!D154*(1-Calculations_and_Results!$E$85)) + Parameters!D255*Parameters!$D$263))/Calculations_and_Results!$E$109)/$E$111</f>
        <v>4.5105714776622692E-5</v>
      </c>
      <c r="F210" s="50" t="s">
        <v>7</v>
      </c>
    </row>
    <row r="211" spans="1:6" ht="30" customHeight="1" x14ac:dyDescent="0.3">
      <c r="A211" s="191" t="s">
        <v>27</v>
      </c>
      <c r="B211" s="191" t="s">
        <v>250</v>
      </c>
      <c r="C211" s="179" t="s">
        <v>252</v>
      </c>
      <c r="D211" s="50" t="s">
        <v>156</v>
      </c>
      <c r="E211" s="98">
        <f>(($E$100*(1-$E$105)*((Parameters!$D$262)*SUM(Parameters!D83*(1-$E$9),Parameters!D101*(1-Calculations_and_Results!$E$25),Parameters!D119*(1-$E$41),Parameters!D137*(1-Calculations_and_Results!$E$63),Parameters!D155*(1-Calculations_and_Results!$E$85)) + Parameters!D256*Parameters!$D$263))/Calculations_and_Results!$E$109)/$E$111</f>
        <v>7.1435356814203337E-3</v>
      </c>
      <c r="F211" s="50" t="s">
        <v>7</v>
      </c>
    </row>
    <row r="212" spans="1:6" ht="30" customHeight="1" x14ac:dyDescent="0.3">
      <c r="A212" s="191" t="s">
        <v>27</v>
      </c>
      <c r="B212" s="191" t="s">
        <v>250</v>
      </c>
      <c r="C212" s="179" t="s">
        <v>252</v>
      </c>
      <c r="D212" s="50" t="s">
        <v>277</v>
      </c>
      <c r="E212" s="98">
        <f>(($E$100*(1-$E$105)*((Parameters!$D$262)*SUM(Parameters!D84*(1-$E$9),Parameters!D102*(1-Calculations_and_Results!$E$25),Parameters!D120*(1-$E$41),Parameters!D138*(1-Calculations_and_Results!$E$63),Parameters!D156*(1-Calculations_and_Results!$E$85)) + Parameters!D257*Parameters!$D$263))/Calculations_and_Results!$E$109)/$E$111</f>
        <v>0</v>
      </c>
      <c r="F212" s="50" t="s">
        <v>7</v>
      </c>
    </row>
    <row r="213" spans="1:6" ht="30" customHeight="1" x14ac:dyDescent="0.3">
      <c r="A213" s="191" t="s">
        <v>27</v>
      </c>
      <c r="B213" s="191" t="s">
        <v>250</v>
      </c>
      <c r="C213" s="179" t="s">
        <v>252</v>
      </c>
      <c r="D213" s="50" t="s">
        <v>278</v>
      </c>
      <c r="E213" s="98">
        <f>(($E$100*(1-$E$105)*((Parameters!$D$262)*SUM(Parameters!D85*(1-$E$9),Parameters!D103*(1-Calculations_and_Results!$E$25),Parameters!D121*(1-$E$41),Parameters!D139*(1-Calculations_and_Results!$E$63),Parameters!D157*(1-Calculations_and_Results!$E$85)) + Parameters!D258*Parameters!$D$263))/Calculations_and_Results!$E$109)/$E$111</f>
        <v>0</v>
      </c>
      <c r="F213" s="50" t="s">
        <v>7</v>
      </c>
    </row>
    <row r="214" spans="1:6" ht="30" customHeight="1" x14ac:dyDescent="0.3">
      <c r="A214" s="191" t="s">
        <v>27</v>
      </c>
      <c r="B214" s="191" t="s">
        <v>250</v>
      </c>
      <c r="C214" s="179" t="s">
        <v>252</v>
      </c>
      <c r="D214" s="50" t="s">
        <v>148</v>
      </c>
      <c r="E214" s="98">
        <f>(($E$100*(1-$E$105)*((Parameters!$D$262)*SUM(Parameters!D86*(1-$E$9),Parameters!D104*(1-Calculations_and_Results!$E$25),Parameters!D122*(1-$E$41),Parameters!D140*(1-Calculations_and_Results!$E$63),Parameters!D158*(1-Calculations_and_Results!$E$85)) + Parameters!D259*Parameters!$D$263))/Calculations_and_Results!$E$109)/$E$111</f>
        <v>0</v>
      </c>
      <c r="F214" s="50" t="s">
        <v>7</v>
      </c>
    </row>
    <row r="215" spans="1:6" ht="30" customHeight="1" x14ac:dyDescent="0.3">
      <c r="A215" s="191" t="s">
        <v>27</v>
      </c>
      <c r="B215" s="191" t="s">
        <v>250</v>
      </c>
      <c r="C215" s="179" t="s">
        <v>252</v>
      </c>
      <c r="D215" s="187" t="s">
        <v>245</v>
      </c>
      <c r="E215" s="98">
        <f>SUM(E206:E214)</f>
        <v>1.1351972437659296E-2</v>
      </c>
      <c r="F215" s="50" t="str">
        <f>IF(ROUND(SUM(E132+ E127),3)=ROUND(E215,3),"PASS", "FAIL")</f>
        <v>PASS</v>
      </c>
    </row>
    <row r="216" spans="1:6" ht="30" customHeight="1" x14ac:dyDescent="0.3">
      <c r="A216" s="191" t="s">
        <v>27</v>
      </c>
      <c r="B216" s="191" t="s">
        <v>250</v>
      </c>
      <c r="C216" s="179" t="s">
        <v>253</v>
      </c>
      <c r="D216" s="50" t="s">
        <v>50</v>
      </c>
      <c r="E216" s="98">
        <f>((($E$100 * (1-$E$105)*Parameters!D251*Parameters!D$263))/$E$109)/$E$111</f>
        <v>0</v>
      </c>
      <c r="F216" s="50" t="s">
        <v>7</v>
      </c>
    </row>
    <row r="217" spans="1:6" ht="30" customHeight="1" x14ac:dyDescent="0.3">
      <c r="A217" s="191" t="s">
        <v>27</v>
      </c>
      <c r="B217" s="191" t="s">
        <v>250</v>
      </c>
      <c r="C217" s="179" t="s">
        <v>253</v>
      </c>
      <c r="D217" s="50" t="s">
        <v>151</v>
      </c>
      <c r="E217" s="98">
        <f>((($E$100 * (1-$E$105)*Parameters!D252*Parameters!D$263))/$E$109)/$E$111</f>
        <v>0</v>
      </c>
      <c r="F217" s="50" t="s">
        <v>7</v>
      </c>
    </row>
    <row r="218" spans="1:6" ht="30" customHeight="1" x14ac:dyDescent="0.3">
      <c r="A218" s="191" t="s">
        <v>27</v>
      </c>
      <c r="B218" s="191" t="s">
        <v>250</v>
      </c>
      <c r="C218" s="179" t="s">
        <v>253</v>
      </c>
      <c r="D218" s="50" t="s">
        <v>276</v>
      </c>
      <c r="E218" s="98">
        <f>((($E$100 * (1-$E$105)*Parameters!D253*Parameters!D$263))/$E$109)/$E$111</f>
        <v>0</v>
      </c>
      <c r="F218" s="50" t="s">
        <v>7</v>
      </c>
    </row>
    <row r="219" spans="1:6" ht="30" customHeight="1" x14ac:dyDescent="0.3">
      <c r="A219" s="191" t="s">
        <v>27</v>
      </c>
      <c r="B219" s="191" t="s">
        <v>250</v>
      </c>
      <c r="C219" s="179" t="s">
        <v>253</v>
      </c>
      <c r="D219" s="50" t="s">
        <v>155</v>
      </c>
      <c r="E219" s="98">
        <f>((($E$100 * (1-$E$105)*Parameters!D254*Parameters!D$263))/$E$109)/$E$111</f>
        <v>0</v>
      </c>
      <c r="F219" s="50" t="s">
        <v>7</v>
      </c>
    </row>
    <row r="220" spans="1:6" ht="30" customHeight="1" x14ac:dyDescent="0.3">
      <c r="A220" s="191" t="s">
        <v>27</v>
      </c>
      <c r="B220" s="191" t="s">
        <v>250</v>
      </c>
      <c r="C220" s="179" t="s">
        <v>253</v>
      </c>
      <c r="D220" s="50" t="s">
        <v>154</v>
      </c>
      <c r="E220" s="98">
        <f>((($E$100 * (1-$E$105)*Parameters!D255*Parameters!D$263))/$E$109)/$E$111</f>
        <v>0</v>
      </c>
      <c r="F220" s="50" t="s">
        <v>7</v>
      </c>
    </row>
    <row r="221" spans="1:6" ht="30" customHeight="1" x14ac:dyDescent="0.3">
      <c r="A221" s="191" t="s">
        <v>27</v>
      </c>
      <c r="B221" s="191" t="s">
        <v>250</v>
      </c>
      <c r="C221" s="179" t="s">
        <v>253</v>
      </c>
      <c r="D221" s="50" t="s">
        <v>156</v>
      </c>
      <c r="E221" s="98">
        <f>((($E$100 * (1-$E$105)*Parameters!D256*Parameters!D$263))/$E$109)/$E$111</f>
        <v>0</v>
      </c>
      <c r="F221" s="50" t="s">
        <v>7</v>
      </c>
    </row>
    <row r="222" spans="1:6" ht="30" customHeight="1" x14ac:dyDescent="0.3">
      <c r="A222" s="191" t="s">
        <v>27</v>
      </c>
      <c r="B222" s="191" t="s">
        <v>250</v>
      </c>
      <c r="C222" s="179" t="s">
        <v>253</v>
      </c>
      <c r="D222" s="50" t="s">
        <v>277</v>
      </c>
      <c r="E222" s="98">
        <f>((($E$100 * (1-$E$105)*Parameters!D257*Parameters!D$263))/$E$109)/$E$111</f>
        <v>0</v>
      </c>
      <c r="F222" s="50" t="s">
        <v>7</v>
      </c>
    </row>
    <row r="223" spans="1:6" ht="30" customHeight="1" x14ac:dyDescent="0.3">
      <c r="A223" s="191" t="s">
        <v>27</v>
      </c>
      <c r="B223" s="191" t="s">
        <v>250</v>
      </c>
      <c r="C223" s="179" t="s">
        <v>253</v>
      </c>
      <c r="D223" s="50" t="s">
        <v>278</v>
      </c>
      <c r="E223" s="98">
        <f>((($E$100 * (1-$E$105)*Parameters!D258*Parameters!D$263))/$E$109)/$E$111</f>
        <v>0</v>
      </c>
      <c r="F223" s="50" t="s">
        <v>7</v>
      </c>
    </row>
    <row r="224" spans="1:6" ht="30" customHeight="1" x14ac:dyDescent="0.3">
      <c r="A224" s="191" t="s">
        <v>27</v>
      </c>
      <c r="B224" s="191" t="s">
        <v>250</v>
      </c>
      <c r="C224" s="179" t="s">
        <v>253</v>
      </c>
      <c r="D224" s="50" t="s">
        <v>148</v>
      </c>
      <c r="E224" s="98">
        <f>((($E$100 * (1-$E$105)*Parameters!D259*Parameters!D$263))/$E$109)/$E$111</f>
        <v>0</v>
      </c>
      <c r="F224" s="50" t="s">
        <v>7</v>
      </c>
    </row>
    <row r="225" spans="1:8" ht="30" customHeight="1" x14ac:dyDescent="0.3">
      <c r="A225" s="191" t="s">
        <v>27</v>
      </c>
      <c r="B225" s="191" t="s">
        <v>250</v>
      </c>
      <c r="C225" s="179" t="s">
        <v>253</v>
      </c>
      <c r="D225" s="187" t="s">
        <v>245</v>
      </c>
      <c r="E225" s="98">
        <f>SUM(E216:E224)</f>
        <v>0</v>
      </c>
      <c r="F225" s="50" t="str">
        <f>IF(ROUND(SUM(E127),3)=ROUND(E225,3),"PASS", "FAIL")</f>
        <v>PASS</v>
      </c>
    </row>
    <row r="226" spans="1:8" ht="30" customHeight="1" x14ac:dyDescent="0.3">
      <c r="A226" s="191" t="s">
        <v>27</v>
      </c>
      <c r="B226" s="191" t="s">
        <v>250</v>
      </c>
      <c r="C226" s="179" t="s">
        <v>254</v>
      </c>
      <c r="D226" s="50" t="s">
        <v>50</v>
      </c>
      <c r="E226" s="98">
        <f>($E$100*((1-$E$105)*(Parameters!$D$262)*SUM(SUM(Parameters!D$78)*(1-$E$9),SUM(Parameters!D$96)*(1-Calculations_and_Results!$E$25),SUM(Parameters!D$114)*(1-$E$41),SUM(Parameters!D$132)*(1-Calculations_and_Results!$E$63),SUM(Parameters!D$150)*(1-Calculations_and_Results!$E$85)))/$E$109)/$E$111</f>
        <v>0</v>
      </c>
      <c r="F226" s="50" t="s">
        <v>7</v>
      </c>
    </row>
    <row r="227" spans="1:8" ht="30" customHeight="1" x14ac:dyDescent="0.3">
      <c r="A227" s="191" t="s">
        <v>27</v>
      </c>
      <c r="B227" s="191" t="s">
        <v>250</v>
      </c>
      <c r="C227" s="179" t="s">
        <v>254</v>
      </c>
      <c r="D227" s="50" t="s">
        <v>151</v>
      </c>
      <c r="E227" s="98">
        <f>($E$100*((1-$E$105)*(Parameters!$D$262)*SUM(SUM(Parameters!D79)*(1-$E$9),SUM(Parameters!D97)*(1-Calculations_and_Results!$E$25),SUM(Parameters!D115)*(1-$E$41),SUM(Parameters!D133)*(1-Calculations_and_Results!$E$63),SUM(Parameters!D151)*(1-Calculations_and_Results!$E$85)))/$E$109)/$E$111</f>
        <v>4.0725285384254611E-3</v>
      </c>
      <c r="F227" s="50" t="s">
        <v>7</v>
      </c>
    </row>
    <row r="228" spans="1:8" ht="30" customHeight="1" x14ac:dyDescent="0.3">
      <c r="A228" s="191" t="s">
        <v>27</v>
      </c>
      <c r="B228" s="191" t="s">
        <v>250</v>
      </c>
      <c r="C228" s="179" t="s">
        <v>254</v>
      </c>
      <c r="D228" s="50" t="s">
        <v>276</v>
      </c>
      <c r="E228" s="98">
        <f>($E$100*((1-$E$105)*(Parameters!$D$262)*SUM(SUM(Parameters!D80)*(1-$E$9),SUM(Parameters!D98)*(1-Calculations_and_Results!$E$25),SUM(Parameters!D116)*(1-$E$41),SUM(Parameters!D134)*(1-Calculations_and_Results!$E$63),SUM(Parameters!D152)*(1-Calculations_and_Results!$E$85)))/$E$109)/$E$111</f>
        <v>9.0802503036879731E-5</v>
      </c>
      <c r="F228" s="50" t="s">
        <v>7</v>
      </c>
    </row>
    <row r="229" spans="1:8" ht="30" customHeight="1" x14ac:dyDescent="0.3">
      <c r="A229" s="191" t="s">
        <v>27</v>
      </c>
      <c r="B229" s="191" t="s">
        <v>250</v>
      </c>
      <c r="C229" s="179" t="s">
        <v>254</v>
      </c>
      <c r="D229" s="194" t="s">
        <v>289</v>
      </c>
      <c r="E229" s="98">
        <f>($E$100*((1-$E$105)*(Parameters!$D$262)*SUM(SUM(Parameters!D81)*(1-$E$9),SUM(Parameters!D99)*(1-Calculations_and_Results!$E$25),SUM(Parameters!D117)*(1-$E$41),SUM(Parameters!D135)*(1-Calculations_and_Results!$E$63),SUM(Parameters!D153)*(1-Calculations_and_Results!$E$85)))/$E$109)/$E$111</f>
        <v>0</v>
      </c>
      <c r="F229" s="50" t="s">
        <v>7</v>
      </c>
    </row>
    <row r="230" spans="1:8" ht="30" customHeight="1" x14ac:dyDescent="0.3">
      <c r="A230" s="191" t="s">
        <v>27</v>
      </c>
      <c r="B230" s="191" t="s">
        <v>250</v>
      </c>
      <c r="C230" s="179" t="s">
        <v>254</v>
      </c>
      <c r="D230" s="50" t="s">
        <v>154</v>
      </c>
      <c r="E230" s="98">
        <f>($E$100*((1-$E$105)*(Parameters!$D$262)*SUM(SUM(Parameters!D82)*(1-$E$9),SUM(Parameters!D100)*(1-Calculations_and_Results!$E$25),SUM(Parameters!D118)*(1-$E$41),SUM(Parameters!D136)*(1-Calculations_and_Results!$E$63),SUM(Parameters!D154)*(1-Calculations_and_Results!$E$85)))/$E$109)/$E$111</f>
        <v>4.5105714776622692E-5</v>
      </c>
      <c r="F230" s="50" t="s">
        <v>7</v>
      </c>
    </row>
    <row r="231" spans="1:8" ht="30" customHeight="1" x14ac:dyDescent="0.3">
      <c r="A231" s="191" t="s">
        <v>27</v>
      </c>
      <c r="B231" s="191" t="s">
        <v>250</v>
      </c>
      <c r="C231" s="179" t="s">
        <v>254</v>
      </c>
      <c r="D231" s="50" t="s">
        <v>156</v>
      </c>
      <c r="E231" s="98">
        <f>($E$100*((1-$E$105)*(Parameters!$D$262)*SUM(SUM(Parameters!D83)*(1-$E$9),SUM(Parameters!D101)*(1-Calculations_and_Results!$E$25),SUM(Parameters!D119)*(1-$E$41),SUM(Parameters!D137)*(1-Calculations_and_Results!$E$63),SUM(Parameters!D155)*(1-Calculations_and_Results!$E$85)))/$E$109)/$E$111</f>
        <v>7.1435356814203337E-3</v>
      </c>
      <c r="F231" s="50" t="s">
        <v>7</v>
      </c>
      <c r="H231" s="139"/>
    </row>
    <row r="232" spans="1:8" ht="30" customHeight="1" x14ac:dyDescent="0.3">
      <c r="A232" s="191" t="s">
        <v>27</v>
      </c>
      <c r="B232" s="191" t="s">
        <v>250</v>
      </c>
      <c r="C232" s="179" t="s">
        <v>254</v>
      </c>
      <c r="D232" s="50" t="s">
        <v>277</v>
      </c>
      <c r="E232" s="98">
        <f>($E$100*((1-$E$105)*(Parameters!$D$262)*SUM(SUM(Parameters!D84)*(1-$E$9),SUM(Parameters!D102)*(1-Calculations_and_Results!$E$25),SUM(Parameters!D120)*(1-$E$41),SUM(Parameters!D138)*(1-Calculations_and_Results!$E$63),SUM(Parameters!D156)*(1-Calculations_and_Results!$E$85)))/$E$109)/$E$111</f>
        <v>0</v>
      </c>
      <c r="F232" s="50" t="s">
        <v>7</v>
      </c>
      <c r="H232" s="139"/>
    </row>
    <row r="233" spans="1:8" ht="30" customHeight="1" x14ac:dyDescent="0.3">
      <c r="A233" s="191" t="s">
        <v>27</v>
      </c>
      <c r="B233" s="191" t="s">
        <v>250</v>
      </c>
      <c r="C233" s="179" t="s">
        <v>254</v>
      </c>
      <c r="D233" s="50" t="s">
        <v>278</v>
      </c>
      <c r="E233" s="98">
        <f>($E$100*((1-$E$105)*(Parameters!$D$262)*SUM(SUM(Parameters!D85)*(1-$E$9),SUM(Parameters!D103)*(1-Calculations_and_Results!$E$25),SUM(Parameters!D121)*(1-$E$41),SUM(Parameters!D139)*(1-Calculations_and_Results!$E$63),SUM(Parameters!D157)*(1-Calculations_and_Results!$E$85)))/$E$109)/$E$111</f>
        <v>0</v>
      </c>
      <c r="F233" s="50" t="s">
        <v>7</v>
      </c>
      <c r="H233" s="139"/>
    </row>
    <row r="234" spans="1:8" ht="30" customHeight="1" x14ac:dyDescent="0.3">
      <c r="A234" s="191" t="s">
        <v>27</v>
      </c>
      <c r="B234" s="191" t="s">
        <v>250</v>
      </c>
      <c r="C234" s="179" t="s">
        <v>254</v>
      </c>
      <c r="D234" s="50" t="s">
        <v>148</v>
      </c>
      <c r="E234" s="98">
        <f>($E$100*((1-$E$105)*(Parameters!$D$262)*SUM(SUM(Parameters!D86)*(1-$E$9),SUM(Parameters!D104)*(1-Calculations_and_Results!$E$25),SUM(Parameters!D122)*(1-$E$41),SUM(Parameters!D140)*(1-Calculations_and_Results!$E$63),SUM(Parameters!D158)*(1-Calculations_and_Results!$E$85)))/$E$109)/$E$111</f>
        <v>0</v>
      </c>
      <c r="F234" s="50" t="s">
        <v>7</v>
      </c>
      <c r="H234" s="139"/>
    </row>
    <row r="235" spans="1:8" ht="30" customHeight="1" x14ac:dyDescent="0.3">
      <c r="A235" s="191" t="s">
        <v>27</v>
      </c>
      <c r="B235" s="191" t="s">
        <v>250</v>
      </c>
      <c r="C235" s="179" t="s">
        <v>254</v>
      </c>
      <c r="D235" s="187" t="s">
        <v>245</v>
      </c>
      <c r="E235" s="98">
        <f>SUM(E226:E234)</f>
        <v>1.1351972437659296E-2</v>
      </c>
      <c r="F235" s="50" t="str">
        <f>IF(ROUND(SUM(E132),3)=ROUND(E235,3),"PASS", "FAIL")</f>
        <v>PASS</v>
      </c>
      <c r="H235" s="139"/>
    </row>
    <row r="236" spans="1:8" ht="30" customHeight="1" x14ac:dyDescent="0.4">
      <c r="A236" s="191" t="s">
        <v>246</v>
      </c>
      <c r="B236" s="182" t="s">
        <v>244</v>
      </c>
      <c r="C236" s="187" t="s">
        <v>279</v>
      </c>
      <c r="D236" s="50" t="s">
        <v>296</v>
      </c>
      <c r="E236" s="193">
        <f>SUM(Parameters!D236:D250) *Parameters!D263</f>
        <v>0</v>
      </c>
      <c r="F236" s="50" t="s">
        <v>7</v>
      </c>
    </row>
    <row r="237" spans="1:8" ht="30" customHeight="1" x14ac:dyDescent="0.4">
      <c r="A237" s="191" t="s">
        <v>246</v>
      </c>
      <c r="B237" s="182" t="s">
        <v>244</v>
      </c>
      <c r="C237" s="187" t="s">
        <v>279</v>
      </c>
      <c r="D237" s="50" t="s">
        <v>273</v>
      </c>
      <c r="E237" s="193">
        <f>SUM(Parameters!D159:D233) *Parameters!D263</f>
        <v>0</v>
      </c>
      <c r="F237" s="50" t="s">
        <v>7</v>
      </c>
    </row>
    <row r="238" spans="1:8" ht="30" customHeight="1" x14ac:dyDescent="0.4">
      <c r="A238" s="191" t="s">
        <v>246</v>
      </c>
      <c r="B238" s="182" t="s">
        <v>244</v>
      </c>
      <c r="C238" s="187" t="s">
        <v>279</v>
      </c>
      <c r="D238" s="187" t="s">
        <v>245</v>
      </c>
      <c r="E238" s="193">
        <f>SUM(E236:E237)</f>
        <v>0</v>
      </c>
      <c r="F238" s="50" t="str">
        <f>IF(ROUND(E238,3)=ROUND(Parameters!D263*SUM(Parameters!D236:D250,Parameters!D159:D233),3), "PASS", "FAIL")</f>
        <v>PASS</v>
      </c>
    </row>
    <row r="239" spans="1:8" ht="30" customHeight="1" x14ac:dyDescent="0.4">
      <c r="A239" s="191" t="s">
        <v>27</v>
      </c>
      <c r="B239" s="182" t="s">
        <v>244</v>
      </c>
      <c r="C239" s="187" t="s">
        <v>279</v>
      </c>
      <c r="D239" s="50" t="s">
        <v>296</v>
      </c>
      <c r="E239" s="193" t="e">
        <f>E236/SUM(E236:E237)</f>
        <v>#DIV/0!</v>
      </c>
      <c r="F239" s="50" t="s">
        <v>7</v>
      </c>
    </row>
    <row r="240" spans="1:8" ht="30" customHeight="1" x14ac:dyDescent="0.4">
      <c r="A240" s="191" t="s">
        <v>27</v>
      </c>
      <c r="B240" s="182" t="s">
        <v>244</v>
      </c>
      <c r="C240" s="187" t="s">
        <v>279</v>
      </c>
      <c r="D240" s="50" t="s">
        <v>273</v>
      </c>
      <c r="E240" s="193" t="e">
        <f>E237/SUM(E236:E237)</f>
        <v>#DIV/0!</v>
      </c>
      <c r="F240" s="50" t="s">
        <v>7</v>
      </c>
    </row>
    <row r="241" spans="1:9" ht="30" customHeight="1" x14ac:dyDescent="0.4">
      <c r="A241" s="191" t="s">
        <v>27</v>
      </c>
      <c r="B241" s="182" t="s">
        <v>244</v>
      </c>
      <c r="C241" s="187" t="s">
        <v>279</v>
      </c>
      <c r="D241" s="187" t="s">
        <v>245</v>
      </c>
      <c r="E241" s="193" t="e">
        <f>SUM(E239:E240)</f>
        <v>#DIV/0!</v>
      </c>
      <c r="F241" s="50" t="e">
        <f>IF(ROUND(E241,3)=ROUND(1,3),"PASS", "FAIL")</f>
        <v>#DIV/0!</v>
      </c>
    </row>
    <row r="242" spans="1:9" ht="30" customHeight="1" x14ac:dyDescent="0.3">
      <c r="A242" s="191" t="s">
        <v>27</v>
      </c>
      <c r="B242" s="179" t="s">
        <v>249</v>
      </c>
      <c r="C242" s="191" t="s">
        <v>280</v>
      </c>
      <c r="D242" s="194" t="s">
        <v>231</v>
      </c>
      <c r="E242" s="195">
        <f>Parameters!$D$263*SUM(Parameters!D159*(1-Parameters!$D$56),Parameters!D174*(1-Parameters!$D$57),Parameters!D189*(1-Parameters!$D$58),Parameters!D204*(1-Parameters!$D$59),Parameters!D219*(1-Parameters!$D$60),Parameters!D236)/$E$108</f>
        <v>0</v>
      </c>
      <c r="F242" s="50" t="s">
        <v>7</v>
      </c>
      <c r="H242" s="50"/>
    </row>
    <row r="243" spans="1:9" ht="30" customHeight="1" x14ac:dyDescent="0.3">
      <c r="A243" s="191" t="s">
        <v>27</v>
      </c>
      <c r="B243" s="179" t="s">
        <v>249</v>
      </c>
      <c r="C243" s="191" t="s">
        <v>280</v>
      </c>
      <c r="D243" s="194" t="s">
        <v>283</v>
      </c>
      <c r="E243" s="195">
        <f>Parameters!$D$263*SUM(Parameters!D160*(1-Parameters!$D$56),Parameters!D175*(1-Parameters!$D$57),Parameters!D190*(1-Parameters!$D$58),Parameters!D205*(1-Parameters!$D$59),Parameters!D220*(1-Parameters!$D$60),Parameters!D237)/$E$108</f>
        <v>0</v>
      </c>
      <c r="F243" s="50" t="s">
        <v>7</v>
      </c>
      <c r="H243" s="50"/>
    </row>
    <row r="244" spans="1:9" ht="30" customHeight="1" x14ac:dyDescent="0.3">
      <c r="A244" s="191" t="s">
        <v>27</v>
      </c>
      <c r="B244" s="179" t="s">
        <v>249</v>
      </c>
      <c r="C244" s="191" t="s">
        <v>280</v>
      </c>
      <c r="D244" s="194" t="s">
        <v>232</v>
      </c>
      <c r="E244" s="195">
        <f>Parameters!$D$263*SUM(Parameters!D161*(1-Parameters!$D$56),Parameters!D176*(1-Parameters!$D$57),Parameters!D191*(1-Parameters!$D$58),Parameters!D206*(1-Parameters!$D$59),Parameters!D221*(1-Parameters!$D$60),Parameters!D238)/$E$108</f>
        <v>0</v>
      </c>
      <c r="F244" s="50" t="s">
        <v>7</v>
      </c>
      <c r="H244" s="50"/>
    </row>
    <row r="245" spans="1:9" ht="30" customHeight="1" x14ac:dyDescent="0.3">
      <c r="A245" s="191" t="s">
        <v>27</v>
      </c>
      <c r="B245" s="179" t="s">
        <v>249</v>
      </c>
      <c r="C245" s="191" t="s">
        <v>280</v>
      </c>
      <c r="D245" s="194" t="s">
        <v>284</v>
      </c>
      <c r="E245" s="195">
        <f>Parameters!$D$263*SUM(Parameters!D162*(1-Parameters!$D$56),Parameters!D177*(1-Parameters!$D$57),Parameters!D192*(1-Parameters!$D$58),Parameters!D207*(1-Parameters!$D$59),Parameters!D222*(1-Parameters!$D$60),Parameters!D239)/$E$108</f>
        <v>0</v>
      </c>
      <c r="F245" s="50" t="s">
        <v>7</v>
      </c>
      <c r="H245" s="50"/>
    </row>
    <row r="246" spans="1:9" ht="30" customHeight="1" x14ac:dyDescent="0.3">
      <c r="A246" s="191" t="s">
        <v>27</v>
      </c>
      <c r="B246" s="179" t="s">
        <v>249</v>
      </c>
      <c r="C246" s="191" t="s">
        <v>280</v>
      </c>
      <c r="D246" s="194" t="s">
        <v>285</v>
      </c>
      <c r="E246" s="195">
        <f>Parameters!$D$263*SUM(Parameters!D163*(1-Parameters!$D$56),Parameters!D178*(1-Parameters!$D$57),Parameters!D193*(1-Parameters!$D$58),Parameters!D208*(1-Parameters!$D$59),Parameters!D223*(1-Parameters!$D$60),Parameters!D240)/$E$108</f>
        <v>0</v>
      </c>
      <c r="F246" s="50" t="s">
        <v>7</v>
      </c>
      <c r="H246" s="50"/>
    </row>
    <row r="247" spans="1:9" ht="30" customHeight="1" x14ac:dyDescent="0.3">
      <c r="A247" s="191" t="s">
        <v>27</v>
      </c>
      <c r="B247" s="179" t="s">
        <v>249</v>
      </c>
      <c r="C247" s="191" t="s">
        <v>280</v>
      </c>
      <c r="D247" s="194" t="s">
        <v>286</v>
      </c>
      <c r="E247" s="195">
        <f>Parameters!$D$263*SUM(Parameters!D164*(1-Parameters!$D$56),Parameters!D179*(1-Parameters!$D$57),Parameters!D194*(1-Parameters!$D$58),Parameters!D209*(1-Parameters!$D$59),Parameters!D224*(1-Parameters!$D$60),Parameters!D241)/$E$108</f>
        <v>0</v>
      </c>
      <c r="F247" s="50" t="s">
        <v>7</v>
      </c>
      <c r="H247" s="50"/>
    </row>
    <row r="248" spans="1:9" ht="30" customHeight="1" x14ac:dyDescent="0.3">
      <c r="A248" s="191" t="s">
        <v>27</v>
      </c>
      <c r="B248" s="179" t="s">
        <v>249</v>
      </c>
      <c r="C248" s="191" t="s">
        <v>280</v>
      </c>
      <c r="D248" s="194" t="s">
        <v>287</v>
      </c>
      <c r="E248" s="195">
        <f>Parameters!$D$263*SUM(Parameters!D165*(1-Parameters!$D$56),Parameters!D180*(1-Parameters!$D$57),Parameters!D195*(1-Parameters!$D$58),Parameters!D210*(1-Parameters!$D$59),Parameters!D225*(1-Parameters!$D$60),Parameters!D242)/$E$108</f>
        <v>0</v>
      </c>
      <c r="F248" s="50" t="s">
        <v>7</v>
      </c>
      <c r="H248" s="50"/>
    </row>
    <row r="249" spans="1:9" ht="30" customHeight="1" x14ac:dyDescent="0.3">
      <c r="A249" s="191" t="s">
        <v>27</v>
      </c>
      <c r="B249" s="179" t="s">
        <v>249</v>
      </c>
      <c r="C249" s="191" t="s">
        <v>280</v>
      </c>
      <c r="D249" s="194" t="s">
        <v>288</v>
      </c>
      <c r="E249" s="195">
        <f>Parameters!$D$263*SUM(Parameters!D166*(1-Parameters!$D$56),Parameters!D181*(1-Parameters!$D$57),Parameters!D196*(1-Parameters!$D$58),Parameters!D211*(1-Parameters!$D$59),Parameters!D226*(1-Parameters!$D$60),Parameters!D243)/$E$108</f>
        <v>0</v>
      </c>
      <c r="F249" s="50" t="s">
        <v>7</v>
      </c>
      <c r="H249" s="10"/>
    </row>
    <row r="250" spans="1:9" ht="30" customHeight="1" x14ac:dyDescent="0.3">
      <c r="A250" s="191" t="s">
        <v>27</v>
      </c>
      <c r="B250" s="179" t="s">
        <v>249</v>
      </c>
      <c r="C250" s="191" t="s">
        <v>280</v>
      </c>
      <c r="D250" s="194" t="s">
        <v>289</v>
      </c>
      <c r="E250" s="195">
        <f>Parameters!$D$263*SUM(Parameters!D167*(1-Parameters!$D$56),Parameters!D182*(1-Parameters!$D$57),Parameters!D197*(1-Parameters!$D$58),Parameters!D212*(1-Parameters!$D$59),Parameters!D227*(1-Parameters!$D$60),Parameters!D244)/$E$108</f>
        <v>0</v>
      </c>
      <c r="F250" s="50" t="s">
        <v>7</v>
      </c>
    </row>
    <row r="251" spans="1:9" ht="30" customHeight="1" x14ac:dyDescent="0.3">
      <c r="A251" s="191" t="s">
        <v>27</v>
      </c>
      <c r="B251" s="179" t="s">
        <v>249</v>
      </c>
      <c r="C251" s="191" t="s">
        <v>280</v>
      </c>
      <c r="D251" s="194" t="s">
        <v>290</v>
      </c>
      <c r="E251" s="195">
        <f>Parameters!$D$263*SUM(Parameters!D168*(1-Parameters!$D$56),Parameters!D183*(1-Parameters!$D$57),Parameters!D198*(1-Parameters!$D$58),Parameters!D213*(1-Parameters!$D$59),Parameters!D228*(1-Parameters!$D$60),Parameters!D245)/$E$108</f>
        <v>0</v>
      </c>
      <c r="F251" s="50" t="s">
        <v>7</v>
      </c>
    </row>
    <row r="252" spans="1:9" ht="30" customHeight="1" x14ac:dyDescent="0.3">
      <c r="A252" s="191" t="s">
        <v>27</v>
      </c>
      <c r="B252" s="179" t="s">
        <v>249</v>
      </c>
      <c r="C252" s="191" t="s">
        <v>280</v>
      </c>
      <c r="D252" s="194" t="s">
        <v>291</v>
      </c>
      <c r="E252" s="195">
        <f>Parameters!$D$263*SUM(Parameters!D169*(1-Parameters!$D$56),Parameters!D184*(1-Parameters!$D$57),Parameters!D199*(1-Parameters!$D$58),Parameters!D214*(1-Parameters!$D$59),Parameters!D229*(1-Parameters!$D$60),Parameters!D246)/$E$108</f>
        <v>0</v>
      </c>
      <c r="F252" s="50" t="s">
        <v>7</v>
      </c>
    </row>
    <row r="253" spans="1:9" ht="30" customHeight="1" x14ac:dyDescent="0.3">
      <c r="A253" s="191" t="s">
        <v>27</v>
      </c>
      <c r="B253" s="179" t="s">
        <v>249</v>
      </c>
      <c r="C253" s="191" t="s">
        <v>280</v>
      </c>
      <c r="D253" s="194" t="s">
        <v>233</v>
      </c>
      <c r="E253" s="195">
        <f>Parameters!$D$263*SUM(Parameters!D170*(1-Parameters!$D$56),Parameters!D185*(1-Parameters!$D$57),Parameters!D200*(1-Parameters!$D$58),Parameters!D215*(1-Parameters!$D$59),Parameters!D230*(1-Parameters!$D$60),Parameters!D247)/$E$108</f>
        <v>0</v>
      </c>
      <c r="F253" s="50" t="s">
        <v>7</v>
      </c>
    </row>
    <row r="254" spans="1:9" ht="30" customHeight="1" x14ac:dyDescent="0.3">
      <c r="A254" s="191" t="s">
        <v>27</v>
      </c>
      <c r="B254" s="179" t="s">
        <v>249</v>
      </c>
      <c r="C254" s="191" t="s">
        <v>280</v>
      </c>
      <c r="D254" s="194" t="s">
        <v>292</v>
      </c>
      <c r="E254" s="195">
        <f>Parameters!$D$263*SUM(Parameters!D171*(1-Parameters!$D$56),Parameters!D186*(1-Parameters!$D$57),Parameters!D201*(1-Parameters!$D$58),Parameters!D216*(1-Parameters!$D$59),Parameters!D231*(1-Parameters!$D$60),Parameters!D248)/$E$108</f>
        <v>0</v>
      </c>
      <c r="F254" s="50" t="s">
        <v>7</v>
      </c>
    </row>
    <row r="255" spans="1:9" ht="30" customHeight="1" x14ac:dyDescent="0.3">
      <c r="A255" s="191" t="s">
        <v>27</v>
      </c>
      <c r="B255" s="179" t="s">
        <v>249</v>
      </c>
      <c r="C255" s="191" t="s">
        <v>280</v>
      </c>
      <c r="D255" s="194" t="s">
        <v>293</v>
      </c>
      <c r="E255" s="195">
        <f>Parameters!$D$263*SUM(Parameters!D172*(1-Parameters!$D$56),Parameters!D187*(1-Parameters!$D$57),Parameters!D202*(1-Parameters!$D$58),Parameters!D217*(1-Parameters!$D$59),Parameters!D232*(1-Parameters!$D$60),Parameters!D249)/$E$108</f>
        <v>0</v>
      </c>
      <c r="F255" s="50" t="s">
        <v>7</v>
      </c>
      <c r="I255" s="44"/>
    </row>
    <row r="256" spans="1:9" ht="30" customHeight="1" x14ac:dyDescent="0.3">
      <c r="A256" s="191" t="s">
        <v>27</v>
      </c>
      <c r="B256" s="179" t="s">
        <v>249</v>
      </c>
      <c r="C256" s="191" t="s">
        <v>280</v>
      </c>
      <c r="D256" s="194" t="s">
        <v>294</v>
      </c>
      <c r="E256" s="195">
        <f>Parameters!$D$263*SUM(Parameters!D173*(1-Parameters!$D$56),Parameters!D188*(1-Parameters!$D$57),Parameters!D203*(1-Parameters!$D$58),Parameters!D218*(1-Parameters!$D$59),Parameters!D233*(1-Parameters!$D$60),Parameters!D250)/$E$108</f>
        <v>0</v>
      </c>
      <c r="F256" s="50" t="s">
        <v>7</v>
      </c>
    </row>
    <row r="257" spans="1:6" ht="30" customHeight="1" x14ac:dyDescent="0.3">
      <c r="A257" s="191" t="s">
        <v>27</v>
      </c>
      <c r="B257" s="179" t="s">
        <v>249</v>
      </c>
      <c r="C257" s="191" t="s">
        <v>280</v>
      </c>
      <c r="D257" s="187" t="s">
        <v>245</v>
      </c>
      <c r="E257" s="195">
        <f>SUM(E242:E256)</f>
        <v>0</v>
      </c>
      <c r="F257" s="50" t="str">
        <f>IF(ROUND(E257,3)=ROUND(SUM(E114,E119),3), "PASS","FAIL")</f>
        <v>PASS</v>
      </c>
    </row>
    <row r="258" spans="1:6" ht="30" customHeight="1" x14ac:dyDescent="0.3">
      <c r="A258" s="191" t="s">
        <v>27</v>
      </c>
      <c r="B258" s="179" t="s">
        <v>249</v>
      </c>
      <c r="C258" s="194" t="s">
        <v>281</v>
      </c>
      <c r="D258" s="194" t="s">
        <v>231</v>
      </c>
      <c r="E258" s="195">
        <f>Parameters!$D$263*SUM(Parameters!D236)/$E$108</f>
        <v>0</v>
      </c>
      <c r="F258" s="50" t="s">
        <v>7</v>
      </c>
    </row>
    <row r="259" spans="1:6" ht="30" customHeight="1" x14ac:dyDescent="0.3">
      <c r="A259" s="191" t="s">
        <v>27</v>
      </c>
      <c r="B259" s="179" t="s">
        <v>249</v>
      </c>
      <c r="C259" s="194" t="s">
        <v>281</v>
      </c>
      <c r="D259" s="194" t="s">
        <v>283</v>
      </c>
      <c r="E259" s="195">
        <f>Parameters!$D$263*SUM(Parameters!D237)/$E$108</f>
        <v>0</v>
      </c>
      <c r="F259" s="50" t="s">
        <v>7</v>
      </c>
    </row>
    <row r="260" spans="1:6" ht="30" customHeight="1" x14ac:dyDescent="0.3">
      <c r="A260" s="191" t="s">
        <v>27</v>
      </c>
      <c r="B260" s="179" t="s">
        <v>249</v>
      </c>
      <c r="C260" s="194" t="s">
        <v>281</v>
      </c>
      <c r="D260" s="194" t="s">
        <v>232</v>
      </c>
      <c r="E260" s="195">
        <f>Parameters!$D$263*SUM(Parameters!D238)/$E$108</f>
        <v>0</v>
      </c>
      <c r="F260" s="50" t="s">
        <v>7</v>
      </c>
    </row>
    <row r="261" spans="1:6" ht="30" customHeight="1" x14ac:dyDescent="0.3">
      <c r="A261" s="191" t="s">
        <v>27</v>
      </c>
      <c r="B261" s="179" t="s">
        <v>249</v>
      </c>
      <c r="C261" s="194" t="s">
        <v>281</v>
      </c>
      <c r="D261" s="194" t="s">
        <v>284</v>
      </c>
      <c r="E261" s="195">
        <f>Parameters!$D$263*SUM(Parameters!D239)/$E$108</f>
        <v>0</v>
      </c>
      <c r="F261" s="50" t="s">
        <v>7</v>
      </c>
    </row>
    <row r="262" spans="1:6" ht="30" customHeight="1" x14ac:dyDescent="0.3">
      <c r="A262" s="191" t="s">
        <v>27</v>
      </c>
      <c r="B262" s="179" t="s">
        <v>249</v>
      </c>
      <c r="C262" s="194" t="s">
        <v>281</v>
      </c>
      <c r="D262" s="194" t="s">
        <v>285</v>
      </c>
      <c r="E262" s="195">
        <f>Parameters!$D$263*SUM(Parameters!D240)/$E$108</f>
        <v>0</v>
      </c>
      <c r="F262" s="50" t="s">
        <v>7</v>
      </c>
    </row>
    <row r="263" spans="1:6" ht="30" customHeight="1" x14ac:dyDescent="0.3">
      <c r="A263" s="191" t="s">
        <v>27</v>
      </c>
      <c r="B263" s="179" t="s">
        <v>249</v>
      </c>
      <c r="C263" s="194" t="s">
        <v>281</v>
      </c>
      <c r="D263" s="194" t="s">
        <v>286</v>
      </c>
      <c r="E263" s="195">
        <f>Parameters!$D$263*SUM(Parameters!D241)/$E$108</f>
        <v>0</v>
      </c>
      <c r="F263" s="50" t="s">
        <v>7</v>
      </c>
    </row>
    <row r="264" spans="1:6" ht="30" customHeight="1" x14ac:dyDescent="0.3">
      <c r="A264" s="191" t="s">
        <v>27</v>
      </c>
      <c r="B264" s="179" t="s">
        <v>249</v>
      </c>
      <c r="C264" s="194" t="s">
        <v>281</v>
      </c>
      <c r="D264" s="194" t="s">
        <v>287</v>
      </c>
      <c r="E264" s="195">
        <f>Parameters!$D$263*SUM(Parameters!D242)/$E$108</f>
        <v>0</v>
      </c>
      <c r="F264" s="50" t="s">
        <v>7</v>
      </c>
    </row>
    <row r="265" spans="1:6" s="20" customFormat="1" ht="30" customHeight="1" x14ac:dyDescent="0.3">
      <c r="A265" s="191" t="s">
        <v>27</v>
      </c>
      <c r="B265" s="179" t="s">
        <v>249</v>
      </c>
      <c r="C265" s="194" t="s">
        <v>281</v>
      </c>
      <c r="D265" s="194" t="s">
        <v>288</v>
      </c>
      <c r="E265" s="195">
        <f>Parameters!$D$263*SUM(Parameters!D243)/$E$108</f>
        <v>0</v>
      </c>
      <c r="F265" s="50" t="s">
        <v>7</v>
      </c>
    </row>
    <row r="266" spans="1:6" s="20" customFormat="1" ht="30" customHeight="1" x14ac:dyDescent="0.3">
      <c r="A266" s="191" t="s">
        <v>27</v>
      </c>
      <c r="B266" s="179" t="s">
        <v>249</v>
      </c>
      <c r="C266" s="194" t="s">
        <v>281</v>
      </c>
      <c r="D266" s="194" t="s">
        <v>289</v>
      </c>
      <c r="E266" s="195">
        <f>Parameters!$D$263*SUM(Parameters!D244)/$E$108</f>
        <v>0</v>
      </c>
      <c r="F266" s="50" t="s">
        <v>7</v>
      </c>
    </row>
    <row r="267" spans="1:6" s="20" customFormat="1" ht="30" customHeight="1" x14ac:dyDescent="0.3">
      <c r="A267" s="191" t="s">
        <v>27</v>
      </c>
      <c r="B267" s="179" t="s">
        <v>249</v>
      </c>
      <c r="C267" s="194" t="s">
        <v>281</v>
      </c>
      <c r="D267" s="194" t="s">
        <v>290</v>
      </c>
      <c r="E267" s="195">
        <f>Parameters!$D$263*SUM(Parameters!D245)/$E$108</f>
        <v>0</v>
      </c>
      <c r="F267" s="50" t="s">
        <v>7</v>
      </c>
    </row>
    <row r="268" spans="1:6" s="20" customFormat="1" ht="30" customHeight="1" x14ac:dyDescent="0.3">
      <c r="A268" s="191" t="s">
        <v>27</v>
      </c>
      <c r="B268" s="179" t="s">
        <v>249</v>
      </c>
      <c r="C268" s="194" t="s">
        <v>281</v>
      </c>
      <c r="D268" s="194" t="s">
        <v>291</v>
      </c>
      <c r="E268" s="195">
        <f>Parameters!$D$263*SUM(Parameters!D246)/$E$108</f>
        <v>0</v>
      </c>
      <c r="F268" s="50" t="s">
        <v>7</v>
      </c>
    </row>
    <row r="269" spans="1:6" s="20" customFormat="1" ht="30" customHeight="1" x14ac:dyDescent="0.3">
      <c r="A269" s="191" t="s">
        <v>27</v>
      </c>
      <c r="B269" s="179" t="s">
        <v>249</v>
      </c>
      <c r="C269" s="194" t="s">
        <v>281</v>
      </c>
      <c r="D269" s="194" t="s">
        <v>233</v>
      </c>
      <c r="E269" s="195">
        <f>Parameters!$D$263*SUM(Parameters!D247)/$E$108</f>
        <v>0</v>
      </c>
      <c r="F269" s="50" t="s">
        <v>7</v>
      </c>
    </row>
    <row r="270" spans="1:6" s="20" customFormat="1" ht="30" customHeight="1" x14ac:dyDescent="0.3">
      <c r="A270" s="191" t="s">
        <v>27</v>
      </c>
      <c r="B270" s="179" t="s">
        <v>249</v>
      </c>
      <c r="C270" s="194" t="s">
        <v>281</v>
      </c>
      <c r="D270" s="194" t="s">
        <v>292</v>
      </c>
      <c r="E270" s="195">
        <f>Parameters!$D$263*SUM(Parameters!D248)/$E$108</f>
        <v>0</v>
      </c>
      <c r="F270" s="50" t="s">
        <v>7</v>
      </c>
    </row>
    <row r="271" spans="1:6" s="20" customFormat="1" ht="30" customHeight="1" x14ac:dyDescent="0.3">
      <c r="A271" s="191" t="s">
        <v>27</v>
      </c>
      <c r="B271" s="179" t="s">
        <v>249</v>
      </c>
      <c r="C271" s="194" t="s">
        <v>281</v>
      </c>
      <c r="D271" s="194" t="s">
        <v>293</v>
      </c>
      <c r="E271" s="195">
        <f>Parameters!$D$263*SUM(Parameters!D249)/$E$108</f>
        <v>0</v>
      </c>
      <c r="F271" s="50" t="s">
        <v>7</v>
      </c>
    </row>
    <row r="272" spans="1:6" s="20" customFormat="1" ht="30" customHeight="1" x14ac:dyDescent="0.3">
      <c r="A272" s="191" t="s">
        <v>27</v>
      </c>
      <c r="B272" s="179" t="s">
        <v>249</v>
      </c>
      <c r="C272" s="194" t="s">
        <v>281</v>
      </c>
      <c r="D272" s="194" t="s">
        <v>294</v>
      </c>
      <c r="E272" s="195">
        <f>Parameters!$D$263*SUM(Parameters!D250)/$E$108</f>
        <v>0</v>
      </c>
      <c r="F272" s="50" t="s">
        <v>7</v>
      </c>
    </row>
    <row r="273" spans="1:6" s="20" customFormat="1" ht="30" customHeight="1" x14ac:dyDescent="0.3">
      <c r="A273" s="191" t="s">
        <v>27</v>
      </c>
      <c r="B273" s="179" t="s">
        <v>249</v>
      </c>
      <c r="C273" s="194" t="s">
        <v>281</v>
      </c>
      <c r="D273" s="187" t="s">
        <v>245</v>
      </c>
      <c r="E273" s="98">
        <f>SUM(E258:E272)</f>
        <v>0</v>
      </c>
      <c r="F273" s="50" t="str">
        <f>IF(ROUND(E273,3)=ROUND(SUM(E114),3), "PASS","FAIL")</f>
        <v>PASS</v>
      </c>
    </row>
    <row r="274" spans="1:6" s="20" customFormat="1" ht="30" customHeight="1" x14ac:dyDescent="0.3">
      <c r="A274" s="191" t="s">
        <v>27</v>
      </c>
      <c r="B274" s="179" t="s">
        <v>249</v>
      </c>
      <c r="C274" s="194" t="s">
        <v>282</v>
      </c>
      <c r="D274" s="194" t="s">
        <v>231</v>
      </c>
      <c r="E274" s="195">
        <f>Parameters!$D$263*SUM(Parameters!D159*(1-Parameters!$D$56),Parameters!D174*(1-Parameters!$D$57),Parameters!D189*(1-Parameters!$D$58),Parameters!D204*(1-Parameters!$D$59),Parameters!D219*(1-Parameters!$D$60))/$E$108</f>
        <v>0</v>
      </c>
      <c r="F274" s="50" t="s">
        <v>7</v>
      </c>
    </row>
    <row r="275" spans="1:6" s="20" customFormat="1" ht="30" customHeight="1" x14ac:dyDescent="0.3">
      <c r="A275" s="191" t="s">
        <v>27</v>
      </c>
      <c r="B275" s="179" t="s">
        <v>249</v>
      </c>
      <c r="C275" s="194" t="s">
        <v>282</v>
      </c>
      <c r="D275" s="194" t="s">
        <v>283</v>
      </c>
      <c r="E275" s="195">
        <f>Parameters!$D$263*SUM(Parameters!D160*(1-Parameters!$D$56),Parameters!D175*(1-Parameters!$D$57),Parameters!D190*(1-Parameters!$D$58),Parameters!D205*(1-Parameters!$D$59),Parameters!D220*(1-Parameters!$D$60))/$E$108</f>
        <v>0</v>
      </c>
      <c r="F275" s="50" t="s">
        <v>7</v>
      </c>
    </row>
    <row r="276" spans="1:6" s="20" customFormat="1" ht="30" customHeight="1" x14ac:dyDescent="0.3">
      <c r="A276" s="191" t="s">
        <v>27</v>
      </c>
      <c r="B276" s="179" t="s">
        <v>249</v>
      </c>
      <c r="C276" s="194" t="s">
        <v>282</v>
      </c>
      <c r="D276" s="194" t="s">
        <v>232</v>
      </c>
      <c r="E276" s="195">
        <f>Parameters!$D$263*SUM(Parameters!D161*(1-Parameters!$D$56),Parameters!D176*(1-Parameters!$D$57),Parameters!D191*(1-Parameters!$D$58),Parameters!D206*(1-Parameters!$D$59),Parameters!D221*(1-Parameters!$D$60))/$E$108</f>
        <v>0</v>
      </c>
      <c r="F276" s="50" t="s">
        <v>7</v>
      </c>
    </row>
    <row r="277" spans="1:6" s="20" customFormat="1" ht="30" customHeight="1" x14ac:dyDescent="0.3">
      <c r="A277" s="191" t="s">
        <v>27</v>
      </c>
      <c r="B277" s="179" t="s">
        <v>249</v>
      </c>
      <c r="C277" s="194" t="s">
        <v>282</v>
      </c>
      <c r="D277" s="194" t="s">
        <v>284</v>
      </c>
      <c r="E277" s="195">
        <f>Parameters!$D$263*SUM(Parameters!D162*(1-Parameters!$D$56),Parameters!D177*(1-Parameters!$D$57),Parameters!D192*(1-Parameters!$D$58),Parameters!D207*(1-Parameters!$D$59),Parameters!D222*(1-Parameters!$D$60))/$E$108</f>
        <v>0</v>
      </c>
      <c r="F277" s="50" t="s">
        <v>7</v>
      </c>
    </row>
    <row r="278" spans="1:6" s="20" customFormat="1" ht="30" customHeight="1" x14ac:dyDescent="0.3">
      <c r="A278" s="191" t="s">
        <v>27</v>
      </c>
      <c r="B278" s="179" t="s">
        <v>249</v>
      </c>
      <c r="C278" s="194" t="s">
        <v>282</v>
      </c>
      <c r="D278" s="194" t="s">
        <v>285</v>
      </c>
      <c r="E278" s="195">
        <f>Parameters!$D$263*SUM(Parameters!D163*(1-Parameters!$D$56),Parameters!D178*(1-Parameters!$D$57),Parameters!D193*(1-Parameters!$D$58),Parameters!D208*(1-Parameters!$D$59),Parameters!D223*(1-Parameters!$D$60))/$E$108</f>
        <v>0</v>
      </c>
      <c r="F278" s="50" t="s">
        <v>7</v>
      </c>
    </row>
    <row r="279" spans="1:6" s="20" customFormat="1" ht="30" customHeight="1" x14ac:dyDescent="0.3">
      <c r="A279" s="191" t="s">
        <v>27</v>
      </c>
      <c r="B279" s="179" t="s">
        <v>249</v>
      </c>
      <c r="C279" s="194" t="s">
        <v>282</v>
      </c>
      <c r="D279" s="194" t="s">
        <v>286</v>
      </c>
      <c r="E279" s="195">
        <f>Parameters!$D$263*SUM(Parameters!D164*(1-Parameters!$D$56),Parameters!D179*(1-Parameters!$D$57),Parameters!D194*(1-Parameters!$D$58),Parameters!D209*(1-Parameters!$D$59),Parameters!D224*(1-Parameters!$D$60))/$E$108</f>
        <v>0</v>
      </c>
      <c r="F279" s="50" t="s">
        <v>7</v>
      </c>
    </row>
    <row r="280" spans="1:6" s="20" customFormat="1" ht="30" customHeight="1" x14ac:dyDescent="0.3">
      <c r="A280" s="191" t="s">
        <v>27</v>
      </c>
      <c r="B280" s="179" t="s">
        <v>249</v>
      </c>
      <c r="C280" s="194" t="s">
        <v>282</v>
      </c>
      <c r="D280" s="194" t="s">
        <v>287</v>
      </c>
      <c r="E280" s="195">
        <f>Parameters!$D$263*SUM(Parameters!D165*(1-Parameters!$D$56),Parameters!D180*(1-Parameters!$D$57),Parameters!D195*(1-Parameters!$D$58),Parameters!D210*(1-Parameters!$D$59),Parameters!D225*(1-Parameters!$D$60))/$E$108</f>
        <v>0</v>
      </c>
      <c r="F280" s="50" t="s">
        <v>7</v>
      </c>
    </row>
    <row r="281" spans="1:6" s="20" customFormat="1" ht="30" customHeight="1" x14ac:dyDescent="0.3">
      <c r="A281" s="191" t="s">
        <v>27</v>
      </c>
      <c r="B281" s="179" t="s">
        <v>249</v>
      </c>
      <c r="C281" s="194" t="s">
        <v>282</v>
      </c>
      <c r="D281" s="194" t="s">
        <v>288</v>
      </c>
      <c r="E281" s="195">
        <f>Parameters!$D$263*SUM(Parameters!D166*(1-Parameters!$D$56),Parameters!D181*(1-Parameters!$D$57),Parameters!D196*(1-Parameters!$D$58),Parameters!D211*(1-Parameters!$D$59),Parameters!D226*(1-Parameters!$D$60))/$E$108</f>
        <v>0</v>
      </c>
      <c r="F281" s="50" t="s">
        <v>7</v>
      </c>
    </row>
    <row r="282" spans="1:6" s="20" customFormat="1" ht="30" customHeight="1" x14ac:dyDescent="0.3">
      <c r="A282" s="191" t="s">
        <v>27</v>
      </c>
      <c r="B282" s="179" t="s">
        <v>249</v>
      </c>
      <c r="C282" s="194" t="s">
        <v>282</v>
      </c>
      <c r="D282" s="194" t="s">
        <v>289</v>
      </c>
      <c r="E282" s="195">
        <f>Parameters!$D$263*SUM(Parameters!D167*(1-Parameters!$D$56),Parameters!D182*(1-Parameters!$D$57),Parameters!D197*(1-Parameters!$D$58),Parameters!D212*(1-Parameters!$D$59),Parameters!D227*(1-Parameters!$D$60))/$E$108</f>
        <v>0</v>
      </c>
      <c r="F282" s="50" t="s">
        <v>7</v>
      </c>
    </row>
    <row r="283" spans="1:6" s="20" customFormat="1" ht="30" customHeight="1" x14ac:dyDescent="0.3">
      <c r="A283" s="191" t="s">
        <v>27</v>
      </c>
      <c r="B283" s="179" t="s">
        <v>249</v>
      </c>
      <c r="C283" s="194" t="s">
        <v>282</v>
      </c>
      <c r="D283" s="194" t="s">
        <v>290</v>
      </c>
      <c r="E283" s="195">
        <f>Parameters!$D$263*SUM(Parameters!D168*(1-Parameters!$D$56),Parameters!D183*(1-Parameters!$D$57),Parameters!D198*(1-Parameters!$D$58),Parameters!D213*(1-Parameters!$D$59),Parameters!D228*(1-Parameters!$D$60))/$E$108</f>
        <v>0</v>
      </c>
      <c r="F283" s="50" t="s">
        <v>7</v>
      </c>
    </row>
    <row r="284" spans="1:6" s="20" customFormat="1" ht="30" customHeight="1" x14ac:dyDescent="0.3">
      <c r="A284" s="191" t="s">
        <v>27</v>
      </c>
      <c r="B284" s="179" t="s">
        <v>249</v>
      </c>
      <c r="C284" s="194" t="s">
        <v>282</v>
      </c>
      <c r="D284" s="194" t="s">
        <v>291</v>
      </c>
      <c r="E284" s="195">
        <f>Parameters!$D$263*SUM(Parameters!D169*(1-Parameters!$D$56),Parameters!D184*(1-Parameters!$D$57),Parameters!D199*(1-Parameters!$D$58),Parameters!D214*(1-Parameters!$D$59),Parameters!D229*(1-Parameters!$D$60))/$E$108</f>
        <v>0</v>
      </c>
      <c r="F284" s="50" t="s">
        <v>7</v>
      </c>
    </row>
    <row r="285" spans="1:6" s="20" customFormat="1" ht="30" customHeight="1" x14ac:dyDescent="0.3">
      <c r="A285" s="191" t="s">
        <v>27</v>
      </c>
      <c r="B285" s="179" t="s">
        <v>249</v>
      </c>
      <c r="C285" s="194" t="s">
        <v>282</v>
      </c>
      <c r="D285" s="194" t="s">
        <v>233</v>
      </c>
      <c r="E285" s="195">
        <f>Parameters!$D$263*SUM(Parameters!D170*(1-Parameters!$D$56),Parameters!D185*(1-Parameters!$D$57),Parameters!D200*(1-Parameters!$D$58),Parameters!D215*(1-Parameters!$D$59),Parameters!D230*(1-Parameters!$D$60))/$E$108</f>
        <v>0</v>
      </c>
      <c r="F285" s="50" t="s">
        <v>7</v>
      </c>
    </row>
    <row r="286" spans="1:6" s="20" customFormat="1" ht="30" customHeight="1" x14ac:dyDescent="0.3">
      <c r="A286" s="191" t="s">
        <v>27</v>
      </c>
      <c r="B286" s="179" t="s">
        <v>249</v>
      </c>
      <c r="C286" s="194" t="s">
        <v>282</v>
      </c>
      <c r="D286" s="194" t="s">
        <v>292</v>
      </c>
      <c r="E286" s="195">
        <f>Parameters!$D$263*SUM(Parameters!D171*(1-Parameters!$D$56),Parameters!D186*(1-Parameters!$D$57),Parameters!D201*(1-Parameters!$D$58),Parameters!D216*(1-Parameters!$D$59),Parameters!D231*(1-Parameters!$D$60))/$E$108</f>
        <v>0</v>
      </c>
      <c r="F286" s="50" t="s">
        <v>7</v>
      </c>
    </row>
    <row r="287" spans="1:6" s="20" customFormat="1" ht="30" customHeight="1" x14ac:dyDescent="0.3">
      <c r="A287" s="191" t="s">
        <v>27</v>
      </c>
      <c r="B287" s="179" t="s">
        <v>249</v>
      </c>
      <c r="C287" s="194" t="s">
        <v>282</v>
      </c>
      <c r="D287" s="194" t="s">
        <v>293</v>
      </c>
      <c r="E287" s="195">
        <f>Parameters!$D$263*SUM(Parameters!D172*(1-Parameters!$D$56),Parameters!D187*(1-Parameters!$D$57),Parameters!D202*(1-Parameters!$D$58),Parameters!D217*(1-Parameters!$D$59),Parameters!D232*(1-Parameters!$D$60))/$E$108</f>
        <v>0</v>
      </c>
      <c r="F287" s="50" t="s">
        <v>7</v>
      </c>
    </row>
    <row r="288" spans="1:6" s="20" customFormat="1" ht="30" customHeight="1" x14ac:dyDescent="0.3">
      <c r="A288" s="191" t="s">
        <v>27</v>
      </c>
      <c r="B288" s="179" t="s">
        <v>249</v>
      </c>
      <c r="C288" s="194" t="s">
        <v>282</v>
      </c>
      <c r="D288" s="194" t="s">
        <v>294</v>
      </c>
      <c r="E288" s="195">
        <f>Parameters!$D$263*SUM(Parameters!D173*(1-Parameters!$D$56),Parameters!D188*(1-Parameters!$D$57),Parameters!D203*(1-Parameters!$D$58),Parameters!D218*(1-Parameters!$D$59),Parameters!D233*(1-Parameters!$D$60))/$E$108</f>
        <v>0</v>
      </c>
      <c r="F288" s="50" t="s">
        <v>7</v>
      </c>
    </row>
    <row r="289" spans="1:6" s="20" customFormat="1" ht="30" customHeight="1" x14ac:dyDescent="0.3">
      <c r="A289" s="191" t="s">
        <v>27</v>
      </c>
      <c r="B289" s="179" t="s">
        <v>249</v>
      </c>
      <c r="C289" s="194" t="s">
        <v>282</v>
      </c>
      <c r="D289" s="187" t="s">
        <v>245</v>
      </c>
      <c r="E289" s="196">
        <f>SUM(E274:E288)</f>
        <v>0</v>
      </c>
      <c r="F289" s="50" t="str">
        <f>IF(ROUND(E289,3)=ROUND(SUM(E119),3), "PASS","FAIL")</f>
        <v>PASS</v>
      </c>
    </row>
    <row r="290" spans="1:6" s="20" customFormat="1" ht="45" customHeight="1" x14ac:dyDescent="0.3">
      <c r="A290" s="191" t="s">
        <v>27</v>
      </c>
      <c r="B290" s="194" t="s">
        <v>250</v>
      </c>
      <c r="C290" s="191" t="s">
        <v>280</v>
      </c>
      <c r="D290" s="194" t="s">
        <v>231</v>
      </c>
      <c r="E290" s="195">
        <f>($E$100)*(1-$E$105)*(Parameters!$D$263*SUM(Parameters!D159*(1-Parameters!$D$56),Parameters!D174*(1-Parameters!$D$57),Parameters!D189*(1-Parameters!$D$58),Parameters!D204*(1-Parameters!$D$59),Parameters!D219*(1-Parameters!$D$60),Parameters!D236)/$E$109)/$E$111</f>
        <v>0</v>
      </c>
      <c r="F290" s="50" t="s">
        <v>7</v>
      </c>
    </row>
    <row r="291" spans="1:6" s="20" customFormat="1" ht="30" customHeight="1" x14ac:dyDescent="0.3">
      <c r="A291" s="191" t="s">
        <v>27</v>
      </c>
      <c r="B291" s="194" t="s">
        <v>250</v>
      </c>
      <c r="C291" s="191" t="s">
        <v>280</v>
      </c>
      <c r="D291" s="194" t="s">
        <v>283</v>
      </c>
      <c r="E291" s="195">
        <f>($E$100)*(1-$E$105)*(Parameters!$D$263*SUM(Parameters!D160*(1-Parameters!$D$56),Parameters!D175*(1-Parameters!$D$57),Parameters!D190*(1-Parameters!$D$58),Parameters!D205*(1-Parameters!$D$59),Parameters!D220*(1-Parameters!$D$60),Parameters!D237)/$E$109)/$E$111</f>
        <v>0</v>
      </c>
      <c r="F291" s="50" t="s">
        <v>7</v>
      </c>
    </row>
    <row r="292" spans="1:6" s="20" customFormat="1" ht="30" customHeight="1" x14ac:dyDescent="0.3">
      <c r="A292" s="191" t="s">
        <v>27</v>
      </c>
      <c r="B292" s="194" t="s">
        <v>250</v>
      </c>
      <c r="C292" s="191" t="s">
        <v>280</v>
      </c>
      <c r="D292" s="194" t="s">
        <v>232</v>
      </c>
      <c r="E292" s="195">
        <f>($E$100)*(1-$E$105)*(Parameters!$D$263*SUM(Parameters!D161*(1-Parameters!$D$56),Parameters!D176*(1-Parameters!$D$57),Parameters!D191*(1-Parameters!$D$58),Parameters!D206*(1-Parameters!$D$59),Parameters!D221*(1-Parameters!$D$60),Parameters!D238)/$E$109)/$E$111</f>
        <v>0</v>
      </c>
      <c r="F292" s="50" t="s">
        <v>7</v>
      </c>
    </row>
    <row r="293" spans="1:6" s="20" customFormat="1" ht="30" customHeight="1" x14ac:dyDescent="0.3">
      <c r="A293" s="191" t="s">
        <v>27</v>
      </c>
      <c r="B293" s="194" t="s">
        <v>250</v>
      </c>
      <c r="C293" s="191" t="s">
        <v>280</v>
      </c>
      <c r="D293" s="194" t="s">
        <v>284</v>
      </c>
      <c r="E293" s="195">
        <f>($E$100)*(1-$E$105)*(Parameters!$D$263*SUM(Parameters!D162*(1-Parameters!$D$56),Parameters!D177*(1-Parameters!$D$57),Parameters!D192*(1-Parameters!$D$58),Parameters!D207*(1-Parameters!$D$59),Parameters!D222*(1-Parameters!$D$60),Parameters!D239)/$E$109)/$E$111</f>
        <v>0</v>
      </c>
      <c r="F293" s="50" t="s">
        <v>7</v>
      </c>
    </row>
    <row r="294" spans="1:6" s="20" customFormat="1" ht="30" customHeight="1" x14ac:dyDescent="0.3">
      <c r="A294" s="191" t="s">
        <v>27</v>
      </c>
      <c r="B294" s="194" t="s">
        <v>250</v>
      </c>
      <c r="C294" s="191" t="s">
        <v>280</v>
      </c>
      <c r="D294" s="194" t="s">
        <v>285</v>
      </c>
      <c r="E294" s="195">
        <f>($E$100)*(1-$E$105)*(Parameters!$D$263*SUM(Parameters!D163*(1-Parameters!$D$56),Parameters!D178*(1-Parameters!$D$57),Parameters!D193*(1-Parameters!$D$58),Parameters!D208*(1-Parameters!$D$59),Parameters!D223*(1-Parameters!$D$60),Parameters!D240)/$E$109)/$E$111</f>
        <v>0</v>
      </c>
      <c r="F294" s="50" t="s">
        <v>7</v>
      </c>
    </row>
    <row r="295" spans="1:6" s="20" customFormat="1" ht="30" customHeight="1" x14ac:dyDescent="0.3">
      <c r="A295" s="191" t="s">
        <v>27</v>
      </c>
      <c r="B295" s="194" t="s">
        <v>250</v>
      </c>
      <c r="C295" s="191" t="s">
        <v>280</v>
      </c>
      <c r="D295" s="194" t="s">
        <v>286</v>
      </c>
      <c r="E295" s="195">
        <f>($E$100)*(1-$E$105)*(Parameters!$D$263*SUM(Parameters!D164*(1-Parameters!$D$56),Parameters!D179*(1-Parameters!$D$57),Parameters!D194*(1-Parameters!$D$58),Parameters!D209*(1-Parameters!$D$59),Parameters!D224*(1-Parameters!$D$60),Parameters!D241)/$E$109)/$E$111</f>
        <v>0</v>
      </c>
      <c r="F295" s="50" t="s">
        <v>7</v>
      </c>
    </row>
    <row r="296" spans="1:6" s="20" customFormat="1" ht="30" customHeight="1" x14ac:dyDescent="0.3">
      <c r="A296" s="191" t="s">
        <v>27</v>
      </c>
      <c r="B296" s="194" t="s">
        <v>250</v>
      </c>
      <c r="C296" s="191" t="s">
        <v>280</v>
      </c>
      <c r="D296" s="194" t="s">
        <v>287</v>
      </c>
      <c r="E296" s="195">
        <f>($E$100)*(1-$E$105)*(Parameters!$D$263*SUM(Parameters!D165*(1-Parameters!$D$56),Parameters!D180*(1-Parameters!$D$57),Parameters!D195*(1-Parameters!$D$58),Parameters!D210*(1-Parameters!$D$59),Parameters!D225*(1-Parameters!$D$60),Parameters!D242)/$E$109)/$E$111</f>
        <v>0</v>
      </c>
      <c r="F296" s="50" t="s">
        <v>7</v>
      </c>
    </row>
    <row r="297" spans="1:6" s="20" customFormat="1" ht="30" customHeight="1" x14ac:dyDescent="0.3">
      <c r="A297" s="191" t="s">
        <v>27</v>
      </c>
      <c r="B297" s="194" t="s">
        <v>250</v>
      </c>
      <c r="C297" s="191" t="s">
        <v>280</v>
      </c>
      <c r="D297" s="194" t="s">
        <v>288</v>
      </c>
      <c r="E297" s="195">
        <f>($E$100)*(1-$E$105)*(Parameters!$D$263*SUM(Parameters!D166*(1-Parameters!$D$56),Parameters!D181*(1-Parameters!$D$57),Parameters!D196*(1-Parameters!$D$58),Parameters!D211*(1-Parameters!$D$59),Parameters!D226*(1-Parameters!$D$60),Parameters!D243)/$E$109)/$E$111</f>
        <v>0</v>
      </c>
      <c r="F297" s="50" t="s">
        <v>7</v>
      </c>
    </row>
    <row r="298" spans="1:6" s="20" customFormat="1" ht="30" customHeight="1" x14ac:dyDescent="0.3">
      <c r="A298" s="191" t="s">
        <v>27</v>
      </c>
      <c r="B298" s="194" t="s">
        <v>250</v>
      </c>
      <c r="C298" s="191" t="s">
        <v>280</v>
      </c>
      <c r="D298" s="194" t="s">
        <v>289</v>
      </c>
      <c r="E298" s="195">
        <f>($E$100)*(1-$E$105)*(Parameters!$D$263*SUM(Parameters!D167*(1-Parameters!$D$56),Parameters!D182*(1-Parameters!$D$57),Parameters!D197*(1-Parameters!$D$58),Parameters!D212*(1-Parameters!$D$59),Parameters!D227*(1-Parameters!$D$60),Parameters!D244)/$E$109)/$E$111</f>
        <v>0</v>
      </c>
      <c r="F298" s="50" t="s">
        <v>7</v>
      </c>
    </row>
    <row r="299" spans="1:6" s="20" customFormat="1" ht="30" customHeight="1" x14ac:dyDescent="0.3">
      <c r="A299" s="191" t="s">
        <v>27</v>
      </c>
      <c r="B299" s="194" t="s">
        <v>250</v>
      </c>
      <c r="C299" s="191" t="s">
        <v>280</v>
      </c>
      <c r="D299" s="194" t="s">
        <v>290</v>
      </c>
      <c r="E299" s="195">
        <f>($E$100)*(1-$E$105)*(Parameters!$D$263*SUM(Parameters!D168*(1-Parameters!$D$56),Parameters!D183*(1-Parameters!$D$57),Parameters!D198*(1-Parameters!$D$58),Parameters!D213*(1-Parameters!$D$59),Parameters!D228*(1-Parameters!$D$60),Parameters!D245)/$E$109)/$E$111</f>
        <v>0</v>
      </c>
      <c r="F299" s="50" t="s">
        <v>7</v>
      </c>
    </row>
    <row r="300" spans="1:6" s="20" customFormat="1" ht="30" customHeight="1" x14ac:dyDescent="0.3">
      <c r="A300" s="191" t="s">
        <v>27</v>
      </c>
      <c r="B300" s="194" t="s">
        <v>250</v>
      </c>
      <c r="C300" s="191" t="s">
        <v>280</v>
      </c>
      <c r="D300" s="194" t="s">
        <v>291</v>
      </c>
      <c r="E300" s="195">
        <f>($E$100)*(1-$E$105)*(Parameters!$D$263*SUM(Parameters!D169*(1-Parameters!$D$56),Parameters!D184*(1-Parameters!$D$57),Parameters!D199*(1-Parameters!$D$58),Parameters!D214*(1-Parameters!$D$59),Parameters!D229*(1-Parameters!$D$60),Parameters!D246)/$E$109)/$E$111</f>
        <v>0</v>
      </c>
      <c r="F300" s="50" t="s">
        <v>7</v>
      </c>
    </row>
    <row r="301" spans="1:6" s="20" customFormat="1" ht="30" customHeight="1" x14ac:dyDescent="0.3">
      <c r="A301" s="191" t="s">
        <v>27</v>
      </c>
      <c r="B301" s="194" t="s">
        <v>250</v>
      </c>
      <c r="C301" s="191" t="s">
        <v>280</v>
      </c>
      <c r="D301" s="194" t="s">
        <v>233</v>
      </c>
      <c r="E301" s="195">
        <f>($E$100)*(1-$E$105)*(Parameters!$D$263*SUM(Parameters!D170*(1-Parameters!$D$56),Parameters!D185*(1-Parameters!$D$57),Parameters!D200*(1-Parameters!$D$58),Parameters!D215*(1-Parameters!$D$59),Parameters!D230*(1-Parameters!$D$60),Parameters!D247)/$E$109)/$E$111</f>
        <v>0</v>
      </c>
      <c r="F301" s="50" t="s">
        <v>7</v>
      </c>
    </row>
    <row r="302" spans="1:6" s="20" customFormat="1" ht="30" customHeight="1" x14ac:dyDescent="0.3">
      <c r="A302" s="191" t="s">
        <v>27</v>
      </c>
      <c r="B302" s="194" t="s">
        <v>250</v>
      </c>
      <c r="C302" s="191" t="s">
        <v>280</v>
      </c>
      <c r="D302" s="194" t="s">
        <v>292</v>
      </c>
      <c r="E302" s="195">
        <f>($E$100)*(1-$E$105)*(Parameters!$D$263*SUM(Parameters!D171*(1-Parameters!$D$56),Parameters!D186*(1-Parameters!$D$57),Parameters!D201*(1-Parameters!$D$58),Parameters!D216*(1-Parameters!$D$59),Parameters!D231*(1-Parameters!$D$60),Parameters!D248)/$E$109)/$E$111</f>
        <v>0</v>
      </c>
      <c r="F302" s="50" t="s">
        <v>7</v>
      </c>
    </row>
    <row r="303" spans="1:6" s="20" customFormat="1" ht="30" customHeight="1" x14ac:dyDescent="0.3">
      <c r="A303" s="191" t="s">
        <v>27</v>
      </c>
      <c r="B303" s="194" t="s">
        <v>250</v>
      </c>
      <c r="C303" s="191" t="s">
        <v>280</v>
      </c>
      <c r="D303" s="194" t="s">
        <v>293</v>
      </c>
      <c r="E303" s="195">
        <f>($E$100)*(1-$E$105)*(Parameters!$D$263*SUM(Parameters!D172*(1-Parameters!$D$56),Parameters!D187*(1-Parameters!$D$57),Parameters!D202*(1-Parameters!$D$58),Parameters!D217*(1-Parameters!$D$59),Parameters!D232*(1-Parameters!$D$60),Parameters!D249)/$E$109)/$E$111</f>
        <v>0</v>
      </c>
      <c r="F303" s="50" t="s">
        <v>7</v>
      </c>
    </row>
    <row r="304" spans="1:6" s="20" customFormat="1" ht="30" customHeight="1" x14ac:dyDescent="0.3">
      <c r="A304" s="191" t="s">
        <v>27</v>
      </c>
      <c r="B304" s="194" t="s">
        <v>250</v>
      </c>
      <c r="C304" s="191" t="s">
        <v>280</v>
      </c>
      <c r="D304" s="194" t="s">
        <v>294</v>
      </c>
      <c r="E304" s="195">
        <f>($E$100)*(1-$E$105)*(Parameters!$D$263*SUM(Parameters!D173*(1-Parameters!$D$56),Parameters!D188*(1-Parameters!$D$57),Parameters!D203*(1-Parameters!$D$58),Parameters!D218*(1-Parameters!$D$59),Parameters!D233*(1-Parameters!$D$60),Parameters!D250)/$E$109)/$E$111</f>
        <v>0</v>
      </c>
      <c r="F304" s="50" t="s">
        <v>7</v>
      </c>
    </row>
    <row r="305" spans="1:6" s="20" customFormat="1" ht="30" customHeight="1" x14ac:dyDescent="0.3">
      <c r="A305" s="191" t="s">
        <v>27</v>
      </c>
      <c r="B305" s="194" t="s">
        <v>250</v>
      </c>
      <c r="C305" s="191" t="s">
        <v>280</v>
      </c>
      <c r="D305" s="187" t="s">
        <v>245</v>
      </c>
      <c r="E305" s="196">
        <f>SUM(E290:E304)</f>
        <v>0</v>
      </c>
      <c r="F305" s="50" t="str">
        <f>IF(ROUND(E305,3)=ROUND(SUM(E128,E133),3), "PASS","FAIL")</f>
        <v>PASS</v>
      </c>
    </row>
    <row r="306" spans="1:6" s="20" customFormat="1" ht="35.4" customHeight="1" x14ac:dyDescent="0.3">
      <c r="A306" s="191" t="s">
        <v>27</v>
      </c>
      <c r="B306" s="194" t="s">
        <v>250</v>
      </c>
      <c r="C306" s="194" t="s">
        <v>281</v>
      </c>
      <c r="D306" s="194" t="s">
        <v>231</v>
      </c>
      <c r="E306" s="195">
        <f>($E$100)*(1-$E$105)*(Parameters!$D$263*SUM(Parameters!D236)/$E$109)/$E$111</f>
        <v>0</v>
      </c>
      <c r="F306" s="50" t="s">
        <v>7</v>
      </c>
    </row>
    <row r="307" spans="1:6" s="20" customFormat="1" ht="30" customHeight="1" x14ac:dyDescent="0.3">
      <c r="A307" s="191" t="s">
        <v>27</v>
      </c>
      <c r="B307" s="194" t="s">
        <v>250</v>
      </c>
      <c r="C307" s="194" t="s">
        <v>281</v>
      </c>
      <c r="D307" s="194" t="s">
        <v>283</v>
      </c>
      <c r="E307" s="195">
        <f>($E$100)*(1-$E$105)*(Parameters!$D$263*SUM(Parameters!D237)/$E$109)/$E$111</f>
        <v>0</v>
      </c>
      <c r="F307" s="50" t="s">
        <v>7</v>
      </c>
    </row>
    <row r="308" spans="1:6" s="20" customFormat="1" ht="30" customHeight="1" x14ac:dyDescent="0.3">
      <c r="A308" s="191" t="s">
        <v>27</v>
      </c>
      <c r="B308" s="194" t="s">
        <v>250</v>
      </c>
      <c r="C308" s="194" t="s">
        <v>281</v>
      </c>
      <c r="D308" s="194" t="s">
        <v>232</v>
      </c>
      <c r="E308" s="195">
        <f>($E$100)*(1-$E$105)*(Parameters!$D$263*SUM(Parameters!D238)/$E$109)/$E$111</f>
        <v>0</v>
      </c>
      <c r="F308" s="50" t="s">
        <v>7</v>
      </c>
    </row>
    <row r="309" spans="1:6" s="20" customFormat="1" ht="30" customHeight="1" x14ac:dyDescent="0.3">
      <c r="A309" s="191" t="s">
        <v>27</v>
      </c>
      <c r="B309" s="194" t="s">
        <v>250</v>
      </c>
      <c r="C309" s="194" t="s">
        <v>281</v>
      </c>
      <c r="D309" s="194" t="s">
        <v>284</v>
      </c>
      <c r="E309" s="195">
        <f>($E$100)*(1-$E$105)*(Parameters!$D$263*SUM(Parameters!D239)/$E$109)/$E$111</f>
        <v>0</v>
      </c>
      <c r="F309" s="50" t="s">
        <v>7</v>
      </c>
    </row>
    <row r="310" spans="1:6" s="20" customFormat="1" ht="30" customHeight="1" x14ac:dyDescent="0.3">
      <c r="A310" s="191" t="s">
        <v>27</v>
      </c>
      <c r="B310" s="194" t="s">
        <v>250</v>
      </c>
      <c r="C310" s="194" t="s">
        <v>281</v>
      </c>
      <c r="D310" s="194" t="s">
        <v>285</v>
      </c>
      <c r="E310" s="195">
        <f>($E$100)*(1-$E$105)*(Parameters!$D$263*SUM(Parameters!D240)/$E$109)/$E$111</f>
        <v>0</v>
      </c>
      <c r="F310" s="50" t="s">
        <v>7</v>
      </c>
    </row>
    <row r="311" spans="1:6" s="20" customFormat="1" ht="30" customHeight="1" x14ac:dyDescent="0.3">
      <c r="A311" s="191" t="s">
        <v>27</v>
      </c>
      <c r="B311" s="194" t="s">
        <v>250</v>
      </c>
      <c r="C311" s="194" t="s">
        <v>281</v>
      </c>
      <c r="D311" s="194" t="s">
        <v>286</v>
      </c>
      <c r="E311" s="195">
        <f>($E$100)*(1-$E$105)*(Parameters!$D$263*SUM(Parameters!D241)/$E$109)/$E$111</f>
        <v>0</v>
      </c>
      <c r="F311" s="50" t="s">
        <v>7</v>
      </c>
    </row>
    <row r="312" spans="1:6" s="20" customFormat="1" ht="30" customHeight="1" x14ac:dyDescent="0.3">
      <c r="A312" s="191" t="s">
        <v>27</v>
      </c>
      <c r="B312" s="194" t="s">
        <v>250</v>
      </c>
      <c r="C312" s="194" t="s">
        <v>281</v>
      </c>
      <c r="D312" s="194" t="s">
        <v>287</v>
      </c>
      <c r="E312" s="195">
        <f>($E$100)*(1-$E$105)*(Parameters!$D$263*SUM(Parameters!D242)/$E$109)/$E$111</f>
        <v>0</v>
      </c>
      <c r="F312" s="50" t="s">
        <v>7</v>
      </c>
    </row>
    <row r="313" spans="1:6" s="20" customFormat="1" ht="30" customHeight="1" x14ac:dyDescent="0.3">
      <c r="A313" s="191" t="s">
        <v>27</v>
      </c>
      <c r="B313" s="194" t="s">
        <v>250</v>
      </c>
      <c r="C313" s="194" t="s">
        <v>281</v>
      </c>
      <c r="D313" s="194" t="s">
        <v>288</v>
      </c>
      <c r="E313" s="195">
        <f>($E$100)*(1-$E$105)*(Parameters!$D$263*SUM(Parameters!D243)/$E$109)/$E$111</f>
        <v>0</v>
      </c>
      <c r="F313" s="50" t="s">
        <v>7</v>
      </c>
    </row>
    <row r="314" spans="1:6" s="20" customFormat="1" ht="30" customHeight="1" x14ac:dyDescent="0.3">
      <c r="A314" s="191" t="s">
        <v>27</v>
      </c>
      <c r="B314" s="194" t="s">
        <v>250</v>
      </c>
      <c r="C314" s="194" t="s">
        <v>281</v>
      </c>
      <c r="D314" s="194" t="s">
        <v>289</v>
      </c>
      <c r="E314" s="195">
        <f>($E$100)*(1-$E$105)*(Parameters!$D$263*SUM(Parameters!D244)/$E$109)/$E$111</f>
        <v>0</v>
      </c>
      <c r="F314" s="50" t="s">
        <v>7</v>
      </c>
    </row>
    <row r="315" spans="1:6" s="20" customFormat="1" ht="30" customHeight="1" x14ac:dyDescent="0.3">
      <c r="A315" s="191" t="s">
        <v>27</v>
      </c>
      <c r="B315" s="194" t="s">
        <v>250</v>
      </c>
      <c r="C315" s="194" t="s">
        <v>281</v>
      </c>
      <c r="D315" s="194" t="s">
        <v>290</v>
      </c>
      <c r="E315" s="195">
        <f>($E$100)*(1-$E$105)*(Parameters!$D$263*SUM(Parameters!D245)/$E$109)/$E$111</f>
        <v>0</v>
      </c>
      <c r="F315" s="50" t="s">
        <v>7</v>
      </c>
    </row>
    <row r="316" spans="1:6" s="20" customFormat="1" ht="30" customHeight="1" x14ac:dyDescent="0.3">
      <c r="A316" s="191" t="s">
        <v>27</v>
      </c>
      <c r="B316" s="194" t="s">
        <v>250</v>
      </c>
      <c r="C316" s="194" t="s">
        <v>281</v>
      </c>
      <c r="D316" s="194" t="s">
        <v>291</v>
      </c>
      <c r="E316" s="195">
        <f>($E$100)*(1-$E$105)*(Parameters!$D$263*SUM(Parameters!D246)/$E$109)/$E$111</f>
        <v>0</v>
      </c>
      <c r="F316" s="50" t="s">
        <v>7</v>
      </c>
    </row>
    <row r="317" spans="1:6" s="20" customFormat="1" ht="30" customHeight="1" x14ac:dyDescent="0.3">
      <c r="A317" s="191" t="s">
        <v>27</v>
      </c>
      <c r="B317" s="194" t="s">
        <v>250</v>
      </c>
      <c r="C317" s="194" t="s">
        <v>281</v>
      </c>
      <c r="D317" s="194" t="s">
        <v>233</v>
      </c>
      <c r="E317" s="195">
        <f>($E$100)*(1-$E$105)*(Parameters!$D$263*SUM(Parameters!D247)/$E$109)/$E$111</f>
        <v>0</v>
      </c>
      <c r="F317" s="50" t="s">
        <v>7</v>
      </c>
    </row>
    <row r="318" spans="1:6" s="20" customFormat="1" ht="30" customHeight="1" x14ac:dyDescent="0.3">
      <c r="A318" s="191" t="s">
        <v>27</v>
      </c>
      <c r="B318" s="194" t="s">
        <v>250</v>
      </c>
      <c r="C318" s="194" t="s">
        <v>281</v>
      </c>
      <c r="D318" s="194" t="s">
        <v>292</v>
      </c>
      <c r="E318" s="195">
        <f>($E$100)*(1-$E$105)*(Parameters!$D$263*SUM(Parameters!D248)/$E$109)/$E$111</f>
        <v>0</v>
      </c>
      <c r="F318" s="50" t="s">
        <v>7</v>
      </c>
    </row>
    <row r="319" spans="1:6" s="20" customFormat="1" ht="30" customHeight="1" x14ac:dyDescent="0.3">
      <c r="A319" s="191" t="s">
        <v>27</v>
      </c>
      <c r="B319" s="194" t="s">
        <v>250</v>
      </c>
      <c r="C319" s="194" t="s">
        <v>281</v>
      </c>
      <c r="D319" s="194" t="s">
        <v>293</v>
      </c>
      <c r="E319" s="195">
        <f>($E$100)*(1-$E$105)*(Parameters!$D$263*SUM(Parameters!D249)/$E$109)/$E$111</f>
        <v>0</v>
      </c>
      <c r="F319" s="50" t="s">
        <v>7</v>
      </c>
    </row>
    <row r="320" spans="1:6" s="20" customFormat="1" ht="30" customHeight="1" x14ac:dyDescent="0.3">
      <c r="A320" s="191" t="s">
        <v>27</v>
      </c>
      <c r="B320" s="194" t="s">
        <v>250</v>
      </c>
      <c r="C320" s="194" t="s">
        <v>281</v>
      </c>
      <c r="D320" s="194" t="s">
        <v>294</v>
      </c>
      <c r="E320" s="195">
        <f>($E$100)*(1-$E$105)*(Parameters!$D$263*SUM(Parameters!D250)/$E$109)/$E$111</f>
        <v>0</v>
      </c>
      <c r="F320" s="50" t="s">
        <v>7</v>
      </c>
    </row>
    <row r="321" spans="1:6" s="20" customFormat="1" ht="30" customHeight="1" x14ac:dyDescent="0.3">
      <c r="A321" s="191" t="s">
        <v>27</v>
      </c>
      <c r="B321" s="194" t="s">
        <v>250</v>
      </c>
      <c r="C321" s="194" t="s">
        <v>281</v>
      </c>
      <c r="D321" s="187" t="s">
        <v>245</v>
      </c>
      <c r="E321" s="196">
        <f>SUM(E306:E320)</f>
        <v>0</v>
      </c>
      <c r="F321" s="50" t="str">
        <f>IF(ROUND(E321,3)=ROUND(SUM(E128),3), "PASS","FAIL")</f>
        <v>PASS</v>
      </c>
    </row>
    <row r="322" spans="1:6" s="20" customFormat="1" ht="30" customHeight="1" x14ac:dyDescent="0.3">
      <c r="A322" s="191" t="s">
        <v>27</v>
      </c>
      <c r="B322" s="194" t="s">
        <v>250</v>
      </c>
      <c r="C322" s="194" t="s">
        <v>282</v>
      </c>
      <c r="D322" s="194" t="s">
        <v>231</v>
      </c>
      <c r="E322" s="195">
        <f>($E$100)*(1-$E$105)*(Parameters!$D$263*SUM(Parameters!D159*(1-Parameters!$D$56),Parameters!D174*(1-Parameters!$D$57),Parameters!D189*(1-Parameters!$D$58),Parameters!D204*(1-Parameters!$D$59),Parameters!D219*(1-Parameters!$D$60))/$E$109)/$E$111</f>
        <v>0</v>
      </c>
      <c r="F322" s="50" t="s">
        <v>7</v>
      </c>
    </row>
    <row r="323" spans="1:6" s="20" customFormat="1" ht="30" customHeight="1" x14ac:dyDescent="0.3">
      <c r="A323" s="191" t="s">
        <v>27</v>
      </c>
      <c r="B323" s="194" t="s">
        <v>250</v>
      </c>
      <c r="C323" s="194" t="s">
        <v>282</v>
      </c>
      <c r="D323" s="194" t="s">
        <v>283</v>
      </c>
      <c r="E323" s="195">
        <f>($E$100)*(1-$E$105)*(Parameters!$D$263*SUM(Parameters!D160*(1-Parameters!$D$56),Parameters!D175*(1-Parameters!$D$57),Parameters!D190*(1-Parameters!$D$58),Parameters!D205*(1-Parameters!$D$59),Parameters!D220*(1-Parameters!$D$60))/$E$109)/$E$111</f>
        <v>0</v>
      </c>
      <c r="F323" s="50" t="s">
        <v>7</v>
      </c>
    </row>
    <row r="324" spans="1:6" s="20" customFormat="1" ht="30" customHeight="1" x14ac:dyDescent="0.3">
      <c r="A324" s="191" t="s">
        <v>27</v>
      </c>
      <c r="B324" s="194" t="s">
        <v>250</v>
      </c>
      <c r="C324" s="194" t="s">
        <v>282</v>
      </c>
      <c r="D324" s="194" t="s">
        <v>232</v>
      </c>
      <c r="E324" s="195">
        <f>($E$100)*(1-$E$105)*(Parameters!$D$263*SUM(Parameters!D161*(1-Parameters!$D$56),Parameters!D176*(1-Parameters!$D$57),Parameters!D191*(1-Parameters!$D$58),Parameters!D206*(1-Parameters!$D$59),Parameters!D221*(1-Parameters!$D$60))/$E$109)/$E$111</f>
        <v>0</v>
      </c>
      <c r="F324" s="50" t="s">
        <v>7</v>
      </c>
    </row>
    <row r="325" spans="1:6" s="20" customFormat="1" ht="30" customHeight="1" x14ac:dyDescent="0.3">
      <c r="A325" s="191" t="s">
        <v>27</v>
      </c>
      <c r="B325" s="194" t="s">
        <v>250</v>
      </c>
      <c r="C325" s="194" t="s">
        <v>282</v>
      </c>
      <c r="D325" s="194" t="s">
        <v>284</v>
      </c>
      <c r="E325" s="195">
        <f>($E$100)*(1-$E$105)*(Parameters!$D$263*SUM(Parameters!D162*(1-Parameters!$D$56),Parameters!D177*(1-Parameters!$D$57),Parameters!D192*(1-Parameters!$D$58),Parameters!D207*(1-Parameters!$D$59),Parameters!D222*(1-Parameters!$D$60))/$E$109)/$E$111</f>
        <v>0</v>
      </c>
      <c r="F325" s="50" t="s">
        <v>7</v>
      </c>
    </row>
    <row r="326" spans="1:6" s="20" customFormat="1" ht="30" customHeight="1" x14ac:dyDescent="0.3">
      <c r="A326" s="191" t="s">
        <v>27</v>
      </c>
      <c r="B326" s="194" t="s">
        <v>250</v>
      </c>
      <c r="C326" s="194" t="s">
        <v>282</v>
      </c>
      <c r="D326" s="194" t="s">
        <v>285</v>
      </c>
      <c r="E326" s="195">
        <f>($E$100)*(1-$E$105)*(Parameters!$D$263*SUM(Parameters!D163*(1-Parameters!$D$56),Parameters!D178*(1-Parameters!$D$57),Parameters!D193*(1-Parameters!$D$58),Parameters!D208*(1-Parameters!$D$59),Parameters!D223*(1-Parameters!$D$60))/$E$109)/$E$111</f>
        <v>0</v>
      </c>
      <c r="F326" s="50" t="s">
        <v>7</v>
      </c>
    </row>
    <row r="327" spans="1:6" s="20" customFormat="1" ht="30" customHeight="1" x14ac:dyDescent="0.3">
      <c r="A327" s="191" t="s">
        <v>27</v>
      </c>
      <c r="B327" s="194" t="s">
        <v>250</v>
      </c>
      <c r="C327" s="194" t="s">
        <v>282</v>
      </c>
      <c r="D327" s="194" t="s">
        <v>286</v>
      </c>
      <c r="E327" s="195">
        <f>($E$100)*(1-$E$105)*(Parameters!$D$263*SUM(Parameters!D164*(1-Parameters!$D$56),Parameters!D179*(1-Parameters!$D$57),Parameters!D194*(1-Parameters!$D$58),Parameters!D209*(1-Parameters!$D$59),Parameters!D224*(1-Parameters!$D$60))/$E$109)/$E$111</f>
        <v>0</v>
      </c>
      <c r="F327" s="50" t="s">
        <v>7</v>
      </c>
    </row>
    <row r="328" spans="1:6" s="20" customFormat="1" ht="30" customHeight="1" x14ac:dyDescent="0.3">
      <c r="A328" s="191" t="s">
        <v>27</v>
      </c>
      <c r="B328" s="194" t="s">
        <v>250</v>
      </c>
      <c r="C328" s="194" t="s">
        <v>282</v>
      </c>
      <c r="D328" s="194" t="s">
        <v>287</v>
      </c>
      <c r="E328" s="195">
        <f>($E$100)*(1-$E$105)*(Parameters!$D$263*SUM(Parameters!D165*(1-Parameters!$D$56),Parameters!D180*(1-Parameters!$D$57),Parameters!D195*(1-Parameters!$D$58),Parameters!D210*(1-Parameters!$D$59),Parameters!D225*(1-Parameters!$D$60))/$E$109)/$E$111</f>
        <v>0</v>
      </c>
      <c r="F328" s="50" t="s">
        <v>7</v>
      </c>
    </row>
    <row r="329" spans="1:6" s="20" customFormat="1" ht="30" customHeight="1" x14ac:dyDescent="0.3">
      <c r="A329" s="191" t="s">
        <v>27</v>
      </c>
      <c r="B329" s="194" t="s">
        <v>250</v>
      </c>
      <c r="C329" s="194" t="s">
        <v>282</v>
      </c>
      <c r="D329" s="194" t="s">
        <v>288</v>
      </c>
      <c r="E329" s="195">
        <f>($E$100)*(1-$E$105)*(Parameters!$D$263*SUM(Parameters!D166*(1-Parameters!$D$56),Parameters!D181*(1-Parameters!$D$57),Parameters!D196*(1-Parameters!$D$58),Parameters!D211*(1-Parameters!$D$59),Parameters!D226*(1-Parameters!$D$60))/$E$109)/$E$111</f>
        <v>0</v>
      </c>
      <c r="F329" s="50" t="s">
        <v>7</v>
      </c>
    </row>
    <row r="330" spans="1:6" s="20" customFormat="1" ht="30" customHeight="1" x14ac:dyDescent="0.3">
      <c r="A330" s="191" t="s">
        <v>27</v>
      </c>
      <c r="B330" s="194" t="s">
        <v>250</v>
      </c>
      <c r="C330" s="194" t="s">
        <v>282</v>
      </c>
      <c r="D330" s="194" t="s">
        <v>289</v>
      </c>
      <c r="E330" s="195">
        <f>($E$100)*(1-$E$105)*(Parameters!$D$263*SUM(Parameters!D167*(1-Parameters!$D$56),Parameters!D182*(1-Parameters!$D$57),Parameters!D197*(1-Parameters!$D$58),Parameters!D212*(1-Parameters!$D$59),Parameters!D227*(1-Parameters!$D$60))/$E$109)/$E$111</f>
        <v>0</v>
      </c>
      <c r="F330" s="50" t="s">
        <v>7</v>
      </c>
    </row>
    <row r="331" spans="1:6" s="20" customFormat="1" ht="30" customHeight="1" x14ac:dyDescent="0.3">
      <c r="A331" s="191" t="s">
        <v>27</v>
      </c>
      <c r="B331" s="194" t="s">
        <v>250</v>
      </c>
      <c r="C331" s="194" t="s">
        <v>282</v>
      </c>
      <c r="D331" s="194" t="s">
        <v>290</v>
      </c>
      <c r="E331" s="195">
        <f>($E$100)*(1-$E$105)*(Parameters!$D$263*SUM(Parameters!D168*(1-Parameters!$D$56),Parameters!D183*(1-Parameters!$D$57),Parameters!D198*(1-Parameters!$D$58),Parameters!D213*(1-Parameters!$D$59),Parameters!D228*(1-Parameters!$D$60))/$E$109)/$E$111</f>
        <v>0</v>
      </c>
      <c r="F331" s="50" t="s">
        <v>7</v>
      </c>
    </row>
    <row r="332" spans="1:6" s="20" customFormat="1" ht="30" customHeight="1" x14ac:dyDescent="0.3">
      <c r="A332" s="191" t="s">
        <v>27</v>
      </c>
      <c r="B332" s="194" t="s">
        <v>250</v>
      </c>
      <c r="C332" s="194" t="s">
        <v>282</v>
      </c>
      <c r="D332" s="194" t="s">
        <v>291</v>
      </c>
      <c r="E332" s="195">
        <f>($E$100)*(1-$E$105)*(Parameters!$D$263*SUM(Parameters!D169*(1-Parameters!$D$56),Parameters!D184*(1-Parameters!$D$57),Parameters!D199*(1-Parameters!$D$58),Parameters!D214*(1-Parameters!$D$59),Parameters!D229*(1-Parameters!$D$60))/$E$109)/$E$111</f>
        <v>0</v>
      </c>
      <c r="F332" s="50" t="s">
        <v>7</v>
      </c>
    </row>
    <row r="333" spans="1:6" s="20" customFormat="1" ht="30" customHeight="1" x14ac:dyDescent="0.3">
      <c r="A333" s="191" t="s">
        <v>27</v>
      </c>
      <c r="B333" s="194" t="s">
        <v>250</v>
      </c>
      <c r="C333" s="194" t="s">
        <v>282</v>
      </c>
      <c r="D333" s="194" t="s">
        <v>233</v>
      </c>
      <c r="E333" s="195">
        <f>($E$100)*(1-$E$105)*(Parameters!$D$263*SUM(Parameters!D170*(1-Parameters!$D$56),Parameters!D185*(1-Parameters!$D$57),Parameters!D200*(1-Parameters!$D$58),Parameters!D215*(1-Parameters!$D$59),Parameters!D230*(1-Parameters!$D$60))/$E$109)/$E$111</f>
        <v>0</v>
      </c>
      <c r="F333" s="50" t="s">
        <v>7</v>
      </c>
    </row>
    <row r="334" spans="1:6" s="20" customFormat="1" ht="30" customHeight="1" x14ac:dyDescent="0.3">
      <c r="A334" s="191" t="s">
        <v>27</v>
      </c>
      <c r="B334" s="194" t="s">
        <v>250</v>
      </c>
      <c r="C334" s="194" t="s">
        <v>282</v>
      </c>
      <c r="D334" s="194" t="s">
        <v>292</v>
      </c>
      <c r="E334" s="195">
        <f>($E$100)*(1-$E$105)*(Parameters!$D$263*SUM(Parameters!D171*(1-Parameters!$D$56),Parameters!D186*(1-Parameters!$D$57),Parameters!D201*(1-Parameters!$D$58),Parameters!D216*(1-Parameters!$D$59),Parameters!D231*(1-Parameters!$D$60))/$E$109)/$E$111</f>
        <v>0</v>
      </c>
      <c r="F334" s="50" t="s">
        <v>7</v>
      </c>
    </row>
    <row r="335" spans="1:6" s="20" customFormat="1" ht="30" customHeight="1" x14ac:dyDescent="0.3">
      <c r="A335" s="191" t="s">
        <v>27</v>
      </c>
      <c r="B335" s="194" t="s">
        <v>250</v>
      </c>
      <c r="C335" s="194" t="s">
        <v>282</v>
      </c>
      <c r="D335" s="194" t="s">
        <v>293</v>
      </c>
      <c r="E335" s="195">
        <f>($E$100)*(1-$E$105)*(Parameters!$D$263*SUM(Parameters!D172*(1-Parameters!$D$56),Parameters!D187*(1-Parameters!$D$57),Parameters!D202*(1-Parameters!$D$58),Parameters!D217*(1-Parameters!$D$59),Parameters!D232*(1-Parameters!$D$60))/$E$109)/$E$111</f>
        <v>0</v>
      </c>
      <c r="F335" s="50" t="s">
        <v>7</v>
      </c>
    </row>
    <row r="336" spans="1:6" s="20" customFormat="1" ht="30" customHeight="1" x14ac:dyDescent="0.3">
      <c r="A336" s="191" t="s">
        <v>27</v>
      </c>
      <c r="B336" s="194" t="s">
        <v>250</v>
      </c>
      <c r="C336" s="194" t="s">
        <v>282</v>
      </c>
      <c r="D336" s="194" t="s">
        <v>294</v>
      </c>
      <c r="E336" s="195">
        <f>($E$100)*(1-$E$105)*(Parameters!$D$263*SUM(Parameters!D173*(1-Parameters!$D$56),Parameters!D188*(1-Parameters!$D$57),Parameters!D203*(1-Parameters!$D$58),Parameters!D218*(1-Parameters!$D$59),Parameters!D233*(1-Parameters!$D$60))/$E$109)/$E$111</f>
        <v>0</v>
      </c>
      <c r="F336" s="50" t="s">
        <v>7</v>
      </c>
    </row>
    <row r="337" spans="1:7" s="20" customFormat="1" ht="30" customHeight="1" x14ac:dyDescent="0.3">
      <c r="A337" s="197" t="s">
        <v>27</v>
      </c>
      <c r="B337" s="198" t="s">
        <v>250</v>
      </c>
      <c r="C337" s="198" t="s">
        <v>282</v>
      </c>
      <c r="D337" s="199" t="s">
        <v>245</v>
      </c>
      <c r="E337" s="200">
        <f>SUM(E322:E336)</f>
        <v>0</v>
      </c>
      <c r="F337" s="201" t="str">
        <f>IF(ROUND(E337,3)=ROUND(SUM(E133),3), "PASS","FAIL")</f>
        <v>PASS</v>
      </c>
    </row>
    <row r="338" spans="1:7" s="20" customFormat="1" ht="15" customHeight="1" x14ac:dyDescent="0.3">
      <c r="B338" s="38"/>
      <c r="C338" s="38"/>
      <c r="D338" s="11"/>
      <c r="E338" s="11"/>
      <c r="F338" s="11"/>
      <c r="G338" s="11"/>
    </row>
    <row r="339" spans="1:7" s="10" customFormat="1" ht="25.8" customHeight="1" x14ac:dyDescent="0.45">
      <c r="B339" s="176"/>
      <c r="C339" s="176"/>
      <c r="D339" s="11"/>
      <c r="E339" s="11"/>
      <c r="F339" s="11"/>
      <c r="G339" s="11"/>
    </row>
    <row r="340" spans="1:7" s="10" customFormat="1" ht="15" customHeight="1" x14ac:dyDescent="0.3">
      <c r="D340" s="11"/>
      <c r="E340" s="11"/>
      <c r="F340" s="11"/>
      <c r="G340" s="11"/>
    </row>
    <row r="341" spans="1:7" s="10" customFormat="1" ht="15" customHeight="1" x14ac:dyDescent="0.3">
      <c r="D341" s="308"/>
      <c r="E341" s="96"/>
      <c r="F341" s="11"/>
      <c r="G341" s="11"/>
    </row>
    <row r="342" spans="1:7" s="10" customFormat="1" ht="15" customHeight="1" x14ac:dyDescent="0.3">
      <c r="D342" s="308"/>
      <c r="E342" s="96"/>
      <c r="F342" s="11"/>
      <c r="G342" s="11"/>
    </row>
    <row r="343" spans="1:7" s="10" customFormat="1" ht="15" customHeight="1" x14ac:dyDescent="0.3">
      <c r="D343" s="308"/>
      <c r="E343" s="96"/>
      <c r="F343" s="11"/>
      <c r="G343" s="11"/>
    </row>
    <row r="344" spans="1:7" s="10" customFormat="1" ht="15" customHeight="1" x14ac:dyDescent="0.3">
      <c r="D344" s="308"/>
      <c r="E344" s="96"/>
      <c r="F344" s="11"/>
      <c r="G344" s="11"/>
    </row>
    <row r="345" spans="1:7" s="10" customFormat="1" ht="15" customHeight="1" x14ac:dyDescent="0.3">
      <c r="D345" s="308"/>
      <c r="E345" s="96"/>
      <c r="F345" s="11"/>
      <c r="G345" s="11"/>
    </row>
    <row r="346" spans="1:7" s="10" customFormat="1" ht="15" customHeight="1" x14ac:dyDescent="0.3">
      <c r="D346" s="308"/>
      <c r="E346" s="96"/>
      <c r="F346" s="11"/>
      <c r="G346" s="11"/>
    </row>
    <row r="347" spans="1:7" s="10" customFormat="1" ht="15" customHeight="1" x14ac:dyDescent="0.3">
      <c r="D347" s="308"/>
      <c r="E347" s="96"/>
      <c r="F347" s="11"/>
      <c r="G347" s="11"/>
    </row>
    <row r="348" spans="1:7" s="10" customFormat="1" ht="15" customHeight="1" x14ac:dyDescent="0.3">
      <c r="D348" s="308"/>
      <c r="E348" s="96"/>
      <c r="F348" s="11"/>
      <c r="G348" s="11"/>
    </row>
    <row r="349" spans="1:7" s="10" customFormat="1" ht="15" customHeight="1" x14ac:dyDescent="0.3">
      <c r="D349" s="308"/>
      <c r="E349" s="96"/>
      <c r="F349" s="11"/>
      <c r="G349" s="11"/>
    </row>
    <row r="350" spans="1:7" s="10" customFormat="1" ht="15" customHeight="1" x14ac:dyDescent="0.3">
      <c r="B350" s="58"/>
      <c r="C350" s="58"/>
      <c r="D350" s="308"/>
      <c r="E350" s="96"/>
      <c r="F350" s="11"/>
      <c r="G350" s="11"/>
    </row>
    <row r="351" spans="1:7" s="10" customFormat="1" ht="15" customHeight="1" x14ac:dyDescent="0.3">
      <c r="B351" s="139"/>
      <c r="C351" s="139"/>
      <c r="D351" s="308"/>
      <c r="E351" s="11"/>
      <c r="F351" s="11"/>
      <c r="G351" s="11"/>
    </row>
    <row r="352" spans="1:7" s="10" customFormat="1" ht="15" customHeight="1" x14ac:dyDescent="0.3">
      <c r="D352" s="308"/>
      <c r="E352" s="96"/>
      <c r="F352" s="11"/>
      <c r="G352" s="11"/>
    </row>
    <row r="353" spans="2:7" s="10" customFormat="1" ht="15" customHeight="1" x14ac:dyDescent="0.3">
      <c r="D353" s="308"/>
      <c r="E353" s="96"/>
      <c r="F353" s="11"/>
      <c r="G353" s="11"/>
    </row>
    <row r="354" spans="2:7" s="10" customFormat="1" ht="15" customHeight="1" x14ac:dyDescent="0.3">
      <c r="D354" s="308"/>
      <c r="E354" s="96"/>
      <c r="F354" s="11"/>
      <c r="G354" s="11"/>
    </row>
    <row r="355" spans="2:7" s="10" customFormat="1" ht="15" customHeight="1" x14ac:dyDescent="0.3">
      <c r="D355" s="308"/>
      <c r="E355" s="96"/>
      <c r="F355" s="11"/>
      <c r="G355" s="11"/>
    </row>
    <row r="356" spans="2:7" s="10" customFormat="1" ht="15" customHeight="1" x14ac:dyDescent="0.3">
      <c r="D356" s="308"/>
      <c r="E356" s="96"/>
      <c r="F356" s="11"/>
      <c r="G356" s="11"/>
    </row>
    <row r="357" spans="2:7" s="10" customFormat="1" ht="15" customHeight="1" x14ac:dyDescent="0.3">
      <c r="D357" s="308"/>
      <c r="E357" s="96"/>
      <c r="F357" s="11"/>
      <c r="G357" s="11"/>
    </row>
    <row r="358" spans="2:7" s="10" customFormat="1" ht="15" customHeight="1" x14ac:dyDescent="0.3">
      <c r="D358" s="308"/>
      <c r="E358" s="96"/>
      <c r="F358" s="11"/>
      <c r="G358" s="11"/>
    </row>
    <row r="359" spans="2:7" s="10" customFormat="1" ht="15" customHeight="1" x14ac:dyDescent="0.3">
      <c r="D359" s="308"/>
      <c r="E359" s="96"/>
      <c r="F359" s="11"/>
      <c r="G359" s="11"/>
    </row>
    <row r="360" spans="2:7" s="10" customFormat="1" ht="15" customHeight="1" x14ac:dyDescent="0.3">
      <c r="D360" s="308"/>
      <c r="E360" s="96"/>
      <c r="F360" s="11"/>
      <c r="G360" s="11"/>
    </row>
    <row r="361" spans="2:7" s="10" customFormat="1" ht="15" customHeight="1" x14ac:dyDescent="0.3">
      <c r="B361" s="58"/>
      <c r="C361" s="58"/>
      <c r="D361" s="308"/>
      <c r="E361" s="96"/>
      <c r="F361" s="11"/>
      <c r="G361" s="11"/>
    </row>
    <row r="362" spans="2:7" s="10" customFormat="1" ht="17.399999999999999" customHeight="1" x14ac:dyDescent="0.3">
      <c r="B362" s="139"/>
      <c r="C362" s="139"/>
      <c r="D362" s="308"/>
      <c r="E362" s="11"/>
    </row>
    <row r="363" spans="2:7" s="10" customFormat="1" ht="43.8" customHeight="1" x14ac:dyDescent="0.3"/>
    <row r="364" spans="2:7" s="10" customFormat="1" ht="15" customHeight="1" x14ac:dyDescent="0.3"/>
    <row r="365" spans="2:7" s="10" customFormat="1" ht="15" customHeight="1" x14ac:dyDescent="0.3"/>
    <row r="366" spans="2:7" s="10" customFormat="1" ht="15" customHeight="1" x14ac:dyDescent="0.3"/>
    <row r="367" spans="2:7" s="10" customFormat="1" ht="15" customHeight="1" x14ac:dyDescent="0.3"/>
    <row r="368" spans="2:7" s="10" customFormat="1" ht="15" customHeight="1" x14ac:dyDescent="0.3"/>
    <row r="369" spans="2:9" s="10" customFormat="1" ht="15" customHeight="1" x14ac:dyDescent="0.3"/>
    <row r="370" spans="2:9" s="10" customFormat="1" ht="15" customHeight="1" x14ac:dyDescent="0.3"/>
    <row r="371" spans="2:9" s="10" customFormat="1" ht="15" customHeight="1" x14ac:dyDescent="0.3"/>
    <row r="372" spans="2:9" s="10" customFormat="1" ht="15" customHeight="1" x14ac:dyDescent="0.3"/>
    <row r="373" spans="2:9" s="10" customFormat="1" ht="15" customHeight="1" x14ac:dyDescent="0.3"/>
    <row r="374" spans="2:9" s="10" customFormat="1" ht="15" customHeight="1" x14ac:dyDescent="0.3"/>
    <row r="375" spans="2:9" s="10" customFormat="1" ht="15" customHeight="1" x14ac:dyDescent="0.3"/>
    <row r="376" spans="2:9" s="10" customFormat="1" ht="15" customHeight="1" x14ac:dyDescent="0.6">
      <c r="B376" s="85"/>
      <c r="C376" s="85"/>
      <c r="D376" s="86"/>
      <c r="E376" s="87"/>
      <c r="F376" s="88"/>
      <c r="H376" s="93"/>
    </row>
    <row r="377" spans="2:9" s="10" customFormat="1" ht="15" customHeight="1" x14ac:dyDescent="0.3">
      <c r="B377" s="301"/>
      <c r="C377" s="169"/>
      <c r="D377" s="15"/>
      <c r="E377" s="50"/>
      <c r="F377" s="75"/>
      <c r="G377" s="76"/>
    </row>
    <row r="378" spans="2:9" s="10" customFormat="1" ht="15" customHeight="1" x14ac:dyDescent="0.3">
      <c r="B378" s="301"/>
      <c r="C378" s="169"/>
      <c r="D378" s="15"/>
      <c r="F378" s="51"/>
      <c r="G378" s="11"/>
    </row>
    <row r="379" spans="2:9" s="10" customFormat="1" ht="15" customHeight="1" x14ac:dyDescent="0.3">
      <c r="B379" s="89"/>
      <c r="C379" s="169"/>
      <c r="D379" s="15"/>
      <c r="E379" s="58"/>
      <c r="F379" s="59"/>
      <c r="G379" s="11"/>
    </row>
    <row r="380" spans="2:9" s="10" customFormat="1" ht="15" customHeight="1" x14ac:dyDescent="0.3">
      <c r="B380" s="89"/>
      <c r="C380" s="169"/>
      <c r="D380" s="15"/>
      <c r="E380" s="58"/>
      <c r="F380" s="59"/>
      <c r="G380" s="11"/>
    </row>
    <row r="381" spans="2:9" s="10" customFormat="1" ht="15" customHeight="1" x14ac:dyDescent="0.35">
      <c r="B381" s="90"/>
      <c r="C381" s="90"/>
    </row>
    <row r="382" spans="2:9" s="10" customFormat="1" ht="15" customHeight="1" x14ac:dyDescent="0.3">
      <c r="B382" s="15"/>
      <c r="C382" s="15"/>
      <c r="E382" s="52"/>
      <c r="H382" s="94"/>
      <c r="I382" s="27"/>
    </row>
    <row r="383" spans="2:9" s="10" customFormat="1" ht="15" customHeight="1" x14ac:dyDescent="0.3">
      <c r="B383" s="15"/>
      <c r="C383" s="15"/>
      <c r="E383" s="52"/>
      <c r="H383" s="79"/>
      <c r="I383" s="79"/>
    </row>
    <row r="384" spans="2:9" s="10" customFormat="1" ht="15" customHeight="1" x14ac:dyDescent="0.3">
      <c r="B384" s="15"/>
      <c r="C384" s="15"/>
      <c r="E384" s="52"/>
      <c r="H384" s="80"/>
      <c r="I384" s="93"/>
    </row>
    <row r="385" spans="2:9" s="10" customFormat="1" ht="15" customHeight="1" x14ac:dyDescent="0.3">
      <c r="B385" s="15"/>
      <c r="C385" s="15"/>
      <c r="E385" s="52"/>
      <c r="F385" s="91"/>
      <c r="H385" s="80"/>
      <c r="I385" s="93"/>
    </row>
    <row r="386" spans="2:9" s="10" customFormat="1" ht="15" customHeight="1" x14ac:dyDescent="0.3">
      <c r="D386" s="58"/>
      <c r="E386" s="92"/>
      <c r="F386" s="78"/>
      <c r="H386" s="80"/>
      <c r="I386" s="93"/>
    </row>
    <row r="387" spans="2:9" s="10" customFormat="1" ht="15" customHeight="1" x14ac:dyDescent="0.3">
      <c r="E387" s="45"/>
      <c r="F387" s="78"/>
      <c r="H387" s="80"/>
      <c r="I387" s="93"/>
    </row>
    <row r="388" spans="2:9" s="10" customFormat="1" ht="15" customHeight="1" x14ac:dyDescent="0.35">
      <c r="B388" s="90"/>
      <c r="C388" s="90"/>
      <c r="H388" s="80"/>
      <c r="I388" s="93"/>
    </row>
    <row r="389" spans="2:9" s="10" customFormat="1" ht="15" customHeight="1" x14ac:dyDescent="0.3">
      <c r="B389" s="11"/>
      <c r="C389" s="11"/>
      <c r="D389" s="11"/>
      <c r="E389" s="79"/>
      <c r="H389" s="80"/>
      <c r="I389" s="93"/>
    </row>
    <row r="390" spans="2:9" s="10" customFormat="1" ht="15" customHeight="1" x14ac:dyDescent="0.3">
      <c r="B390" s="50"/>
      <c r="C390" s="50"/>
      <c r="D390" s="54"/>
      <c r="E390" s="54"/>
      <c r="G390" s="307"/>
      <c r="H390" s="80"/>
      <c r="I390" s="93"/>
    </row>
    <row r="391" spans="2:9" s="10" customFormat="1" ht="15" customHeight="1" x14ac:dyDescent="0.3">
      <c r="B391" s="50"/>
      <c r="C391" s="50"/>
      <c r="D391" s="54"/>
      <c r="E391" s="54"/>
      <c r="G391" s="307"/>
      <c r="H391" s="80"/>
      <c r="I391" s="93"/>
    </row>
    <row r="392" spans="2:9" s="10" customFormat="1" ht="15" customHeight="1" x14ac:dyDescent="0.3">
      <c r="B392" s="50"/>
      <c r="C392" s="50"/>
      <c r="E392" s="54"/>
      <c r="H392" s="80"/>
      <c r="I392" s="93"/>
    </row>
    <row r="393" spans="2:9" s="10" customFormat="1" ht="15" customHeight="1" x14ac:dyDescent="0.3">
      <c r="B393" s="50"/>
      <c r="C393" s="50"/>
      <c r="E393" s="52"/>
    </row>
    <row r="394" spans="2:9" s="10" customFormat="1" ht="15" customHeight="1" x14ac:dyDescent="0.35">
      <c r="B394" s="90"/>
      <c r="C394" s="90"/>
    </row>
    <row r="395" spans="2:9" s="10" customFormat="1" ht="15" customHeight="1" x14ac:dyDescent="0.35">
      <c r="B395" s="90"/>
      <c r="C395" s="90"/>
    </row>
    <row r="396" spans="2:9" s="10" customFormat="1" ht="15" customHeight="1" x14ac:dyDescent="0.3">
      <c r="G396" s="94"/>
    </row>
    <row r="397" spans="2:9" s="10" customFormat="1" ht="15" customHeight="1" x14ac:dyDescent="0.3">
      <c r="B397" s="79"/>
      <c r="C397" s="79"/>
      <c r="D397" s="79"/>
      <c r="E397" s="11"/>
      <c r="F397" s="79"/>
      <c r="G397" s="79"/>
    </row>
    <row r="398" spans="2:9" s="10" customFormat="1" ht="15" customHeight="1" x14ac:dyDescent="0.3">
      <c r="E398" s="54"/>
      <c r="F398" s="80"/>
      <c r="G398" s="80"/>
    </row>
    <row r="399" spans="2:9" s="10" customFormat="1" ht="15" customHeight="1" x14ac:dyDescent="0.3">
      <c r="E399" s="54"/>
      <c r="F399" s="80"/>
      <c r="G399" s="80"/>
    </row>
    <row r="400" spans="2:9" s="10" customFormat="1" ht="15" customHeight="1" x14ac:dyDescent="0.3">
      <c r="E400" s="54"/>
      <c r="F400" s="80"/>
      <c r="G400" s="80"/>
    </row>
    <row r="401" spans="2:10" s="10" customFormat="1" ht="15" customHeight="1" x14ac:dyDescent="0.3">
      <c r="E401" s="54"/>
      <c r="F401" s="80"/>
      <c r="G401" s="80"/>
    </row>
    <row r="402" spans="2:10" s="10" customFormat="1" ht="15" customHeight="1" x14ac:dyDescent="0.3">
      <c r="E402" s="54"/>
      <c r="F402" s="80"/>
      <c r="G402" s="80"/>
    </row>
    <row r="403" spans="2:10" s="10" customFormat="1" ht="15" customHeight="1" x14ac:dyDescent="0.3">
      <c r="E403" s="54"/>
      <c r="F403" s="80"/>
      <c r="G403" s="80"/>
    </row>
    <row r="404" spans="2:10" s="10" customFormat="1" ht="15" customHeight="1" x14ac:dyDescent="0.3">
      <c r="E404" s="54"/>
      <c r="F404" s="80"/>
      <c r="G404" s="80"/>
    </row>
    <row r="405" spans="2:10" s="10" customFormat="1" ht="15" customHeight="1" x14ac:dyDescent="0.3">
      <c r="E405" s="54"/>
      <c r="F405" s="80"/>
      <c r="G405" s="80"/>
    </row>
    <row r="406" spans="2:10" s="10" customFormat="1" ht="15" customHeight="1" x14ac:dyDescent="0.3">
      <c r="E406" s="54"/>
      <c r="F406" s="80"/>
      <c r="G406" s="80"/>
    </row>
    <row r="407" spans="2:10" s="10" customFormat="1" ht="15" customHeight="1" x14ac:dyDescent="0.3">
      <c r="B407" s="58"/>
      <c r="C407" s="58"/>
      <c r="D407" s="11"/>
      <c r="F407" s="78"/>
      <c r="G407" s="307"/>
    </row>
    <row r="408" spans="2:10" s="10" customFormat="1" ht="15" customHeight="1" x14ac:dyDescent="0.3">
      <c r="D408" s="11"/>
      <c r="F408" s="11"/>
      <c r="G408" s="307"/>
    </row>
    <row r="409" spans="2:10" s="10" customFormat="1" ht="15" customHeight="1" x14ac:dyDescent="0.35">
      <c r="J409" s="90"/>
    </row>
    <row r="410" spans="2:10" s="10" customFormat="1" ht="15" customHeight="1" x14ac:dyDescent="0.35">
      <c r="B410" s="90"/>
      <c r="C410" s="90"/>
    </row>
    <row r="411" spans="2:10" s="10" customFormat="1" ht="15" customHeight="1" x14ac:dyDescent="0.3">
      <c r="D411" s="88"/>
      <c r="E411" s="88"/>
    </row>
    <row r="412" spans="2:10" s="10" customFormat="1" ht="15" customHeight="1" x14ac:dyDescent="0.3">
      <c r="D412" s="88"/>
      <c r="E412" s="88"/>
      <c r="F412" s="11"/>
    </row>
    <row r="413" spans="2:10" s="10" customFormat="1" ht="15" customHeight="1" x14ac:dyDescent="0.3">
      <c r="D413" s="56"/>
      <c r="E413" s="57"/>
      <c r="F413" s="11"/>
    </row>
    <row r="414" spans="2:10" s="10" customFormat="1" ht="15" customHeight="1" x14ac:dyDescent="0.3">
      <c r="D414" s="56"/>
      <c r="E414" s="57"/>
      <c r="F414" s="11"/>
    </row>
    <row r="415" spans="2:10" s="10" customFormat="1" ht="15" customHeight="1" x14ac:dyDescent="0.3"/>
    <row r="416" spans="2:10" s="10" customFormat="1" ht="15" customHeight="1" x14ac:dyDescent="0.35">
      <c r="B416" s="90"/>
      <c r="C416" s="90"/>
      <c r="G416" s="78"/>
    </row>
    <row r="417" spans="2:7" s="10" customFormat="1" ht="15" customHeight="1" x14ac:dyDescent="0.3">
      <c r="B417" s="84"/>
      <c r="C417" s="163"/>
      <c r="D417" s="11"/>
      <c r="E417" s="79"/>
      <c r="F417" s="79"/>
    </row>
    <row r="418" spans="2:7" s="10" customFormat="1" ht="15" customHeight="1" x14ac:dyDescent="0.3">
      <c r="D418" s="52"/>
      <c r="E418" s="52"/>
      <c r="F418" s="81"/>
      <c r="G418" s="78"/>
    </row>
    <row r="419" spans="2:7" s="10" customFormat="1" ht="15" customHeight="1" x14ac:dyDescent="0.3">
      <c r="D419" s="52"/>
      <c r="E419" s="52"/>
      <c r="F419" s="82"/>
      <c r="G419" s="78"/>
    </row>
    <row r="420" spans="2:7" s="10" customFormat="1" ht="15" customHeight="1" x14ac:dyDescent="0.3">
      <c r="D420" s="52"/>
      <c r="E420" s="52"/>
      <c r="G420" s="78"/>
    </row>
    <row r="421" spans="2:7" s="10" customFormat="1" ht="15" customHeight="1" x14ac:dyDescent="0.3">
      <c r="D421" s="52"/>
      <c r="E421" s="52"/>
      <c r="F421" s="81"/>
      <c r="G421" s="78"/>
    </row>
    <row r="422" spans="2:7" s="10" customFormat="1" ht="15" customHeight="1" x14ac:dyDescent="0.3">
      <c r="D422" s="52"/>
      <c r="E422" s="52"/>
      <c r="F422" s="81"/>
      <c r="G422" s="78"/>
    </row>
    <row r="423" spans="2:7" s="10" customFormat="1" ht="15" customHeight="1" x14ac:dyDescent="0.3">
      <c r="D423" s="52"/>
      <c r="E423" s="52"/>
      <c r="F423" s="81"/>
      <c r="G423" s="78"/>
    </row>
    <row r="424" spans="2:7" s="10" customFormat="1" ht="15" customHeight="1" x14ac:dyDescent="0.3">
      <c r="D424" s="52"/>
      <c r="E424" s="52"/>
      <c r="F424" s="81"/>
      <c r="G424" s="78"/>
    </row>
    <row r="425" spans="2:7" s="10" customFormat="1" ht="15" customHeight="1" x14ac:dyDescent="0.3">
      <c r="D425" s="52"/>
      <c r="E425" s="52"/>
    </row>
    <row r="426" spans="2:7" s="10" customFormat="1" ht="15" customHeight="1" x14ac:dyDescent="0.3">
      <c r="B426" s="58"/>
      <c r="C426" s="58"/>
      <c r="D426" s="11"/>
      <c r="E426" s="51"/>
      <c r="F426" s="291"/>
      <c r="G426" s="83"/>
    </row>
    <row r="427" spans="2:7" s="10" customFormat="1" ht="15" customHeight="1" x14ac:dyDescent="0.3">
      <c r="D427" s="11"/>
      <c r="E427" s="78"/>
      <c r="F427" s="291"/>
    </row>
    <row r="428" spans="2:7" s="10" customFormat="1" ht="15" customHeight="1" x14ac:dyDescent="0.3">
      <c r="D428" s="11"/>
      <c r="E428" s="78"/>
      <c r="F428" s="84"/>
    </row>
    <row r="429" spans="2:7" ht="15" customHeight="1" x14ac:dyDescent="0.35">
      <c r="B429" s="90"/>
      <c r="C429" s="90"/>
      <c r="D429" s="10"/>
      <c r="E429" s="10"/>
      <c r="F429" s="10"/>
      <c r="G429" s="10"/>
    </row>
    <row r="430" spans="2:7" ht="15" customHeight="1" x14ac:dyDescent="0.3">
      <c r="B430" s="84"/>
      <c r="C430" s="163"/>
      <c r="D430" s="79"/>
      <c r="E430" s="79"/>
      <c r="F430" s="10"/>
      <c r="G430" s="10"/>
    </row>
    <row r="431" spans="2:7" ht="15" customHeight="1" x14ac:dyDescent="0.3">
      <c r="B431" s="10"/>
      <c r="C431" s="10"/>
      <c r="D431" s="15"/>
      <c r="E431" s="54"/>
      <c r="F431" s="81"/>
      <c r="G431" s="10"/>
    </row>
    <row r="432" spans="2:7" ht="15" customHeight="1" x14ac:dyDescent="0.3">
      <c r="B432" s="10"/>
      <c r="C432" s="10"/>
      <c r="D432" s="15"/>
      <c r="E432" s="54"/>
      <c r="F432" s="82"/>
      <c r="G432" s="10"/>
    </row>
    <row r="433" spans="2:7" ht="15" customHeight="1" x14ac:dyDescent="0.3">
      <c r="B433" s="10"/>
      <c r="C433" s="10"/>
      <c r="D433" s="15"/>
      <c r="E433" s="54"/>
      <c r="F433" s="10"/>
      <c r="G433" s="10"/>
    </row>
    <row r="434" spans="2:7" ht="15" customHeight="1" x14ac:dyDescent="0.3">
      <c r="B434" s="10"/>
      <c r="C434" s="10"/>
      <c r="D434" s="15"/>
      <c r="E434" s="54"/>
      <c r="F434" s="81"/>
      <c r="G434" s="10"/>
    </row>
    <row r="435" spans="2:7" ht="15" customHeight="1" x14ac:dyDescent="0.3">
      <c r="B435" s="10"/>
      <c r="C435" s="10"/>
      <c r="D435" s="15"/>
      <c r="E435" s="54"/>
      <c r="F435" s="81"/>
      <c r="G435" s="10"/>
    </row>
    <row r="436" spans="2:7" ht="15" customHeight="1" x14ac:dyDescent="0.3">
      <c r="B436" s="10"/>
      <c r="C436" s="10"/>
      <c r="D436" s="15"/>
      <c r="E436" s="54"/>
      <c r="F436" s="81"/>
      <c r="G436" s="10"/>
    </row>
    <row r="437" spans="2:7" ht="15" customHeight="1" x14ac:dyDescent="0.3">
      <c r="B437" s="10"/>
      <c r="C437" s="10"/>
      <c r="D437" s="15"/>
      <c r="E437" s="54"/>
      <c r="F437" s="81"/>
      <c r="G437" s="10"/>
    </row>
    <row r="438" spans="2:7" ht="15" customHeight="1" x14ac:dyDescent="0.3">
      <c r="B438" s="10"/>
      <c r="C438" s="10"/>
      <c r="D438" s="10"/>
      <c r="E438" s="54"/>
      <c r="F438" s="10"/>
      <c r="G438" s="10"/>
    </row>
    <row r="439" spans="2:7" ht="15" customHeight="1" x14ac:dyDescent="0.3">
      <c r="B439" s="58"/>
      <c r="C439" s="58"/>
      <c r="D439" s="11"/>
      <c r="E439" s="51"/>
      <c r="F439" s="291"/>
      <c r="G439" s="10"/>
    </row>
    <row r="440" spans="2:7" ht="15" customHeight="1" x14ac:dyDescent="0.3">
      <c r="B440" s="10"/>
      <c r="C440" s="10"/>
      <c r="D440" s="11"/>
      <c r="E440" s="78"/>
      <c r="F440" s="291"/>
      <c r="G440" s="10"/>
    </row>
    <row r="441" spans="2:7" ht="15" customHeight="1" x14ac:dyDescent="0.3">
      <c r="B441" s="10"/>
      <c r="C441" s="10"/>
      <c r="D441" s="10"/>
      <c r="E441" s="10"/>
      <c r="F441" s="10"/>
      <c r="G441" s="10"/>
    </row>
    <row r="442" spans="2:7" ht="15" customHeight="1" x14ac:dyDescent="0.3">
      <c r="B442" s="10"/>
      <c r="C442" s="10"/>
      <c r="D442" s="10"/>
      <c r="E442" s="10"/>
      <c r="F442" s="10"/>
      <c r="G442" s="10"/>
    </row>
  </sheetData>
  <mergeCells count="20">
    <mergeCell ref="G407:G408"/>
    <mergeCell ref="G390:G391"/>
    <mergeCell ref="D341:D351"/>
    <mergeCell ref="D352:D362"/>
    <mergeCell ref="B50:B55"/>
    <mergeCell ref="A2:A55"/>
    <mergeCell ref="F439:F440"/>
    <mergeCell ref="B94:B99"/>
    <mergeCell ref="B2:B17"/>
    <mergeCell ref="B18:B33"/>
    <mergeCell ref="B34:B49"/>
    <mergeCell ref="B72:B77"/>
    <mergeCell ref="B56:B71"/>
    <mergeCell ref="B100:B105"/>
    <mergeCell ref="B377:B378"/>
    <mergeCell ref="F426:F427"/>
    <mergeCell ref="A106:F106"/>
    <mergeCell ref="A56:A77"/>
    <mergeCell ref="B78:B93"/>
    <mergeCell ref="A78:A99"/>
  </mergeCells>
  <conditionalFormatting sqref="F135 F116 F257 D338:G340 F341:G361 F121 E136:E145 F145 F155 B186:B235 E165:F165 E175:F175 E185:F185 F195 F205 F215 F225 F235 F241 E273:F273 E289:F289 E305:F305 F321 F337 E216:E235">
    <cfRule type="containsText" dxfId="97" priority="191" operator="containsText" text="FAIL">
      <formula>NOT(ISERROR(SEARCH("FAIL",B116)))</formula>
    </cfRule>
  </conditionalFormatting>
  <conditionalFormatting sqref="F195">
    <cfRule type="containsText" dxfId="96" priority="181" operator="containsText" text="FAIL">
      <formula>NOT(ISERROR(SEARCH("FAIL",F195)))</formula>
    </cfRule>
  </conditionalFormatting>
  <conditionalFormatting sqref="F49">
    <cfRule type="cellIs" dxfId="95" priority="178" operator="equal">
      <formula>"FAIL"</formula>
    </cfRule>
  </conditionalFormatting>
  <conditionalFormatting sqref="F71">
    <cfRule type="cellIs" dxfId="94" priority="171" operator="equal">
      <formula>"FAIL"</formula>
    </cfRule>
  </conditionalFormatting>
  <conditionalFormatting sqref="F93">
    <cfRule type="cellIs" dxfId="93" priority="170" operator="equal">
      <formula>"FAIL"</formula>
    </cfRule>
  </conditionalFormatting>
  <conditionalFormatting sqref="F125">
    <cfRule type="containsText" dxfId="92" priority="169" operator="containsText" text="FAIL">
      <formula>NOT(ISERROR(SEARCH("FAIL",F125)))</formula>
    </cfRule>
  </conditionalFormatting>
  <conditionalFormatting sqref="F130">
    <cfRule type="containsText" dxfId="91" priority="167" operator="containsText" text="FAIL">
      <formula>NOT(ISERROR(SEARCH("FAIL",F130)))</formula>
    </cfRule>
  </conditionalFormatting>
  <conditionalFormatting sqref="E146">
    <cfRule type="containsText" dxfId="90" priority="164" operator="containsText" text="FAIL">
      <formula>NOT(ISERROR(SEARCH("FAIL",E146)))</formula>
    </cfRule>
  </conditionalFormatting>
  <conditionalFormatting sqref="E176">
    <cfRule type="containsText" dxfId="89" priority="163" operator="containsText" text="FAIL">
      <formula>NOT(ISERROR(SEARCH("FAIL",E176)))</formula>
    </cfRule>
  </conditionalFormatting>
  <conditionalFormatting sqref="E186">
    <cfRule type="containsText" dxfId="88" priority="162" operator="containsText" text="FAIL">
      <formula>NOT(ISERROR(SEARCH("FAIL",E186)))</formula>
    </cfRule>
  </conditionalFormatting>
  <conditionalFormatting sqref="E147:E154">
    <cfRule type="containsText" dxfId="87" priority="159" operator="containsText" text="FAIL">
      <formula>NOT(ISERROR(SEARCH("FAIL",E147)))</formula>
    </cfRule>
  </conditionalFormatting>
  <conditionalFormatting sqref="E177:E184">
    <cfRule type="containsText" dxfId="86" priority="158" operator="containsText" text="FAIL">
      <formula>NOT(ISERROR(SEARCH("FAIL",E177)))</formula>
    </cfRule>
  </conditionalFormatting>
  <conditionalFormatting sqref="F155">
    <cfRule type="containsText" dxfId="85" priority="157" operator="containsText" text="FAIL">
      <formula>NOT(ISERROR(SEARCH("FAIL",F155)))</formula>
    </cfRule>
  </conditionalFormatting>
  <conditionalFormatting sqref="E195">
    <cfRule type="containsText" dxfId="84" priority="153" operator="containsText" text="FAIL">
      <formula>NOT(ISERROR(SEARCH("FAIL",E195)))</formula>
    </cfRule>
  </conditionalFormatting>
  <conditionalFormatting sqref="E187:E194">
    <cfRule type="containsText" dxfId="83" priority="152" operator="containsText" text="FAIL">
      <formula>NOT(ISERROR(SEARCH("FAIL",E187)))</formula>
    </cfRule>
  </conditionalFormatting>
  <conditionalFormatting sqref="E196">
    <cfRule type="containsText" dxfId="82" priority="151" operator="containsText" text="FAIL">
      <formula>NOT(ISERROR(SEARCH("FAIL",E196)))</formula>
    </cfRule>
  </conditionalFormatting>
  <conditionalFormatting sqref="E226">
    <cfRule type="containsText" dxfId="81" priority="150" operator="containsText" text="FAIL">
      <formula>NOT(ISERROR(SEARCH("FAIL",E226)))</formula>
    </cfRule>
  </conditionalFormatting>
  <conditionalFormatting sqref="E197:E205">
    <cfRule type="containsText" dxfId="80" priority="149" operator="containsText" text="FAIL">
      <formula>NOT(ISERROR(SEARCH("FAIL",E197)))</formula>
    </cfRule>
  </conditionalFormatting>
  <conditionalFormatting sqref="E227:E234">
    <cfRule type="containsText" dxfId="79" priority="148" operator="containsText" text="FAIL">
      <formula>NOT(ISERROR(SEARCH("FAIL",E227)))</formula>
    </cfRule>
  </conditionalFormatting>
  <conditionalFormatting sqref="E321">
    <cfRule type="containsText" dxfId="78" priority="143" operator="containsText" text="FAIL">
      <formula>NOT(ISERROR(SEARCH("FAIL",E321)))</formula>
    </cfRule>
  </conditionalFormatting>
  <conditionalFormatting sqref="E337">
    <cfRule type="containsText" dxfId="77" priority="142" operator="containsText" text="FAIL">
      <formula>NOT(ISERROR(SEARCH("FAIL",E337)))</formula>
    </cfRule>
  </conditionalFormatting>
  <conditionalFormatting sqref="F321">
    <cfRule type="containsText" dxfId="76" priority="141" operator="containsText" text="FAIL">
      <formula>NOT(ISERROR(SEARCH("FAIL",F321)))</formula>
    </cfRule>
  </conditionalFormatting>
  <conditionalFormatting sqref="F337">
    <cfRule type="containsText" dxfId="75" priority="140" operator="containsText" text="FAIL">
      <formula>NOT(ISERROR(SEARCH("FAIL",F337)))</formula>
    </cfRule>
  </conditionalFormatting>
  <conditionalFormatting sqref="E350:E351">
    <cfRule type="containsText" dxfId="74" priority="139" operator="containsText" text="FAIL">
      <formula>NOT(ISERROR(SEARCH("FAIL",E350)))</formula>
    </cfRule>
  </conditionalFormatting>
  <conditionalFormatting sqref="E341">
    <cfRule type="containsText" dxfId="73" priority="138" operator="containsText" text="FAIL">
      <formula>NOT(ISERROR(SEARCH("FAIL",E341)))</formula>
    </cfRule>
  </conditionalFormatting>
  <conditionalFormatting sqref="E342:E349">
    <cfRule type="containsText" dxfId="72" priority="137" operator="containsText" text="FAIL">
      <formula>NOT(ISERROR(SEARCH("FAIL",E342)))</formula>
    </cfRule>
  </conditionalFormatting>
  <conditionalFormatting sqref="E361:E362">
    <cfRule type="containsText" dxfId="71" priority="136" operator="containsText" text="FAIL">
      <formula>NOT(ISERROR(SEARCH("FAIL",E361)))</formula>
    </cfRule>
  </conditionalFormatting>
  <conditionalFormatting sqref="E352">
    <cfRule type="containsText" dxfId="70" priority="135" operator="containsText" text="FAIL">
      <formula>NOT(ISERROR(SEARCH("FAIL",E352)))</formula>
    </cfRule>
  </conditionalFormatting>
  <conditionalFormatting sqref="E353:E360">
    <cfRule type="containsText" dxfId="69" priority="134" operator="containsText" text="FAIL">
      <formula>NOT(ISERROR(SEARCH("FAIL",E353)))</formula>
    </cfRule>
  </conditionalFormatting>
  <conditionalFormatting sqref="E158">
    <cfRule type="containsText" dxfId="68" priority="119" operator="containsText" text="FAIL">
      <formula>NOT(ISERROR(SEARCH("FAIL",E158)))</formula>
    </cfRule>
  </conditionalFormatting>
  <conditionalFormatting sqref="E160">
    <cfRule type="containsText" dxfId="67" priority="117" operator="containsText" text="FAIL">
      <formula>NOT(ISERROR(SEARCH("FAIL",E160)))</formula>
    </cfRule>
  </conditionalFormatting>
  <conditionalFormatting sqref="E163">
    <cfRule type="containsText" dxfId="66" priority="114" operator="containsText" text="FAIL">
      <formula>NOT(ISERROR(SEARCH("FAIL",E163)))</formula>
    </cfRule>
  </conditionalFormatting>
  <conditionalFormatting sqref="E156">
    <cfRule type="containsText" dxfId="65" priority="127" operator="containsText" text="FAIL">
      <formula>NOT(ISERROR(SEARCH("FAIL",E156)))</formula>
    </cfRule>
  </conditionalFormatting>
  <conditionalFormatting sqref="E167:E174">
    <cfRule type="containsText" dxfId="64" priority="126" operator="containsText" text="FAIL">
      <formula>NOT(ISERROR(SEARCH("FAIL",E167)))</formula>
    </cfRule>
  </conditionalFormatting>
  <conditionalFormatting sqref="E166">
    <cfRule type="containsText" dxfId="63" priority="125" operator="containsText" text="FAIL">
      <formula>NOT(ISERROR(SEARCH("FAIL",E166)))</formula>
    </cfRule>
  </conditionalFormatting>
  <conditionalFormatting sqref="E161">
    <cfRule type="containsText" dxfId="62" priority="116" operator="containsText" text="FAIL">
      <formula>NOT(ISERROR(SEARCH("FAIL",E161)))</formula>
    </cfRule>
  </conditionalFormatting>
  <conditionalFormatting sqref="E164">
    <cfRule type="containsText" dxfId="61" priority="113" operator="containsText" text="FAIL">
      <formula>NOT(ISERROR(SEARCH("FAIL",E164)))</formula>
    </cfRule>
  </conditionalFormatting>
  <conditionalFormatting sqref="E157">
    <cfRule type="containsText" dxfId="60" priority="120" operator="containsText" text="FAIL">
      <formula>NOT(ISERROR(SEARCH("FAIL",E157)))</formula>
    </cfRule>
  </conditionalFormatting>
  <conditionalFormatting sqref="E159">
    <cfRule type="containsText" dxfId="59" priority="118" operator="containsText" text="FAIL">
      <formula>NOT(ISERROR(SEARCH("FAIL",E159)))</formula>
    </cfRule>
  </conditionalFormatting>
  <conditionalFormatting sqref="E162">
    <cfRule type="containsText" dxfId="58" priority="115" operator="containsText" text="FAIL">
      <formula>NOT(ISERROR(SEARCH("FAIL",E162)))</formula>
    </cfRule>
  </conditionalFormatting>
  <conditionalFormatting sqref="E206">
    <cfRule type="containsText" dxfId="57" priority="112" operator="containsText" text="FAIL">
      <formula>NOT(ISERROR(SEARCH("FAIL",E206)))</formula>
    </cfRule>
  </conditionalFormatting>
  <conditionalFormatting sqref="E206">
    <cfRule type="containsText" dxfId="56" priority="111" operator="containsText" text="FAIL">
      <formula>NOT(ISERROR(SEARCH("FAIL",E206)))</formula>
    </cfRule>
  </conditionalFormatting>
  <conditionalFormatting sqref="E216">
    <cfRule type="containsText" dxfId="55" priority="110" operator="containsText" text="FAIL">
      <formula>NOT(ISERROR(SEARCH("FAIL",E216)))</formula>
    </cfRule>
  </conditionalFormatting>
  <conditionalFormatting sqref="E217">
    <cfRule type="containsText" dxfId="54" priority="109" operator="containsText" text="FAIL">
      <formula>NOT(ISERROR(SEARCH("FAIL",E217)))</formula>
    </cfRule>
  </conditionalFormatting>
  <conditionalFormatting sqref="E218">
    <cfRule type="containsText" dxfId="53" priority="108" operator="containsText" text="FAIL">
      <formula>NOT(ISERROR(SEARCH("FAIL",E218)))</formula>
    </cfRule>
  </conditionalFormatting>
  <conditionalFormatting sqref="E219:E225">
    <cfRule type="containsText" dxfId="52" priority="107" operator="containsText" text="FAIL">
      <formula>NOT(ISERROR(SEARCH("FAIL",E219)))</formula>
    </cfRule>
  </conditionalFormatting>
  <conditionalFormatting sqref="E215">
    <cfRule type="containsText" dxfId="51" priority="106" operator="containsText" text="FAIL">
      <formula>NOT(ISERROR(SEARCH("FAIL",E215)))</formula>
    </cfRule>
  </conditionalFormatting>
  <conditionalFormatting sqref="E215">
    <cfRule type="containsText" dxfId="50" priority="105" operator="containsText" text="FAIL">
      <formula>NOT(ISERROR(SEARCH("FAIL",E215)))</formula>
    </cfRule>
  </conditionalFormatting>
  <conditionalFormatting sqref="F215">
    <cfRule type="containsText" dxfId="49" priority="104" operator="containsText" text="FAIL">
      <formula>NOT(ISERROR(SEARCH("FAIL",F215)))</formula>
    </cfRule>
  </conditionalFormatting>
  <conditionalFormatting sqref="C146">
    <cfRule type="containsText" dxfId="48" priority="103" operator="containsText" text="FAIL">
      <formula>NOT(ISERROR(SEARCH("FAIL",C146)))</formula>
    </cfRule>
  </conditionalFormatting>
  <conditionalFormatting sqref="C166">
    <cfRule type="containsText" dxfId="47" priority="96" operator="containsText" text="FAIL">
      <formula>NOT(ISERROR(SEARCH("FAIL",C166)))</formula>
    </cfRule>
  </conditionalFormatting>
  <conditionalFormatting sqref="C166">
    <cfRule type="containsText" dxfId="46" priority="95" operator="containsText" text="FAIL">
      <formula>NOT(ISERROR(SEARCH("FAIL",C166)))</formula>
    </cfRule>
  </conditionalFormatting>
  <conditionalFormatting sqref="C176">
    <cfRule type="containsText" dxfId="45" priority="92" operator="containsText" text="FAIL">
      <formula>NOT(ISERROR(SEARCH("FAIL",C176)))</formula>
    </cfRule>
  </conditionalFormatting>
  <conditionalFormatting sqref="C176">
    <cfRule type="containsText" dxfId="44" priority="91" operator="containsText" text="FAIL">
      <formula>NOT(ISERROR(SEARCH("FAIL",C176)))</formula>
    </cfRule>
  </conditionalFormatting>
  <conditionalFormatting sqref="C167:C175">
    <cfRule type="containsText" dxfId="43" priority="42" operator="containsText" text="FAIL">
      <formula>NOT(ISERROR(SEARCH("FAIL",C167)))</formula>
    </cfRule>
  </conditionalFormatting>
  <conditionalFormatting sqref="C156">
    <cfRule type="containsText" dxfId="42" priority="46" operator="containsText" text="FAIL">
      <formula>NOT(ISERROR(SEARCH("FAIL",C156)))</formula>
    </cfRule>
  </conditionalFormatting>
  <conditionalFormatting sqref="C226">
    <cfRule type="containsText" dxfId="41" priority="36" operator="containsText" text="FAIL">
      <formula>NOT(ISERROR(SEARCH("FAIL",C226)))</formula>
    </cfRule>
  </conditionalFormatting>
  <conditionalFormatting sqref="C177:C185">
    <cfRule type="containsText" dxfId="40" priority="41" operator="containsText" text="FAIL">
      <formula>NOT(ISERROR(SEARCH("FAIL",C177)))</formula>
    </cfRule>
  </conditionalFormatting>
  <conditionalFormatting sqref="C157:C165">
    <cfRule type="containsText" dxfId="39" priority="44" operator="containsText" text="FAIL">
      <formula>NOT(ISERROR(SEARCH("FAIL",C157)))</formula>
    </cfRule>
  </conditionalFormatting>
  <conditionalFormatting sqref="C167:C175">
    <cfRule type="containsText" dxfId="38" priority="43" operator="containsText" text="FAIL">
      <formula>NOT(ISERROR(SEARCH("FAIL",C167)))</formula>
    </cfRule>
  </conditionalFormatting>
  <conditionalFormatting sqref="C177:C185">
    <cfRule type="containsText" dxfId="37" priority="40" operator="containsText" text="FAIL">
      <formula>NOT(ISERROR(SEARCH("FAIL",C177)))</formula>
    </cfRule>
  </conditionalFormatting>
  <conditionalFormatting sqref="C227:C235">
    <cfRule type="containsText" dxfId="36" priority="29" operator="containsText" text="FAIL">
      <formula>NOT(ISERROR(SEARCH("FAIL",C227)))</formula>
    </cfRule>
  </conditionalFormatting>
  <conditionalFormatting sqref="C227:C235">
    <cfRule type="containsText" dxfId="35" priority="28" operator="containsText" text="FAIL">
      <formula>NOT(ISERROR(SEARCH("FAIL",C227)))</formula>
    </cfRule>
  </conditionalFormatting>
  <conditionalFormatting sqref="C196">
    <cfRule type="containsText" dxfId="34" priority="39" operator="containsText" text="FAIL">
      <formula>NOT(ISERROR(SEARCH("FAIL",C196)))</formula>
    </cfRule>
  </conditionalFormatting>
  <conditionalFormatting sqref="C216">
    <cfRule type="containsText" dxfId="33" priority="38" operator="containsText" text="FAIL">
      <formula>NOT(ISERROR(SEARCH("FAIL",C216)))</formula>
    </cfRule>
  </conditionalFormatting>
  <conditionalFormatting sqref="C216">
    <cfRule type="containsText" dxfId="32" priority="37" operator="containsText" text="FAIL">
      <formula>NOT(ISERROR(SEARCH("FAIL",C216)))</formula>
    </cfRule>
  </conditionalFormatting>
  <conditionalFormatting sqref="C226">
    <cfRule type="containsText" dxfId="31" priority="35" operator="containsText" text="FAIL">
      <formula>NOT(ISERROR(SEARCH("FAIL",C226)))</formula>
    </cfRule>
  </conditionalFormatting>
  <conditionalFormatting sqref="C207:C215">
    <cfRule type="containsText" dxfId="30" priority="32" operator="containsText" text="FAIL">
      <formula>NOT(ISERROR(SEARCH("FAIL",C207)))</formula>
    </cfRule>
  </conditionalFormatting>
  <conditionalFormatting sqref="C206">
    <cfRule type="containsText" dxfId="29" priority="33" operator="containsText" text="FAIL">
      <formula>NOT(ISERROR(SEARCH("FAIL",C206)))</formula>
    </cfRule>
  </conditionalFormatting>
  <conditionalFormatting sqref="C217:C225">
    <cfRule type="containsText" dxfId="28" priority="31" operator="containsText" text="FAIL">
      <formula>NOT(ISERROR(SEARCH("FAIL",C217)))</formula>
    </cfRule>
  </conditionalFormatting>
  <conditionalFormatting sqref="C217:C225">
    <cfRule type="containsText" dxfId="27" priority="30" operator="containsText" text="FAIL">
      <formula>NOT(ISERROR(SEARCH("FAIL",C217)))</formula>
    </cfRule>
  </conditionalFormatting>
  <conditionalFormatting sqref="C197:C205">
    <cfRule type="containsText" dxfId="26" priority="27" operator="containsText" text="FAIL">
      <formula>NOT(ISERROR(SEARCH("FAIL",C197)))</formula>
    </cfRule>
  </conditionalFormatting>
  <conditionalFormatting sqref="C147:C155">
    <cfRule type="containsText" dxfId="25" priority="26" operator="containsText" text="FAIL">
      <formula>NOT(ISERROR(SEARCH("FAIL",C147)))</formula>
    </cfRule>
  </conditionalFormatting>
  <conditionalFormatting sqref="E217">
    <cfRule type="containsText" dxfId="24" priority="25" operator="containsText" text="FAIL">
      <formula>NOT(ISERROR(SEARCH("FAIL",E217)))</formula>
    </cfRule>
  </conditionalFormatting>
  <conditionalFormatting sqref="E217">
    <cfRule type="containsText" dxfId="23" priority="24" operator="containsText" text="FAIL">
      <formula>NOT(ISERROR(SEARCH("FAIL",E217)))</formula>
    </cfRule>
  </conditionalFormatting>
  <conditionalFormatting sqref="E218">
    <cfRule type="containsText" dxfId="22" priority="23" operator="containsText" text="FAIL">
      <formula>NOT(ISERROR(SEARCH("FAIL",E218)))</formula>
    </cfRule>
  </conditionalFormatting>
  <conditionalFormatting sqref="E219">
    <cfRule type="containsText" dxfId="21" priority="22" operator="containsText" text="FAIL">
      <formula>NOT(ISERROR(SEARCH("FAIL",E219)))</formula>
    </cfRule>
  </conditionalFormatting>
  <conditionalFormatting sqref="E220">
    <cfRule type="containsText" dxfId="20" priority="21" operator="containsText" text="FAIL">
      <formula>NOT(ISERROR(SEARCH("FAIL",E220)))</formula>
    </cfRule>
  </conditionalFormatting>
  <conditionalFormatting sqref="E221">
    <cfRule type="containsText" dxfId="19" priority="20" operator="containsText" text="FAIL">
      <formula>NOT(ISERROR(SEARCH("FAIL",E221)))</formula>
    </cfRule>
  </conditionalFormatting>
  <conditionalFormatting sqref="E222">
    <cfRule type="containsText" dxfId="18" priority="19" operator="containsText" text="FAIL">
      <formula>NOT(ISERROR(SEARCH("FAIL",E222)))</formula>
    </cfRule>
  </conditionalFormatting>
  <conditionalFormatting sqref="E223">
    <cfRule type="containsText" dxfId="17" priority="18" operator="containsText" text="FAIL">
      <formula>NOT(ISERROR(SEARCH("FAIL",E223)))</formula>
    </cfRule>
  </conditionalFormatting>
  <conditionalFormatting sqref="E224">
    <cfRule type="containsText" dxfId="16" priority="17" operator="containsText" text="FAIL">
      <formula>NOT(ISERROR(SEARCH("FAIL",E224)))</formula>
    </cfRule>
  </conditionalFormatting>
  <conditionalFormatting sqref="E207">
    <cfRule type="containsText" dxfId="15" priority="16" operator="containsText" text="FAIL">
      <formula>NOT(ISERROR(SEARCH("FAIL",E207)))</formula>
    </cfRule>
  </conditionalFormatting>
  <conditionalFormatting sqref="E207">
    <cfRule type="containsText" dxfId="14" priority="15" operator="containsText" text="FAIL">
      <formula>NOT(ISERROR(SEARCH("FAIL",E207)))</formula>
    </cfRule>
  </conditionalFormatting>
  <conditionalFormatting sqref="E208">
    <cfRule type="containsText" dxfId="13" priority="14" operator="containsText" text="FAIL">
      <formula>NOT(ISERROR(SEARCH("FAIL",E208)))</formula>
    </cfRule>
  </conditionalFormatting>
  <conditionalFormatting sqref="E208">
    <cfRule type="containsText" dxfId="12" priority="13" operator="containsText" text="FAIL">
      <formula>NOT(ISERROR(SEARCH("FAIL",E208)))</formula>
    </cfRule>
  </conditionalFormatting>
  <conditionalFormatting sqref="E209">
    <cfRule type="containsText" dxfId="11" priority="12" operator="containsText" text="FAIL">
      <formula>NOT(ISERROR(SEARCH("FAIL",E209)))</formula>
    </cfRule>
  </conditionalFormatting>
  <conditionalFormatting sqref="E209">
    <cfRule type="containsText" dxfId="10" priority="11" operator="containsText" text="FAIL">
      <formula>NOT(ISERROR(SEARCH("FAIL",E209)))</formula>
    </cfRule>
  </conditionalFormatting>
  <conditionalFormatting sqref="E210">
    <cfRule type="containsText" dxfId="9" priority="10" operator="containsText" text="FAIL">
      <formula>NOT(ISERROR(SEARCH("FAIL",E210)))</formula>
    </cfRule>
  </conditionalFormatting>
  <conditionalFormatting sqref="E210">
    <cfRule type="containsText" dxfId="8" priority="9" operator="containsText" text="FAIL">
      <formula>NOT(ISERROR(SEARCH("FAIL",E210)))</formula>
    </cfRule>
  </conditionalFormatting>
  <conditionalFormatting sqref="E211">
    <cfRule type="containsText" dxfId="7" priority="8" operator="containsText" text="FAIL">
      <formula>NOT(ISERROR(SEARCH("FAIL",E211)))</formula>
    </cfRule>
  </conditionalFormatting>
  <conditionalFormatting sqref="E211">
    <cfRule type="containsText" dxfId="6" priority="7" operator="containsText" text="FAIL">
      <formula>NOT(ISERROR(SEARCH("FAIL",E211)))</formula>
    </cfRule>
  </conditionalFormatting>
  <conditionalFormatting sqref="E212">
    <cfRule type="containsText" dxfId="5" priority="6" operator="containsText" text="FAIL">
      <formula>NOT(ISERROR(SEARCH("FAIL",E212)))</formula>
    </cfRule>
  </conditionalFormatting>
  <conditionalFormatting sqref="E212">
    <cfRule type="containsText" dxfId="4" priority="5" operator="containsText" text="FAIL">
      <formula>NOT(ISERROR(SEARCH("FAIL",E212)))</formula>
    </cfRule>
  </conditionalFormatting>
  <conditionalFormatting sqref="E213">
    <cfRule type="containsText" dxfId="3" priority="4" operator="containsText" text="FAIL">
      <formula>NOT(ISERROR(SEARCH("FAIL",E213)))</formula>
    </cfRule>
  </conditionalFormatting>
  <conditionalFormatting sqref="E213">
    <cfRule type="containsText" dxfId="2" priority="3" operator="containsText" text="FAIL">
      <formula>NOT(ISERROR(SEARCH("FAIL",E213)))</formula>
    </cfRule>
  </conditionalFormatting>
  <conditionalFormatting sqref="E214">
    <cfRule type="containsText" dxfId="1" priority="2" operator="containsText" text="FAIL">
      <formula>NOT(ISERROR(SEARCH("FAIL",E214)))</formula>
    </cfRule>
  </conditionalFormatting>
  <conditionalFormatting sqref="E214">
    <cfRule type="containsText" dxfId="0" priority="1" operator="containsText" text="FAIL">
      <formula>NOT(ISERROR(SEARCH("FAIL",E214)))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Schematic</vt:lpstr>
      <vt:lpstr>To_POTW</vt:lpstr>
      <vt:lpstr>Direct_Release</vt:lpstr>
      <vt:lpstr>Flows</vt:lpstr>
      <vt:lpstr>DownStreamPWS</vt:lpstr>
      <vt:lpstr>Parameters</vt:lpstr>
      <vt:lpstr>Calculations_and_Results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Dawson, Daniel</dc:creator>
  <cp:keywords/>
  <dc:description/>
  <cp:lastModifiedBy>Dawson, Daniel</cp:lastModifiedBy>
  <cp:revision/>
  <dcterms:created xsi:type="dcterms:W3CDTF">2021-08-24T18:35:43Z</dcterms:created>
  <dcterms:modified xsi:type="dcterms:W3CDTF">2022-05-16T16:57:08Z</dcterms:modified>
  <cp:category/>
  <cp:contentStatus/>
</cp:coreProperties>
</file>