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35cc860ba0efd68/GitHub/equity_research/"/>
    </mc:Choice>
  </mc:AlternateContent>
  <xr:revisionPtr revIDLastSave="0" documentId="8_{7BBA200F-FFB5-4ECA-8C22-0201530C9832}" xr6:coauthVersionLast="47" xr6:coauthVersionMax="47" xr10:uidLastSave="{00000000-0000-0000-0000-000000000000}"/>
  <bookViews>
    <workbookView xWindow="57480" yWindow="-120" windowWidth="29040" windowHeight="15720" xr2:uid="{ED89344F-9CE5-4EBC-A79B-90C3EC80BAB6}"/>
  </bookViews>
  <sheets>
    <sheet name="Convertible Bonds" sheetId="3" r:id="rId1"/>
    <sheet name="Dynamic Alpha" sheetId="1" r:id="rId2"/>
    <sheet name="Currency Overla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 l="1"/>
  <c r="B30" i="1"/>
  <c r="B17" i="1"/>
  <c r="C86" i="2"/>
  <c r="D86" i="2" s="1"/>
  <c r="C87" i="2"/>
  <c r="D87" i="2" s="1"/>
  <c r="C85" i="2"/>
  <c r="D85" i="2" s="1"/>
  <c r="D78" i="2"/>
  <c r="C77" i="2"/>
  <c r="C78" i="2"/>
  <c r="C76" i="2"/>
  <c r="B66" i="2"/>
  <c r="B65" i="2"/>
  <c r="D77" i="2" s="1"/>
  <c r="C166" i="3"/>
  <c r="C167" i="3"/>
  <c r="C165" i="3"/>
  <c r="B149" i="3"/>
  <c r="B147" i="3"/>
  <c r="B129" i="3"/>
  <c r="G213" i="3"/>
  <c r="F214" i="3"/>
  <c r="G214" i="3" s="1"/>
  <c r="F212" i="3"/>
  <c r="G212" i="3" s="1"/>
  <c r="B202" i="3"/>
  <c r="B199" i="3"/>
  <c r="B200" i="3" s="1"/>
  <c r="B201" i="3" s="1"/>
  <c r="D185" i="3"/>
  <c r="D186" i="3" s="1"/>
  <c r="B185" i="3"/>
  <c r="B186" i="3" s="1"/>
  <c r="C185" i="3"/>
  <c r="C186" i="3" s="1"/>
  <c r="C134" i="3"/>
  <c r="C133" i="3"/>
  <c r="G83" i="3"/>
  <c r="B75" i="3"/>
  <c r="B76" i="3"/>
  <c r="C84" i="3" s="1"/>
  <c r="F84" i="3" s="1"/>
  <c r="G84" i="3" s="1"/>
  <c r="B47" i="3"/>
  <c r="B48" i="3" s="1"/>
  <c r="C32" i="3"/>
  <c r="C30" i="3"/>
  <c r="C24" i="3"/>
  <c r="D24" i="3" s="1"/>
  <c r="C25" i="3"/>
  <c r="C29" i="3" s="1"/>
  <c r="C23" i="3"/>
  <c r="D23" i="3" s="1"/>
  <c r="B17" i="3"/>
  <c r="B18" i="3"/>
  <c r="B19" i="3" s="1"/>
  <c r="F46" i="2"/>
  <c r="E47" i="2"/>
  <c r="G47" i="2" s="1"/>
  <c r="E46" i="2"/>
  <c r="C29" i="2"/>
  <c r="C28" i="2"/>
  <c r="B29" i="2"/>
  <c r="E29" i="2" s="1"/>
  <c r="B28" i="2"/>
  <c r="E28" i="2" s="1"/>
  <c r="F15" i="2"/>
  <c r="F16" i="2"/>
  <c r="F14" i="2"/>
  <c r="B47" i="1"/>
  <c r="B43" i="1"/>
  <c r="B44" i="1" s="1"/>
  <c r="B45" i="1" s="1"/>
  <c r="B31" i="1"/>
  <c r="B26" i="1"/>
  <c r="B22" i="1"/>
  <c r="B4" i="1"/>
  <c r="D76" i="2" l="1"/>
  <c r="G76" i="2" s="1"/>
  <c r="H76" i="2" s="1"/>
  <c r="B67" i="2"/>
  <c r="E76" i="2"/>
  <c r="F76" i="2" s="1"/>
  <c r="J76" i="2" s="1"/>
  <c r="E85" i="2" s="1"/>
  <c r="I76" i="2"/>
  <c r="B70" i="2"/>
  <c r="B73" i="2" s="1"/>
  <c r="E78" i="2"/>
  <c r="F78" i="2" s="1"/>
  <c r="G77" i="2"/>
  <c r="H77" i="2" s="1"/>
  <c r="I77" i="2" s="1"/>
  <c r="B68" i="2"/>
  <c r="B69" i="2" s="1"/>
  <c r="G78" i="2"/>
  <c r="H78" i="2" s="1"/>
  <c r="I78" i="2" s="1"/>
  <c r="E77" i="2"/>
  <c r="F77" i="2" s="1"/>
  <c r="G46" i="2"/>
  <c r="B148" i="3"/>
  <c r="B150" i="3" s="1"/>
  <c r="B203" i="3"/>
  <c r="B207" i="3" s="1"/>
  <c r="B188" i="3"/>
  <c r="B206" i="3" s="1"/>
  <c r="D86" i="3"/>
  <c r="F86" i="3" s="1"/>
  <c r="G86" i="3" s="1"/>
  <c r="B77" i="3"/>
  <c r="B49" i="3"/>
  <c r="B50" i="3" s="1"/>
  <c r="B51" i="3" s="1"/>
  <c r="B52" i="3" s="1"/>
  <c r="C31" i="3"/>
  <c r="C33" i="3" s="1"/>
  <c r="D25" i="3"/>
  <c r="F28" i="2"/>
  <c r="F29" i="2"/>
  <c r="F17" i="2"/>
  <c r="F18" i="2" s="1"/>
  <c r="B46" i="1"/>
  <c r="J77" i="2" l="1"/>
  <c r="E86" i="2" s="1"/>
  <c r="J78" i="2"/>
  <c r="E87" i="2" s="1"/>
  <c r="B151" i="3"/>
  <c r="B152" i="3" s="1"/>
  <c r="B153" i="3"/>
  <c r="B154" i="3" s="1"/>
  <c r="C159" i="3"/>
  <c r="C157" i="3"/>
  <c r="C158" i="3"/>
  <c r="B208" i="3"/>
  <c r="B78" i="3"/>
  <c r="C85" i="3"/>
  <c r="F85" i="3" s="1"/>
  <c r="G85" i="3" s="1"/>
  <c r="E90" i="3"/>
  <c r="F90" i="3" s="1"/>
  <c r="G90" i="3" s="1"/>
  <c r="E89" i="3"/>
  <c r="F89" i="3" s="1"/>
  <c r="G89" i="3" s="1"/>
  <c r="D87" i="3"/>
  <c r="B27" i="1"/>
  <c r="G159" i="3" l="1"/>
  <c r="H159" i="3" s="1"/>
  <c r="I159" i="3" s="1"/>
  <c r="D159" i="3"/>
  <c r="E159" i="3" s="1"/>
  <c r="F159" i="3" s="1"/>
  <c r="D158" i="3"/>
  <c r="E158" i="3" s="1"/>
  <c r="F158" i="3" s="1"/>
  <c r="G158" i="3"/>
  <c r="H158" i="3" s="1"/>
  <c r="I158" i="3" s="1"/>
  <c r="D157" i="3"/>
  <c r="E157" i="3" s="1"/>
  <c r="F157" i="3" s="1"/>
  <c r="G157" i="3"/>
  <c r="H157" i="3" s="1"/>
  <c r="I157" i="3" s="1"/>
  <c r="D88" i="3"/>
  <c r="E92" i="3" s="1"/>
  <c r="F92" i="3" s="1"/>
  <c r="G92" i="3" s="1"/>
  <c r="H89" i="3" s="1"/>
  <c r="I89" i="3" s="1"/>
  <c r="H213" i="3"/>
  <c r="H212" i="3"/>
  <c r="H214" i="3"/>
  <c r="E91" i="3"/>
  <c r="F91" i="3" s="1"/>
  <c r="G91" i="3" s="1"/>
  <c r="H87" i="3" s="1"/>
  <c r="F87" i="3"/>
  <c r="G87" i="3" s="1"/>
  <c r="H83" i="3"/>
  <c r="I83" i="3" s="1"/>
  <c r="J83" i="3" s="1"/>
  <c r="B95" i="3" s="1"/>
  <c r="H91" i="3"/>
  <c r="H90" i="3"/>
  <c r="I90" i="3" s="1"/>
  <c r="H92" i="3"/>
  <c r="H86" i="3"/>
  <c r="I86" i="3" s="1"/>
  <c r="J158" i="3" l="1"/>
  <c r="D166" i="3" s="1"/>
  <c r="E166" i="3" s="1"/>
  <c r="J159" i="3"/>
  <c r="D167" i="3" s="1"/>
  <c r="E167" i="3" s="1"/>
  <c r="J157" i="3"/>
  <c r="D165" i="3" s="1"/>
  <c r="E165" i="3" s="1"/>
  <c r="F88" i="3"/>
  <c r="G88" i="3" s="1"/>
  <c r="H85" i="3" s="1"/>
  <c r="I85" i="3" s="1"/>
  <c r="H88" i="3"/>
  <c r="I91" i="3"/>
  <c r="I87" i="3"/>
  <c r="H84" i="3"/>
  <c r="I84" i="3" s="1"/>
  <c r="I92" i="3"/>
  <c r="I88" i="3" l="1"/>
</calcChain>
</file>

<file path=xl/sharedStrings.xml><?xml version="1.0" encoding="utf-8"?>
<sst xmlns="http://schemas.openxmlformats.org/spreadsheetml/2006/main" count="510" uniqueCount="411">
  <si>
    <t>Bond floor</t>
  </si>
  <si>
    <t>Total price CB</t>
  </si>
  <si>
    <t>Beta (pre-conversion)</t>
  </si>
  <si>
    <t>Rp</t>
  </si>
  <si>
    <t>Rf</t>
  </si>
  <si>
    <t>E[Rm]</t>
  </si>
  <si>
    <t>standard deviation σ</t>
  </si>
  <si>
    <t>TREYNOR-BLACK MODEL</t>
  </si>
  <si>
    <t>Jensen's alpha αi</t>
  </si>
  <si>
    <t>score (numerator) = αi/σ^2(ɛi)</t>
  </si>
  <si>
    <r>
      <t xml:space="preserve">Residual variance </t>
    </r>
    <r>
      <rPr>
        <sz val="11"/>
        <color theme="1"/>
        <rFont val="Aptos Narrow"/>
        <family val="2"/>
      </rPr>
      <t>σ</t>
    </r>
    <r>
      <rPr>
        <sz val="11"/>
        <color theme="1"/>
        <rFont val="Aptos Narrow"/>
        <family val="2"/>
        <scheme val="minor"/>
      </rPr>
      <t>^2(</t>
    </r>
    <r>
      <rPr>
        <sz val="11"/>
        <color theme="1"/>
        <rFont val="Aptos Narrow"/>
        <family val="2"/>
      </rPr>
      <t>ɛi)</t>
    </r>
  </si>
  <si>
    <t>wA</t>
  </si>
  <si>
    <t>wP</t>
  </si>
  <si>
    <t>-&gt; 20% allocated to the actively managed part of the portfolio</t>
  </si>
  <si>
    <t>-&gt; allocate to the passive side (i.e., which replicates the market)</t>
  </si>
  <si>
    <t>In this case, the convertible offer an excess of return to the quote explained by the systemic risk only.</t>
  </si>
  <si>
    <t>Treynor Ratio</t>
  </si>
  <si>
    <t>E[Rp] (using CAPM)</t>
  </si>
  <si>
    <t>-&gt; we would have expected a 6% return, but the actual return (Rp) is 8%</t>
  </si>
  <si>
    <t>Excess of return</t>
  </si>
  <si>
    <t>Jensen's alpha αp=Rp-E[Rp]</t>
  </si>
  <si>
    <t>Embedded option value (call option on the stock)</t>
  </si>
  <si>
    <t>-&gt; initial price of the bond, the future price is determined by the future cash flow, and depends on interest rate. The bond floor is exposed to the interest rate risk and credit risk. Greeks close to a bond.</t>
  </si>
  <si>
    <t>-&gt; depend on the intial value of the bond floor and the embedded option</t>
  </si>
  <si>
    <t>-&gt; low, since the bond lower the total sensitivity to the market volatility</t>
  </si>
  <si>
    <t>BEFORE THE CONVERSION</t>
  </si>
  <si>
    <t>AFTER THE CONVERSION</t>
  </si>
  <si>
    <t>Value</t>
  </si>
  <si>
    <t>Delta</t>
  </si>
  <si>
    <t>Gamma</t>
  </si>
  <si>
    <t>Vega</t>
  </si>
  <si>
    <t>0,3-0,6</t>
  </si>
  <si>
    <r>
      <t xml:space="preserve">-&gt; its value depend on: </t>
    </r>
    <r>
      <rPr>
        <b/>
        <sz val="11"/>
        <color theme="1"/>
        <rFont val="Aptos Narrow"/>
        <family val="2"/>
        <scheme val="minor"/>
      </rPr>
      <t>Delta,</t>
    </r>
    <r>
      <rPr>
        <sz val="11"/>
        <color theme="1"/>
        <rFont val="Aptos Narrow"/>
        <family val="2"/>
        <scheme val="minor"/>
      </rPr>
      <t xml:space="preserve"> </t>
    </r>
    <r>
      <rPr>
        <b/>
        <sz val="11"/>
        <color theme="1"/>
        <rFont val="Aptos Narrow"/>
        <family val="2"/>
        <scheme val="minor"/>
      </rPr>
      <t>Vega,</t>
    </r>
    <r>
      <rPr>
        <sz val="11"/>
        <color theme="1"/>
        <rFont val="Aptos Narrow"/>
        <family val="2"/>
        <scheme val="minor"/>
      </rPr>
      <t xml:space="preserve"> </t>
    </r>
    <r>
      <rPr>
        <b/>
        <sz val="11"/>
        <color theme="1"/>
        <rFont val="Aptos Narrow"/>
        <family val="2"/>
        <scheme val="minor"/>
      </rPr>
      <t>Gamma.</t>
    </r>
  </si>
  <si>
    <t>&gt; 0</t>
  </si>
  <si>
    <t>variable</t>
  </si>
  <si>
    <t xml:space="preserve">Greeks </t>
  </si>
  <si>
    <t>CB cost</t>
  </si>
  <si>
    <t>CAPM</t>
  </si>
  <si>
    <t>wTOT</t>
  </si>
  <si>
    <t>-&gt; high due to a low beta and the positive excess of return over the expected return.</t>
  </si>
  <si>
    <t>-&gt; Beta increases to almost 1 (depending on stock features)</t>
  </si>
  <si>
    <t>-&gt; Likely to decrease because the extra return wrt the higher Beta has a lower impact</t>
  </si>
  <si>
    <t>-&gt; Likely to decrease if the surplus gained with the option get incorporated into the equity's systematic risk.</t>
  </si>
  <si>
    <t>What does influence the Dynamic Alpha?</t>
  </si>
  <si>
    <r>
      <t xml:space="preserve">- </t>
    </r>
    <r>
      <rPr>
        <i/>
        <sz val="11"/>
        <color theme="1"/>
        <rFont val="Aptos Narrow"/>
        <family val="2"/>
        <scheme val="minor"/>
      </rPr>
      <t>Conversion timing</t>
    </r>
    <r>
      <rPr>
        <sz val="11"/>
        <color theme="1"/>
        <rFont val="Aptos Narrow"/>
        <family val="2"/>
        <scheme val="minor"/>
      </rPr>
      <t>: best moment to convert the CB</t>
    </r>
  </si>
  <si>
    <r>
      <t xml:space="preserve">- </t>
    </r>
    <r>
      <rPr>
        <i/>
        <sz val="11"/>
        <color theme="1"/>
        <rFont val="Aptos Narrow"/>
        <family val="2"/>
        <scheme val="minor"/>
      </rPr>
      <t>Dynamic Hedging</t>
    </r>
    <r>
      <rPr>
        <sz val="11"/>
        <color theme="1"/>
        <rFont val="Aptos Narrow"/>
        <family val="2"/>
        <scheme val="minor"/>
      </rPr>
      <t>: Delta hedging to leverage high volatility periods or trends</t>
    </r>
  </si>
  <si>
    <r>
      <t xml:space="preserve">- </t>
    </r>
    <r>
      <rPr>
        <i/>
        <sz val="11"/>
        <color theme="1"/>
        <rFont val="Aptos Narrow"/>
        <family val="2"/>
        <scheme val="minor"/>
      </rPr>
      <t>Asset rotation</t>
    </r>
    <r>
      <rPr>
        <sz val="11"/>
        <color theme="1"/>
        <rFont val="Aptos Narrow"/>
        <family val="2"/>
        <scheme val="minor"/>
      </rPr>
      <t>: change the exposure based on forecasts (e.g., increase exposure when macro projections improve)</t>
    </r>
  </si>
  <si>
    <t>Let's assume that - thanks to our active strategy - throughout the year we generate an excess of return of 0,5%, wrt to the static model, this is the contribute of the dynamic alpha.</t>
  </si>
  <si>
    <t>New Treynor-Black Model</t>
  </si>
  <si>
    <t>-&gt; note: before we used as Jensen Alpha = 1%, now we have to add the excess of return to this value</t>
  </si>
  <si>
    <t>new score = αi/σ^2(ɛi)</t>
  </si>
  <si>
    <t>new Alpha (Dynamic Alpha)</t>
  </si>
  <si>
    <t>-&gt; without an active strategy, the Jensen's Alpha was 1%, with the dynamic strategy we obtained a Dynamic Alpha of 1,5% (that becomes our Jensen Alpha ex-post)</t>
  </si>
  <si>
    <t>-&gt; we will know in the future, previously it was 12%, but it could increase if Rp increase and the Beta does not change</t>
  </si>
  <si>
    <t>Before the conversion</t>
  </si>
  <si>
    <t>After the conversion</t>
  </si>
  <si>
    <t>Beta</t>
  </si>
  <si>
    <t>Rho</t>
  </si>
  <si>
    <t>-&gt; remains between 0,3-0,6 since we didn't convert the CB yet</t>
  </si>
  <si>
    <t>-&gt; decreases since the embedded option disappears</t>
  </si>
  <si>
    <t>-&gt; increases to ~1 since the stock is exposed to the Systematic risk</t>
  </si>
  <si>
    <t>-&gt; increases to ~1, since we have a pure equity</t>
  </si>
  <si>
    <t>-&gt; could decrease (higher beta)</t>
  </si>
  <si>
    <t>-&gt; conversion timing</t>
  </si>
  <si>
    <t>-&gt; volatility of the option</t>
  </si>
  <si>
    <t>Theta</t>
  </si>
  <si>
    <r>
      <t xml:space="preserve">-&gt; </t>
    </r>
    <r>
      <rPr>
        <i/>
        <sz val="11"/>
        <color theme="1"/>
        <rFont val="Aptos Narrow"/>
        <family val="2"/>
        <scheme val="minor"/>
      </rPr>
      <t>Time decay</t>
    </r>
    <r>
      <rPr>
        <sz val="11"/>
        <color theme="1"/>
        <rFont val="Aptos Narrow"/>
        <family val="2"/>
        <scheme val="minor"/>
      </rPr>
      <t>. Reflects how the value of the option declines over time, all else equal. Convertibles with high time value (e.g., far from maturity or out-of-the-money) decay faster.</t>
    </r>
  </si>
  <si>
    <r>
      <t xml:space="preserve">-&gt; </t>
    </r>
    <r>
      <rPr>
        <i/>
        <sz val="11"/>
        <color theme="1"/>
        <rFont val="Aptos Narrow"/>
        <family val="2"/>
        <scheme val="minor"/>
      </rPr>
      <t>Sensitivity to volatility</t>
    </r>
    <r>
      <rPr>
        <sz val="11"/>
        <color theme="1"/>
        <rFont val="Aptos Narrow"/>
        <family val="2"/>
        <scheme val="minor"/>
      </rPr>
      <t>. Higher volatility increases the value of the option</t>
    </r>
  </si>
  <si>
    <r>
      <t xml:space="preserve">-&gt; </t>
    </r>
    <r>
      <rPr>
        <i/>
        <sz val="11"/>
        <color theme="1"/>
        <rFont val="Aptos Narrow"/>
        <family val="2"/>
        <scheme val="minor"/>
      </rPr>
      <t>Interest Rates sensitivity</t>
    </r>
  </si>
  <si>
    <r>
      <t xml:space="preserve">-&gt; </t>
    </r>
    <r>
      <rPr>
        <i/>
        <sz val="11"/>
        <color theme="1"/>
        <rFont val="Aptos Narrow"/>
        <family val="2"/>
        <scheme val="minor"/>
      </rPr>
      <t>Equity Sensitivity</t>
    </r>
    <r>
      <rPr>
        <sz val="11"/>
        <color theme="1"/>
        <rFont val="Aptos Narrow"/>
        <family val="2"/>
        <scheme val="minor"/>
      </rPr>
      <t>. Closeness of the underlying price to the conversion/exercise price.</t>
    </r>
  </si>
  <si>
    <r>
      <t xml:space="preserve">-&gt; </t>
    </r>
    <r>
      <rPr>
        <i/>
        <sz val="11"/>
        <color theme="1"/>
        <rFont val="Aptos Narrow"/>
        <family val="2"/>
        <scheme val="minor"/>
      </rPr>
      <t>Convexity of Equity Sensitivity</t>
    </r>
    <r>
      <rPr>
        <sz val="11"/>
        <color theme="1"/>
        <rFont val="Aptos Narrow"/>
        <family val="2"/>
        <scheme val="minor"/>
      </rPr>
      <t xml:space="preserve">. Measures the </t>
    </r>
    <r>
      <rPr>
        <i/>
        <sz val="11"/>
        <color theme="1"/>
        <rFont val="Aptos Narrow"/>
        <family val="2"/>
        <scheme val="minor"/>
      </rPr>
      <t>rate of change of delta as the stock price changes</t>
    </r>
    <r>
      <rPr>
        <sz val="11"/>
        <color theme="1"/>
        <rFont val="Aptos Narrow"/>
        <family val="2"/>
        <scheme val="minor"/>
      </rPr>
      <t xml:space="preserve">. High gamma → convertible’s delta can change quickly → important for hedging and arbitrage strategies. Useful for delta-hedging desks.Higher than a linear position (e.g., equity only) since the conversion from the bond floor to equity component is not linear. </t>
    </r>
  </si>
  <si>
    <t>Derivative</t>
  </si>
  <si>
    <t>Use</t>
  </si>
  <si>
    <t>Forward FX contracts</t>
  </si>
  <si>
    <t>FX Swaps</t>
  </si>
  <si>
    <t>NDFs (Non-Derivable Forwards)</t>
  </si>
  <si>
    <t>Definition</t>
  </si>
  <si>
    <t>Most commonly used for hedging currency risk of foreign investments (e.g., a European investor holding USD or JPY assets).</t>
  </si>
  <si>
    <t>A non-standardized contract between two parties to exchange currencies at a predetermined rate (forward rate) on a specific future date. They are customizable and OTC contract.</t>
  </si>
  <si>
    <t>Example</t>
  </si>
  <si>
    <t>A European fund holds $10M in US assets and enters into an FX forward to convert USD to EUR in 6 months at a fixed rate, hedging against USD depreciation.</t>
  </si>
  <si>
    <t>FX futures</t>
  </si>
  <si>
    <t>Standardized contracts traded on exchanges to exchange a fixed amount of currency at a set price and date.</t>
  </si>
  <si>
    <t>Suitable for smaller portfolios or speculative positions.</t>
  </si>
  <si>
    <t>FX options</t>
  </si>
  <si>
    <t>Contracts giving the right (but not the obligation) to buy (call) or sell (put) currency at a predetermined rate before or on a specified date.</t>
  </si>
  <si>
    <t xml:space="preserve">Used for asymmetric hedging—allowing participation in favorable FX moves while protecting downside. They pay a premium upfront. </t>
  </si>
  <si>
    <t>A fund buys a EUR/JPY put option to protect against JPY depreciation (i.e., EUR strength), while retaining upside if the JPY strengthens. (i.e., limited downside - only pay premium)</t>
  </si>
  <si>
    <t>A combination of a spot transaction and a forward contract: exchange currencies now and reverse it at a future date at a forward rate.</t>
  </si>
  <si>
    <t>Swap €10M into USD for 1 week to match a temporary USD cash need, and agree to swap back at the forward rate.</t>
  </si>
  <si>
    <t>Manage liquidity: Manage short-term cash flows or roll hedges.
Avoid moving assets on the balance sheet.</t>
  </si>
  <si>
    <t>Cash-settled forward contracts used for currencies with capital controls.</t>
  </si>
  <si>
    <t>Hedging in emerging markets where actual currency delivery is restricted.</t>
  </si>
  <si>
    <t>A European fund holding INR-denominated assets enters an NDF to hedge the INR/EUR exposure, settled in USD.</t>
  </si>
  <si>
    <t>ISIN</t>
  </si>
  <si>
    <t>US0011CB</t>
  </si>
  <si>
    <t>Tesla Convertible</t>
  </si>
  <si>
    <t>USD</t>
  </si>
  <si>
    <t>JP0099CB</t>
  </si>
  <si>
    <t>Sony Convertible</t>
  </si>
  <si>
    <t>JPY</t>
  </si>
  <si>
    <t>CH3322CB</t>
  </si>
  <si>
    <t>Roche Convertible</t>
  </si>
  <si>
    <t>CHF</t>
  </si>
  <si>
    <t>CCY</t>
  </si>
  <si>
    <t>Spot Rate</t>
  </si>
  <si>
    <t>Exposure mln CCY</t>
  </si>
  <si>
    <t>Exposure mln EUR</t>
  </si>
  <si>
    <t>Total</t>
  </si>
  <si>
    <t>Provider</t>
  </si>
  <si>
    <t>Remaining EUR</t>
  </si>
  <si>
    <t>-&gt; exposed to FX risk</t>
  </si>
  <si>
    <t>-&gt; already in EUR</t>
  </si>
  <si>
    <t>-&gt; Forecasts predict a depreciation of the USD and JPY wrt the EUR within the next 6 months.</t>
  </si>
  <si>
    <t>-&gt; I want to protect the NAV of the fund in EUR.</t>
  </si>
  <si>
    <t>-&gt; I want to leave a space for a positive FX Alpha whether the JPY appreciates.</t>
  </si>
  <si>
    <t>Forward Rate (6m)</t>
  </si>
  <si>
    <t>Forward Notional mln EUR</t>
  </si>
  <si>
    <t>FX gain/loss</t>
  </si>
  <si>
    <t>-&gt; I follow a systematic hedging policy, and even if the CHF should not depreciate, I decide to fully hedge anyway.</t>
  </si>
  <si>
    <t>We gained from the hedging of the FX rates IFF USD and CHF depreciate in 6 months.</t>
  </si>
  <si>
    <t>Step 1 - Hedging con fx forward (USD and CHF)</t>
  </si>
  <si>
    <t>Step 2 - FX Option Overlay su JPY</t>
  </si>
  <si>
    <t>-&gt; I don't want to fully hedge the position</t>
  </si>
  <si>
    <t>-&gt; Purshase a EUR/JPY put option, which gives me the right to sell EUR and buy JPY</t>
  </si>
  <si>
    <t>Parameter</t>
  </si>
  <si>
    <t>Notional</t>
  </si>
  <si>
    <t>Maturity</t>
  </si>
  <si>
    <t>Premium</t>
  </si>
  <si>
    <t>mln EUR</t>
  </si>
  <si>
    <t>months</t>
  </si>
  <si>
    <t>EUR/JPY</t>
  </si>
  <si>
    <t>Scenario</t>
  </si>
  <si>
    <t>JPY appreciates</t>
  </si>
  <si>
    <t>JPY depreciates</t>
  </si>
  <si>
    <t>125&lt;130 =&gt; ITM</t>
  </si>
  <si>
    <t>135&gt;130 =&gt; OTM</t>
  </si>
  <si>
    <t>Spot (Current)</t>
  </si>
  <si>
    <t>(S) Spot EUR/JPY</t>
  </si>
  <si>
    <t>Strike (X = Exercise rate)</t>
  </si>
  <si>
    <t xml:space="preserve">max(0, X-S) </t>
  </si>
  <si>
    <t>Put Moneyness (X&gt;S ITM, X&lt;S OTM)</t>
  </si>
  <si>
    <t>Profit mln JPY = (Strike - Spot) x Notional EUR</t>
  </si>
  <si>
    <t>Profit/Loss mln EUR</t>
  </si>
  <si>
    <t>Comment</t>
  </si>
  <si>
    <t>The put allows me to sell the underlying at a higher fx rate</t>
  </si>
  <si>
    <t>I lose the money of the premium</t>
  </si>
  <si>
    <t>I have a bullish view on the yen, I expect it to appreciates -&gt; EUR/JPY decreases, I could lose money in EUR if I do not buy any option.</t>
  </si>
  <si>
    <t>The FX put option give me the opportunity to sell EUR at a higher price if the fx rate decreases.</t>
  </si>
  <si>
    <t>The max lost is the premium whether the JPY depreciates and the fx rate increases.</t>
  </si>
  <si>
    <t>Convertible Bond's price = Bond Floor + Embedded Option</t>
  </si>
  <si>
    <t>Embedded Option -&gt; excess of price wrt a simple bond (i.e., CB price - Bond Floor)</t>
  </si>
  <si>
    <t>Conversion Rate = Nominal Value / Conversion Price</t>
  </si>
  <si>
    <t>Notice: the embedded option increases the price of the CB, but does not change the conversion ratio, which is pre-determined at issuance.</t>
  </si>
  <si>
    <t>Paid to wait -&gt; while you wait for the share price to increase, you get paid with the coupon</t>
  </si>
  <si>
    <t>Factor</t>
  </si>
  <si>
    <t>EUR</t>
  </si>
  <si>
    <t>Coupon</t>
  </si>
  <si>
    <t>yearly</t>
  </si>
  <si>
    <t>Conversion Price</t>
  </si>
  <si>
    <t>Conversion Ratio</t>
  </si>
  <si>
    <t>Shares</t>
  </si>
  <si>
    <t>Unit</t>
  </si>
  <si>
    <t>Years</t>
  </si>
  <si>
    <t>Bond's Discount Rate</t>
  </si>
  <si>
    <t>Bond's market price</t>
  </si>
  <si>
    <t>Comments</t>
  </si>
  <si>
    <t>Bond Floor</t>
  </si>
  <si>
    <t>Embedded Option Value</t>
  </si>
  <si>
    <t>Discount Rate = Rf + Credit Spread</t>
  </si>
  <si>
    <t>Face Value</t>
  </si>
  <si>
    <t xml:space="preserve">Cash Flow </t>
  </si>
  <si>
    <t>BF = Present Value = CF/(1+r)^1 + CF/(1+r)^2 + (CF+FV)/(1+r)^3</t>
  </si>
  <si>
    <t>1. OTM</t>
  </si>
  <si>
    <t>2. ATM</t>
  </si>
  <si>
    <t>Share Price (S)</t>
  </si>
  <si>
    <t>Conversion Value</t>
  </si>
  <si>
    <t xml:space="preserve">Net Profit </t>
  </si>
  <si>
    <t>Better getting the Bond Floor (1000eur) at maturity. Do not exercise to option (OTM, S&lt;X)</t>
  </si>
  <si>
    <t>Conversion Price (X)</t>
  </si>
  <si>
    <t>Net loss given by the payment of the embedded option. Take the shares that have the same value of the bond, hoping for a future upside</t>
  </si>
  <si>
    <t>Convert into shares. Paid 1100 and get shares valued 1600.</t>
  </si>
  <si>
    <t>3. ITM</t>
  </si>
  <si>
    <t>Price paid CB</t>
  </si>
  <si>
    <t>Gross Profit</t>
  </si>
  <si>
    <t>Coupon received on 3 years</t>
  </si>
  <si>
    <t>Total profit</t>
  </si>
  <si>
    <t>=20*80eur</t>
  </si>
  <si>
    <t>Bond's mkt price</t>
  </si>
  <si>
    <t>=1600-1100</t>
  </si>
  <si>
    <t>= 2% * 3y * 1100eur</t>
  </si>
  <si>
    <t>= Gross Profit + Coupon</t>
  </si>
  <si>
    <t>Scenario 3 - Option ITM -&gt; conversion</t>
  </si>
  <si>
    <t>Convertible Fair Value</t>
  </si>
  <si>
    <t>Convertible Fair Value = Bond Floor + Embedded Option Value</t>
  </si>
  <si>
    <t>Compute Embedded Option by using Black-Scholes</t>
  </si>
  <si>
    <t>Current Share Price</t>
  </si>
  <si>
    <t>S</t>
  </si>
  <si>
    <t>K</t>
  </si>
  <si>
    <t>T</t>
  </si>
  <si>
    <t>Annual Volatility</t>
  </si>
  <si>
    <t>σ</t>
  </si>
  <si>
    <t>Risk-free rate</t>
  </si>
  <si>
    <t>Dividends</t>
  </si>
  <si>
    <t>q</t>
  </si>
  <si>
    <t>Maturity (years)</t>
  </si>
  <si>
    <t>Let's assume no dividends are paid and that we have a European Option (excersible only at maturity)</t>
  </si>
  <si>
    <t>d1</t>
  </si>
  <si>
    <t>d2</t>
  </si>
  <si>
    <t>σ*SQRT(T)</t>
  </si>
  <si>
    <t>C (Black-Scholes option)</t>
  </si>
  <si>
    <t>per share</t>
  </si>
  <si>
    <t>Value Embdedded Option</t>
  </si>
  <si>
    <t>Fair Value CB</t>
  </si>
  <si>
    <t>- gestire la flessibilità temporale (conversione anticipata)</t>
  </si>
  <si>
    <t>- catturare comportamenti non lineari dovuti al legame con l’azione sottostante.</t>
  </si>
  <si>
    <t xml:space="preserve">- modellare clausole reali (soft call, hard call, put, call, ecc.),
</t>
  </si>
  <si>
    <t>Simula l’evoluzione possibile del prezzo del titolo azionario nel tempo e calcola, passo dopo passo, quanto vale l’opzione di conversione in ogni nodo, risalendo fino a oggi.</t>
  </si>
  <si>
    <r>
      <t xml:space="preserve">Pricing Embedded Option with a 3-period </t>
    </r>
    <r>
      <rPr>
        <b/>
        <i/>
        <sz val="11"/>
        <color rgb="FFFF0000"/>
        <rFont val="Aptos Narrow"/>
        <family val="2"/>
        <scheme val="minor"/>
      </rPr>
      <t>binomial tree</t>
    </r>
  </si>
  <si>
    <t>Inputs</t>
  </si>
  <si>
    <t>BS results</t>
  </si>
  <si>
    <t>S0</t>
  </si>
  <si>
    <t>Nodes</t>
  </si>
  <si>
    <t>Single period length</t>
  </si>
  <si>
    <t>dt</t>
  </si>
  <si>
    <t>T0</t>
  </si>
  <si>
    <t>T1</t>
  </si>
  <si>
    <t>T2</t>
  </si>
  <si>
    <t>T3</t>
  </si>
  <si>
    <t>S1u</t>
  </si>
  <si>
    <t>S1d</t>
  </si>
  <si>
    <t>S2uu</t>
  </si>
  <si>
    <t>S2ud=S2du</t>
  </si>
  <si>
    <t>S2dd</t>
  </si>
  <si>
    <t>S3uuu</t>
  </si>
  <si>
    <t>S3udd=Sdud=S3ddu</t>
  </si>
  <si>
    <t>S3ddd</t>
  </si>
  <si>
    <t>S3uud=S3udu=S3duu</t>
  </si>
  <si>
    <t>e^(-r*dt)</t>
  </si>
  <si>
    <t>Up factor (u)</t>
  </si>
  <si>
    <t>Down factor (d)</t>
  </si>
  <si>
    <t>Risk-neutral probability (p)</t>
  </si>
  <si>
    <t>Expected option value</t>
  </si>
  <si>
    <t>Actual Option Value</t>
  </si>
  <si>
    <t>Conversion Value (S-S0)</t>
  </si>
  <si>
    <t>Option Value max(S-S0;0)</t>
  </si>
  <si>
    <t>Total value embedded option</t>
  </si>
  <si>
    <t>BACKWARD INDUCTION</t>
  </si>
  <si>
    <t>PRICES BINOMIAL TREE</t>
  </si>
  <si>
    <t>Convertible Fair Value = max(Conversion Value, Bond Floor)</t>
  </si>
  <si>
    <t>CB Market Price</t>
  </si>
  <si>
    <t>-&gt; Higher the market price, better to purchase it</t>
  </si>
  <si>
    <t>1. Long on the CB (undervalued on the market)</t>
  </si>
  <si>
    <t>3. If the CB's price increases =&gt; risk free profit</t>
  </si>
  <si>
    <r>
      <t xml:space="preserve">Arbitrage strategy </t>
    </r>
    <r>
      <rPr>
        <i/>
        <sz val="11"/>
        <color rgb="FFFF0000"/>
        <rFont val="Aptos Narrow"/>
        <family val="2"/>
        <scheme val="minor"/>
      </rPr>
      <t>-&gt; gaining from the difference between CB FV and CB MP</t>
    </r>
  </si>
  <si>
    <t>-&gt; The embdedded option value increases</t>
  </si>
  <si>
    <r>
      <t xml:space="preserve">When should I close the position? </t>
    </r>
    <r>
      <rPr>
        <i/>
        <sz val="11"/>
        <color theme="1"/>
        <rFont val="Aptos Narrow"/>
        <family val="2"/>
        <scheme val="minor"/>
      </rPr>
      <t>(Anytime)</t>
    </r>
  </si>
  <si>
    <t>-&gt; If CB's price reaches the Convertible FV</t>
  </si>
  <si>
    <t>-&gt; If bond is reaching its maturity and the option does not worth anymore</t>
  </si>
  <si>
    <t>-&gt; Higher credit risk</t>
  </si>
  <si>
    <t>-&gt; Inefficient equity hedge</t>
  </si>
  <si>
    <t>2. Short on the underlying share (equity hedge)</t>
  </si>
  <si>
    <t>-&gt; Residual risk doen't worth the return anymore</t>
  </si>
  <si>
    <t>-&gt; CB's price decreases and I start losing (better to use stop-loss and dynamic hedging)</t>
  </si>
  <si>
    <t>Buying a CB implies buying an option.</t>
  </si>
  <si>
    <t>The option has a Delta that measures the sensitivity of the option value to the equity volatility.</t>
  </si>
  <si>
    <t>Delta changes based on:</t>
  </si>
  <si>
    <t>- Share price</t>
  </si>
  <si>
    <t>- Volatility</t>
  </si>
  <si>
    <t>- Residual time to maturity</t>
  </si>
  <si>
    <t>- Interest rates</t>
  </si>
  <si>
    <t>Dynamic Delta Hedging = constantly update the number of shares to short (or long), in order to remain market-neutral wrt to the changes on the share price.</t>
  </si>
  <si>
    <t xml:space="preserve">Conversion Ratio </t>
  </si>
  <si>
    <r>
      <t xml:space="preserve">Hedge strategy = Delta x N. Assets </t>
    </r>
    <r>
      <rPr>
        <i/>
        <sz val="11"/>
        <color theme="1"/>
        <rFont val="Aptos Narrow"/>
        <family val="2"/>
        <scheme val="minor"/>
      </rPr>
      <t>(CBs in this case)</t>
    </r>
  </si>
  <si>
    <t>Number of shares to short</t>
  </si>
  <si>
    <t>What if the share price changes?</t>
  </si>
  <si>
    <t>1. Share prices increases</t>
  </si>
  <si>
    <t>2. Share prices decreases</t>
  </si>
  <si>
    <t>New Delta</t>
  </si>
  <si>
    <t xml:space="preserve">Shares needed </t>
  </si>
  <si>
    <t>-&gt; I need to reduce the short position =&gt; Buy 2 shares</t>
  </si>
  <si>
    <t xml:space="preserve">-&gt; I need more hedge to be more ITM =&gt; Short 2 more shares </t>
  </si>
  <si>
    <t>-&gt; It allows to monetize the volatility</t>
  </si>
  <si>
    <t>-&gt; GOAL: create a market-neutral position</t>
  </si>
  <si>
    <t>-&gt; Delta changes constantly with the share price =&gt; dynamic hedging</t>
  </si>
  <si>
    <t>Greek</t>
  </si>
  <si>
    <t>Describes</t>
  </si>
  <si>
    <t>Long strategy</t>
  </si>
  <si>
    <t>Profit if</t>
  </si>
  <si>
    <t>Direction of the underlying</t>
  </si>
  <si>
    <t>Share price changes</t>
  </si>
  <si>
    <t>Delta variation</t>
  </si>
  <si>
    <t>Long option</t>
  </si>
  <si>
    <t>Directional (based on how the price changes)</t>
  </si>
  <si>
    <t>High volatility</t>
  </si>
  <si>
    <t>Implicit volatility</t>
  </si>
  <si>
    <t>Short option</t>
  </si>
  <si>
    <t>Long call, short put</t>
  </si>
  <si>
    <t>Increases of interest rates</t>
  </si>
  <si>
    <t>Time decay</t>
  </si>
  <si>
    <t>Changes of interest rates</t>
  </si>
  <si>
    <t>Increase in volatility</t>
  </si>
  <si>
    <t>Time goes by</t>
  </si>
  <si>
    <t>Example 1</t>
  </si>
  <si>
    <t>Consider a ptf of 100M EUR with the following assets.</t>
  </si>
  <si>
    <t>Adding digital options to the CB vanilla</t>
  </si>
  <si>
    <t>Build a Dynamic Alpha strategy</t>
  </si>
  <si>
    <t>Year</t>
  </si>
  <si>
    <t>CF</t>
  </si>
  <si>
    <t>PV</t>
  </si>
  <si>
    <t>Bond Floor value</t>
  </si>
  <si>
    <t>Digital payoff</t>
  </si>
  <si>
    <t>Current Price (S)</t>
  </si>
  <si>
    <t>Implied Volatility</t>
  </si>
  <si>
    <t>Pricing</t>
  </si>
  <si>
    <t>option price</t>
  </si>
  <si>
    <t>Dynamic Alpha strategy</t>
  </si>
  <si>
    <t>Digital call</t>
  </si>
  <si>
    <t>Tot invested</t>
  </si>
  <si>
    <t>Scenarios</t>
  </si>
  <si>
    <t>Conversion</t>
  </si>
  <si>
    <t>Moneyness</t>
  </si>
  <si>
    <t>Payout bond</t>
  </si>
  <si>
    <t>Payout digital</t>
  </si>
  <si>
    <t>Dynamic Alpha</t>
  </si>
  <si>
    <t>OTM</t>
  </si>
  <si>
    <t>ATM</t>
  </si>
  <si>
    <t>ITM</t>
  </si>
  <si>
    <t>S&lt;K</t>
  </si>
  <si>
    <t>S=K</t>
  </si>
  <si>
    <t>S&gt;K</t>
  </si>
  <si>
    <t>No</t>
  </si>
  <si>
    <t>Yes</t>
  </si>
  <si>
    <t>Neutral</t>
  </si>
  <si>
    <t>Stock price (S)</t>
  </si>
  <si>
    <t>Digital Option strike price (K)</t>
  </si>
  <si>
    <t>We could integrate a digital option when we have a soft call.</t>
  </si>
  <si>
    <t>A soft call allows the issuer to redeem the bond (cash) if the price of the stock stays above a threshold for a predetermined period (e.g., over 130% of the strike price for 20 days out of 30)</t>
  </si>
  <si>
    <t>-&gt; the call event is not sure to happen, it depends on the underlying</t>
  </si>
  <si>
    <t>-&gt; if  S remains under the threshold, I keep holding the CB</t>
  </si>
  <si>
    <t>-&gt; if S stays above the threshold, the issuer can redeem the bond earlier, the investor lose the potential upside</t>
  </si>
  <si>
    <t>A digital option allows us the hedge the risk that the issuer redeems the bond too early (soft call trigger).</t>
  </si>
  <si>
    <t>-&gt; Buy a Digital Call with K = soft call threshold</t>
  </si>
  <si>
    <t xml:space="preserve"> =&gt; I receive the payout from the digital</t>
  </si>
  <si>
    <t>=&gt; The issuer redeem the bond in cash and I lose the upside</t>
  </si>
  <si>
    <t>If the stock price rises above the threshold:</t>
  </si>
  <si>
    <t>Problem</t>
  </si>
  <si>
    <t>Solution</t>
  </si>
  <si>
    <t>Lose potential upside of the stock</t>
  </si>
  <si>
    <t>Soft call is conditial =&gt; difficult to hedge with vanilla options</t>
  </si>
  <si>
    <t>Asymetric risk, linked to a specific level of price</t>
  </si>
  <si>
    <t>Gain payout with the digital (cover the loss of the upside)</t>
  </si>
  <si>
    <t xml:space="preserve">Digital replicates the dummy payoff </t>
  </si>
  <si>
    <t>Digital is strike-specific = all or nothing</t>
  </si>
  <si>
    <t>Share price</t>
  </si>
  <si>
    <t>N. of CBs</t>
  </si>
  <si>
    <t>example 1 - Delta Hedging</t>
  </si>
  <si>
    <t>example 2 - Delta Hedging</t>
  </si>
  <si>
    <t>Share price (S0)</t>
  </si>
  <si>
    <t>Strike price (K)</t>
  </si>
  <si>
    <t>Maturity (T)</t>
  </si>
  <si>
    <t>Volatility (sigma)</t>
  </si>
  <si>
    <t>Conversion ratio</t>
  </si>
  <si>
    <t>1 bond = 20 shares</t>
  </si>
  <si>
    <t>Conversion price</t>
  </si>
  <si>
    <t>Current price</t>
  </si>
  <si>
    <t>Option price - BS</t>
  </si>
  <si>
    <t>std deviation (sigma)</t>
  </si>
  <si>
    <t>e^(-rT)</t>
  </si>
  <si>
    <t>DELTA = N(d1)</t>
  </si>
  <si>
    <t>Delta = N(d1)</t>
  </si>
  <si>
    <t>Call price (Black-Scholes)</t>
  </si>
  <si>
    <t>Delta per bond = Delta * CR</t>
  </si>
  <si>
    <t>Call value</t>
  </si>
  <si>
    <t>CB Value</t>
  </si>
  <si>
    <t>Total payoff</t>
  </si>
  <si>
    <t># shares to short</t>
  </si>
  <si>
    <t>Short equity value</t>
  </si>
  <si>
    <t>Let's add a digital option</t>
  </si>
  <si>
    <t>Digital Option Strike price</t>
  </si>
  <si>
    <t>Payoff digital option</t>
  </si>
  <si>
    <t>Payoff Digital</t>
  </si>
  <si>
    <t>Total payoff from Delta hedging</t>
  </si>
  <si>
    <t>Total payoff = Delta hedging + Digital</t>
  </si>
  <si>
    <t>Example 2 - Delta hedging on FX</t>
  </si>
  <si>
    <t>Risk-fee rate</t>
  </si>
  <si>
    <t>Volatility</t>
  </si>
  <si>
    <t>Notional amount</t>
  </si>
  <si>
    <t>Option type</t>
  </si>
  <si>
    <t>Call</t>
  </si>
  <si>
    <t>Spot rate (S0) EURUSD</t>
  </si>
  <si>
    <t>Maturity years (T)</t>
  </si>
  <si>
    <t>Call pricing - BS</t>
  </si>
  <si>
    <t>Hedging</t>
  </si>
  <si>
    <t>Hedge position</t>
  </si>
  <si>
    <t>Final Spot (St)</t>
  </si>
  <si>
    <t>Call payoff = max(St-K,0)</t>
  </si>
  <si>
    <t>Option value</t>
  </si>
  <si>
    <t>Hedging position</t>
  </si>
  <si>
    <t xml:space="preserve">Hedge PnL </t>
  </si>
  <si>
    <t>Include Digital Option</t>
  </si>
  <si>
    <t>Strike rate (K)</t>
  </si>
  <si>
    <t>Payoff digital (Q)</t>
  </si>
  <si>
    <t>Strike digital (K)</t>
  </si>
  <si>
    <t>per contract</t>
  </si>
  <si>
    <t>Numer of convertible</t>
  </si>
  <si>
    <t>Total digital payoff</t>
  </si>
  <si>
    <t>Total payoff = Option+Digital+Hedge PnL</t>
  </si>
  <si>
    <t>Interest rate parity</t>
  </si>
  <si>
    <t>Forward = (1+r_dom)/(1+r_for)  * Spot</t>
  </si>
  <si>
    <t>-&gt; surplus of return generated by actively manage the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</si>
</sst>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164" formatCode="0.0000"/>
    <numFmt numFmtId="165" formatCode="0.000"/>
    <numFmt numFmtId="166" formatCode="0.0%"/>
    <numFmt numFmtId="167" formatCode="#,##0.00\ &quot;€&quot;"/>
    <numFmt numFmtId="168" formatCode="#,##0\ &quot;€&quot;"/>
    <numFmt numFmtId="169" formatCode="_-* #,##0\ &quot;€&quot;_-;\-* #,##0\ &quot;€&quot;_-;_-* &quot;-&quot;??\ &quot;€&quot;_-;_-@_-"/>
    <numFmt numFmtId="174" formatCode="0.0000000"/>
  </numFmts>
  <fonts count="17"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sz val="11"/>
      <color theme="1"/>
      <name val="Aptos Narrow"/>
      <family val="2"/>
    </font>
    <font>
      <i/>
      <sz val="11"/>
      <color theme="1"/>
      <name val="Aptos Narrow"/>
      <family val="2"/>
      <scheme val="minor"/>
    </font>
    <font>
      <b/>
      <sz val="11"/>
      <color rgb="FFFF0000"/>
      <name val="Aptos Narrow"/>
      <family val="2"/>
      <scheme val="minor"/>
    </font>
    <font>
      <i/>
      <sz val="11"/>
      <name val="Aptos Narrow"/>
      <family val="2"/>
      <scheme val="minor"/>
    </font>
    <font>
      <i/>
      <sz val="11"/>
      <color rgb="FFFF0000"/>
      <name val="Aptos Narrow"/>
      <family val="2"/>
      <scheme val="minor"/>
    </font>
    <font>
      <i/>
      <sz val="11"/>
      <color theme="1"/>
      <name val="Aptos Narrow"/>
      <family val="2"/>
    </font>
    <font>
      <b/>
      <i/>
      <sz val="11"/>
      <color rgb="FFFF0000"/>
      <name val="Aptos Narrow"/>
      <family val="2"/>
      <scheme val="minor"/>
    </font>
    <font>
      <b/>
      <i/>
      <sz val="11"/>
      <color theme="1"/>
      <name val="Aptos Narrow"/>
      <family val="2"/>
      <scheme val="minor"/>
    </font>
    <font>
      <u/>
      <sz val="11"/>
      <color theme="10"/>
      <name val="Aptos Narrow"/>
      <family val="2"/>
      <scheme val="minor"/>
    </font>
    <font>
      <sz val="11"/>
      <name val="Aptos Narrow"/>
      <family val="2"/>
      <scheme val="minor"/>
    </font>
    <font>
      <b/>
      <sz val="11"/>
      <name val="Aptos Narrow"/>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style="thin">
        <color indexed="64"/>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bottom style="thin">
        <color auto="1"/>
      </bottom>
      <diagonal/>
    </border>
    <border>
      <left style="thin">
        <color indexed="64"/>
      </left>
      <right/>
      <top style="thin">
        <color auto="1"/>
      </top>
      <bottom style="thin">
        <color auto="1"/>
      </bottom>
      <diagonal/>
    </border>
    <border>
      <left style="thin">
        <color indexed="64"/>
      </left>
      <right/>
      <top style="thin">
        <color auto="1"/>
      </top>
      <bottom/>
      <diagonal/>
    </border>
    <border>
      <left/>
      <right style="thin">
        <color indexed="64"/>
      </right>
      <top style="thin">
        <color auto="1"/>
      </top>
      <bottom style="thin">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4" fillId="0" borderId="0" applyNumberFormat="0" applyFill="0" applyBorder="0" applyAlignment="0" applyProtection="0"/>
    <xf numFmtId="44" fontId="1" fillId="0" borderId="0" applyFont="0" applyFill="0" applyBorder="0" applyAlignment="0" applyProtection="0"/>
  </cellStyleXfs>
  <cellXfs count="144">
    <xf numFmtId="0" fontId="0" fillId="0" borderId="0" xfId="0"/>
    <xf numFmtId="9" fontId="0" fillId="0" borderId="0" xfId="0" applyNumberFormat="1"/>
    <xf numFmtId="9" fontId="0" fillId="0" borderId="0" xfId="1" applyFont="1"/>
    <xf numFmtId="0" fontId="5" fillId="0" borderId="0" xfId="0" applyFont="1"/>
    <xf numFmtId="0" fontId="0" fillId="0" borderId="0" xfId="0" quotePrefix="1"/>
    <xf numFmtId="0" fontId="0" fillId="0" borderId="0" xfId="0" applyAlignment="1">
      <alignment wrapText="1"/>
    </xf>
    <xf numFmtId="0" fontId="0" fillId="0" borderId="0" xfId="0" quotePrefix="1" applyAlignment="1">
      <alignment wrapText="1"/>
    </xf>
    <xf numFmtId="0" fontId="5" fillId="0" borderId="1" xfId="0" applyFont="1" applyBorder="1"/>
    <xf numFmtId="0" fontId="0" fillId="0" borderId="1" xfId="0" quotePrefix="1" applyBorder="1" applyAlignment="1">
      <alignment wrapText="1"/>
    </xf>
    <xf numFmtId="0" fontId="0" fillId="0" borderId="1" xfId="0" applyBorder="1" applyAlignment="1">
      <alignment wrapText="1"/>
    </xf>
    <xf numFmtId="0" fontId="0" fillId="0" borderId="2" xfId="0" applyBorder="1"/>
    <xf numFmtId="0" fontId="0" fillId="0" borderId="2" xfId="0" quotePrefix="1" applyBorder="1" applyAlignment="1">
      <alignment wrapText="1"/>
    </xf>
    <xf numFmtId="0" fontId="0" fillId="0" borderId="4" xfId="0" applyBorder="1"/>
    <xf numFmtId="0" fontId="5" fillId="0" borderId="2" xfId="0" applyFont="1" applyBorder="1"/>
    <xf numFmtId="0" fontId="0" fillId="0" borderId="7" xfId="0" quotePrefix="1" applyBorder="1" applyAlignment="1">
      <alignment wrapText="1"/>
    </xf>
    <xf numFmtId="0" fontId="0" fillId="0" borderId="7" xfId="0" applyBorder="1" applyAlignment="1">
      <alignment wrapText="1"/>
    </xf>
    <xf numFmtId="0" fontId="0" fillId="0" borderId="5" xfId="0" applyBorder="1" applyAlignment="1">
      <alignment wrapText="1"/>
    </xf>
    <xf numFmtId="0" fontId="0" fillId="0" borderId="0" xfId="0" applyAlignment="1">
      <alignment horizontal="right"/>
    </xf>
    <xf numFmtId="0" fontId="0" fillId="0" borderId="0" xfId="0" quotePrefix="1" applyAlignment="1">
      <alignment horizontal="right"/>
    </xf>
    <xf numFmtId="9" fontId="0" fillId="0" borderId="0" xfId="0" applyNumberFormat="1" applyAlignment="1">
      <alignment horizontal="right"/>
    </xf>
    <xf numFmtId="9" fontId="0" fillId="0" borderId="0" xfId="1" applyFont="1" applyBorder="1" applyAlignment="1">
      <alignment horizontal="right"/>
    </xf>
    <xf numFmtId="0" fontId="0" fillId="0" borderId="4" xfId="0" applyBorder="1" applyAlignment="1">
      <alignment horizontal="right"/>
    </xf>
    <xf numFmtId="0" fontId="0" fillId="0" borderId="2" xfId="0" applyBorder="1" applyAlignment="1">
      <alignment horizontal="right"/>
    </xf>
    <xf numFmtId="2" fontId="0" fillId="0" borderId="4" xfId="1" applyNumberFormat="1" applyFont="1" applyBorder="1" applyAlignment="1">
      <alignment horizontal="right"/>
    </xf>
    <xf numFmtId="9" fontId="0" fillId="0" borderId="4" xfId="1" applyFont="1" applyBorder="1" applyAlignment="1">
      <alignment horizontal="right"/>
    </xf>
    <xf numFmtId="9" fontId="0" fillId="0" borderId="2" xfId="0" applyNumberFormat="1" applyBorder="1" applyAlignment="1">
      <alignment horizontal="right"/>
    </xf>
    <xf numFmtId="9" fontId="0" fillId="0" borderId="4" xfId="0" applyNumberFormat="1" applyBorder="1" applyAlignment="1">
      <alignment horizontal="right"/>
    </xf>
    <xf numFmtId="9" fontId="0" fillId="0" borderId="2" xfId="1" applyFont="1" applyBorder="1" applyAlignment="1">
      <alignment horizontal="right"/>
    </xf>
    <xf numFmtId="0" fontId="0" fillId="0" borderId="4" xfId="0" applyBorder="1" applyAlignment="1">
      <alignment vertical="center"/>
    </xf>
    <xf numFmtId="0" fontId="0" fillId="0" borderId="0" xfId="0" applyAlignment="1">
      <alignment vertical="center" wrapText="1"/>
    </xf>
    <xf numFmtId="0" fontId="0" fillId="0" borderId="2" xfId="0" applyBorder="1" applyAlignment="1">
      <alignment vertical="center"/>
    </xf>
    <xf numFmtId="0" fontId="5" fillId="0" borderId="0" xfId="0" applyFont="1" applyAlignment="1">
      <alignment vertical="center"/>
    </xf>
    <xf numFmtId="0" fontId="0" fillId="0" borderId="0" xfId="0" applyAlignment="1">
      <alignment vertical="center"/>
    </xf>
    <xf numFmtId="0" fontId="7" fillId="0" borderId="2" xfId="0" applyFont="1" applyBorder="1" applyAlignment="1">
      <alignment vertical="center" wrapText="1"/>
    </xf>
    <xf numFmtId="0" fontId="0" fillId="0" borderId="5" xfId="0" quotePrefix="1" applyBorder="1" applyAlignment="1">
      <alignment wrapText="1"/>
    </xf>
    <xf numFmtId="10" fontId="0" fillId="0" borderId="0" xfId="0" applyNumberFormat="1"/>
    <xf numFmtId="10" fontId="0" fillId="0" borderId="0" xfId="0" quotePrefix="1" applyNumberFormat="1"/>
    <xf numFmtId="0" fontId="5" fillId="0" borderId="0" xfId="0" applyFont="1" applyAlignment="1">
      <alignment wrapText="1"/>
    </xf>
    <xf numFmtId="0" fontId="0" fillId="0" borderId="0" xfId="0" applyAlignment="1">
      <alignment horizontal="right" vertical="center"/>
    </xf>
    <xf numFmtId="0" fontId="5" fillId="0" borderId="0" xfId="0" applyFont="1" applyAlignment="1">
      <alignment vertical="center" wrapText="1"/>
    </xf>
    <xf numFmtId="2" fontId="0" fillId="0" borderId="0" xfId="0" applyNumberFormat="1" applyAlignment="1">
      <alignment vertical="center" wrapText="1"/>
    </xf>
    <xf numFmtId="2" fontId="0" fillId="0" borderId="0" xfId="0" applyNumberFormat="1" applyAlignment="1">
      <alignment horizontal="right" vertical="center" wrapText="1"/>
    </xf>
    <xf numFmtId="0" fontId="5" fillId="0" borderId="4" xfId="0" applyFont="1" applyBorder="1" applyAlignment="1">
      <alignment vertical="center" wrapText="1"/>
    </xf>
    <xf numFmtId="0" fontId="0" fillId="0" borderId="4" xfId="0" applyBorder="1" applyAlignment="1">
      <alignment vertical="center" wrapText="1"/>
    </xf>
    <xf numFmtId="0" fontId="5" fillId="0" borderId="9" xfId="0" applyFont="1" applyBorder="1" applyAlignment="1">
      <alignment horizontal="center" vertical="center" wrapText="1"/>
    </xf>
    <xf numFmtId="2" fontId="5" fillId="0" borderId="4" xfId="0" applyNumberFormat="1" applyFont="1" applyBorder="1" applyAlignment="1">
      <alignment vertical="center" wrapText="1"/>
    </xf>
    <xf numFmtId="0" fontId="8" fillId="0" borderId="10" xfId="0" applyFont="1" applyBorder="1" applyAlignment="1">
      <alignment vertical="center" wrapText="1"/>
    </xf>
    <xf numFmtId="0" fontId="9" fillId="0" borderId="0" xfId="0" applyFont="1" applyAlignment="1">
      <alignment vertical="center" wrapText="1"/>
    </xf>
    <xf numFmtId="166" fontId="0" fillId="0" borderId="0" xfId="1" applyNumberFormat="1" applyFont="1" applyFill="1" applyBorder="1" applyAlignment="1">
      <alignment vertical="center" wrapText="1"/>
    </xf>
    <xf numFmtId="2" fontId="0" fillId="0" borderId="0" xfId="0" applyNumberFormat="1"/>
    <xf numFmtId="2" fontId="5" fillId="0" borderId="0" xfId="0" applyNumberFormat="1" applyFont="1"/>
    <xf numFmtId="0" fontId="7" fillId="0" borderId="0" xfId="0" applyFont="1"/>
    <xf numFmtId="0" fontId="7" fillId="0" borderId="0" xfId="0" quotePrefix="1" applyFont="1"/>
    <xf numFmtId="0" fontId="7" fillId="0" borderId="9" xfId="0" applyFont="1" applyBorder="1"/>
    <xf numFmtId="164" fontId="0" fillId="0" borderId="0" xfId="0" applyNumberFormat="1"/>
    <xf numFmtId="167" fontId="0" fillId="0" borderId="0" xfId="0" applyNumberFormat="1"/>
    <xf numFmtId="168" fontId="0" fillId="0" borderId="0" xfId="0" applyNumberFormat="1"/>
    <xf numFmtId="0" fontId="0" fillId="0" borderId="4" xfId="0" quotePrefix="1" applyBorder="1"/>
    <xf numFmtId="168" fontId="0" fillId="0" borderId="4" xfId="0" applyNumberFormat="1" applyBorder="1"/>
    <xf numFmtId="0" fontId="5" fillId="0" borderId="4" xfId="0" applyFont="1" applyBorder="1"/>
    <xf numFmtId="0" fontId="5" fillId="0" borderId="4" xfId="0" quotePrefix="1" applyFont="1" applyBorder="1"/>
    <xf numFmtId="168" fontId="5" fillId="0" borderId="4" xfId="0" applyNumberFormat="1" applyFont="1" applyBorder="1"/>
    <xf numFmtId="0" fontId="10" fillId="0" borderId="2" xfId="0" applyFont="1" applyBorder="1"/>
    <xf numFmtId="0" fontId="11" fillId="0" borderId="0" xfId="0" applyFont="1"/>
    <xf numFmtId="167" fontId="5" fillId="0" borderId="0" xfId="0" applyNumberFormat="1" applyFont="1"/>
    <xf numFmtId="0" fontId="7" fillId="0" borderId="0" xfId="0" applyFont="1" applyAlignment="1">
      <alignment horizontal="center"/>
    </xf>
    <xf numFmtId="0" fontId="11" fillId="0" borderId="0" xfId="0" applyFont="1" applyAlignment="1">
      <alignment horizontal="center"/>
    </xf>
    <xf numFmtId="0" fontId="5" fillId="0" borderId="2" xfId="0" applyFont="1" applyBorder="1" applyAlignment="1">
      <alignment horizontal="left" vertical="center"/>
    </xf>
    <xf numFmtId="0" fontId="7" fillId="0" borderId="0" xfId="0" applyFont="1" applyAlignment="1">
      <alignment horizontal="left"/>
    </xf>
    <xf numFmtId="0" fontId="5" fillId="0" borderId="2" xfId="0" applyFont="1" applyBorder="1" applyAlignment="1">
      <alignment horizontal="center" vertical="center"/>
    </xf>
    <xf numFmtId="165" fontId="5" fillId="0" borderId="0" xfId="0" applyNumberFormat="1" applyFont="1"/>
    <xf numFmtId="0" fontId="7" fillId="0" borderId="2" xfId="0" applyFont="1" applyBorder="1" applyAlignment="1">
      <alignment horizontal="left"/>
    </xf>
    <xf numFmtId="2" fontId="0" fillId="0" borderId="2" xfId="0" applyNumberFormat="1" applyBorder="1" applyAlignment="1">
      <alignment horizontal="left" vertical="center"/>
    </xf>
    <xf numFmtId="167" fontId="0" fillId="0" borderId="2" xfId="0" applyNumberFormat="1" applyBorder="1" applyAlignment="1">
      <alignment horizontal="center"/>
    </xf>
    <xf numFmtId="2" fontId="3" fillId="3" borderId="2" xfId="3" applyNumberFormat="1" applyBorder="1" applyAlignment="1">
      <alignment horizontal="left" vertical="center"/>
    </xf>
    <xf numFmtId="167" fontId="0" fillId="0" borderId="3" xfId="0" applyNumberFormat="1" applyBorder="1" applyAlignment="1">
      <alignment horizontal="center"/>
    </xf>
    <xf numFmtId="167" fontId="0" fillId="0" borderId="3" xfId="0" applyNumberFormat="1" applyBorder="1"/>
    <xf numFmtId="167" fontId="0" fillId="0" borderId="2" xfId="0" applyNumberFormat="1" applyBorder="1"/>
    <xf numFmtId="0" fontId="5" fillId="0" borderId="5" xfId="0" applyFont="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7" fontId="0" fillId="0" borderId="0" xfId="0" applyNumberFormat="1" applyAlignment="1">
      <alignment horizontal="center"/>
    </xf>
    <xf numFmtId="0" fontId="5" fillId="0" borderId="5" xfId="0" applyFont="1" applyBorder="1" applyAlignment="1">
      <alignment horizontal="left" vertical="center"/>
    </xf>
    <xf numFmtId="2" fontId="0" fillId="0" borderId="5" xfId="0" applyNumberFormat="1" applyBorder="1" applyAlignment="1">
      <alignment horizontal="left" vertical="center"/>
    </xf>
    <xf numFmtId="2" fontId="0" fillId="0" borderId="1" xfId="0" applyNumberFormat="1" applyBorder="1" applyAlignment="1">
      <alignment horizontal="left" vertical="center"/>
    </xf>
    <xf numFmtId="2" fontId="2" fillId="2" borderId="0" xfId="2" applyNumberFormat="1" applyBorder="1" applyAlignment="1">
      <alignment horizontal="left" vertical="center"/>
    </xf>
    <xf numFmtId="2" fontId="0" fillId="0" borderId="0" xfId="0" applyNumberFormat="1" applyAlignment="1">
      <alignment horizontal="left" vertical="center"/>
    </xf>
    <xf numFmtId="2" fontId="4" fillId="4" borderId="0" xfId="4" applyNumberFormat="1" applyBorder="1" applyAlignment="1">
      <alignment horizontal="left" vertical="center"/>
    </xf>
    <xf numFmtId="2" fontId="3" fillId="3" borderId="0" xfId="3" applyNumberFormat="1" applyBorder="1" applyAlignment="1">
      <alignment horizontal="left" vertical="center"/>
    </xf>
    <xf numFmtId="0" fontId="5" fillId="0" borderId="10" xfId="0" applyFont="1" applyBorder="1" applyAlignment="1">
      <alignment horizontal="center" vertical="center"/>
    </xf>
    <xf numFmtId="167" fontId="5" fillId="0" borderId="10" xfId="0" applyNumberFormat="1" applyFont="1" applyBorder="1"/>
    <xf numFmtId="167" fontId="0" fillId="0" borderId="11" xfId="0" applyNumberFormat="1" applyBorder="1"/>
    <xf numFmtId="167" fontId="0" fillId="0" borderId="12" xfId="0" applyNumberFormat="1" applyBorder="1"/>
    <xf numFmtId="0" fontId="13" fillId="0" borderId="0" xfId="0" applyFont="1"/>
    <xf numFmtId="0" fontId="5" fillId="0" borderId="0" xfId="0" applyFont="1" applyAlignment="1">
      <alignment horizontal="left"/>
    </xf>
    <xf numFmtId="0" fontId="12" fillId="0" borderId="2" xfId="0" applyFont="1" applyBorder="1"/>
    <xf numFmtId="0" fontId="2" fillId="2" borderId="0" xfId="2" quotePrefix="1"/>
    <xf numFmtId="0" fontId="4" fillId="4" borderId="0" xfId="4" quotePrefix="1"/>
    <xf numFmtId="0" fontId="3" fillId="3" borderId="0" xfId="3" quotePrefix="1"/>
    <xf numFmtId="0" fontId="2" fillId="2" borderId="0" xfId="2"/>
    <xf numFmtId="0" fontId="4" fillId="4" borderId="0" xfId="4"/>
    <xf numFmtId="0" fontId="3" fillId="3" borderId="0" xfId="3"/>
    <xf numFmtId="0" fontId="14" fillId="0" borderId="0" xfId="5"/>
    <xf numFmtId="0" fontId="0" fillId="0" borderId="0" xfId="0" quotePrefix="1" applyAlignment="1">
      <alignment horizontal="left"/>
    </xf>
    <xf numFmtId="0" fontId="0" fillId="0" borderId="2" xfId="0" applyBorder="1" applyAlignment="1">
      <alignment horizontal="center" vertical="center"/>
    </xf>
    <xf numFmtId="0" fontId="8" fillId="0" borderId="0" xfId="0" applyFont="1" applyAlignment="1">
      <alignment horizontal="left"/>
    </xf>
    <xf numFmtId="0" fontId="10" fillId="0" borderId="2" xfId="0" applyFont="1" applyBorder="1" applyAlignment="1">
      <alignment horizontal="left"/>
    </xf>
    <xf numFmtId="0" fontId="5" fillId="0" borderId="0" xfId="0" quotePrefix="1" applyFont="1" applyAlignment="1">
      <alignment horizontal="left"/>
    </xf>
    <xf numFmtId="0" fontId="5" fillId="0" borderId="2" xfId="0" applyFont="1" applyBorder="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9" fillId="0" borderId="9" xfId="0" applyFont="1" applyBorder="1"/>
    <xf numFmtId="0" fontId="8" fillId="0" borderId="2" xfId="0" applyFont="1" applyBorder="1" applyAlignment="1">
      <alignment horizontal="left" vertical="center"/>
    </xf>
    <xf numFmtId="169" fontId="0" fillId="0" borderId="0" xfId="6" applyNumberFormat="1" applyFont="1"/>
    <xf numFmtId="0" fontId="8" fillId="0" borderId="3" xfId="0" applyFont="1" applyBorder="1" applyAlignment="1">
      <alignment horizontal="center"/>
    </xf>
    <xf numFmtId="0" fontId="8" fillId="0" borderId="8" xfId="0" applyFont="1" applyBorder="1" applyAlignment="1">
      <alignment horizontal="center"/>
    </xf>
    <xf numFmtId="0" fontId="8" fillId="0" borderId="6" xfId="0" applyFont="1" applyBorder="1" applyAlignment="1">
      <alignment horizontal="center"/>
    </xf>
    <xf numFmtId="168" fontId="5" fillId="0" borderId="0" xfId="0" applyNumberFormat="1" applyFont="1"/>
    <xf numFmtId="0" fontId="0" fillId="0" borderId="0" xfId="0" applyFont="1"/>
    <xf numFmtId="169" fontId="1" fillId="0" borderId="0" xfId="6" applyNumberFormat="1" applyFont="1"/>
    <xf numFmtId="0" fontId="7" fillId="0" borderId="2" xfId="0" applyFont="1" applyBorder="1"/>
    <xf numFmtId="1" fontId="1" fillId="0" borderId="0" xfId="6" applyNumberFormat="1" applyFont="1"/>
    <xf numFmtId="169" fontId="0" fillId="0" borderId="0" xfId="0" applyNumberFormat="1"/>
    <xf numFmtId="169" fontId="5" fillId="0" borderId="0" xfId="0" applyNumberFormat="1" applyFont="1"/>
    <xf numFmtId="44" fontId="0" fillId="0" borderId="0" xfId="6" applyFont="1"/>
    <xf numFmtId="0" fontId="0" fillId="0" borderId="0" xfId="0" applyFont="1" applyAlignment="1">
      <alignment wrapText="1"/>
    </xf>
    <xf numFmtId="0" fontId="9" fillId="0" borderId="0" xfId="0" applyFont="1" applyBorder="1" applyAlignment="1">
      <alignment horizontal="left"/>
    </xf>
    <xf numFmtId="0" fontId="9" fillId="0" borderId="3" xfId="0" applyFont="1" applyBorder="1" applyAlignment="1">
      <alignment horizontal="left"/>
    </xf>
    <xf numFmtId="0" fontId="15" fillId="0" borderId="0" xfId="0" applyFont="1"/>
    <xf numFmtId="0" fontId="15" fillId="0" borderId="0" xfId="0" applyFont="1" applyBorder="1" applyAlignment="1">
      <alignment horizontal="left"/>
    </xf>
    <xf numFmtId="0" fontId="9" fillId="0" borderId="2" xfId="0" applyFont="1" applyBorder="1" applyAlignment="1">
      <alignment horizontal="left"/>
    </xf>
    <xf numFmtId="0" fontId="16" fillId="0" borderId="0" xfId="0" applyFont="1" applyBorder="1" applyAlignment="1">
      <alignment horizontal="left"/>
    </xf>
    <xf numFmtId="44" fontId="0" fillId="0" borderId="0" xfId="0" applyNumberFormat="1"/>
    <xf numFmtId="174" fontId="0" fillId="0" borderId="0" xfId="0" applyNumberFormat="1"/>
    <xf numFmtId="44" fontId="1" fillId="0" borderId="0" xfId="6" applyFont="1"/>
    <xf numFmtId="44" fontId="0" fillId="0" borderId="0" xfId="0" applyNumberFormat="1" applyFont="1"/>
    <xf numFmtId="0" fontId="9" fillId="0" borderId="2" xfId="0" applyFont="1" applyBorder="1" applyAlignment="1">
      <alignment horizontal="left" wrapText="1"/>
    </xf>
    <xf numFmtId="0" fontId="7" fillId="0" borderId="2" xfId="0" applyFont="1" applyBorder="1" applyAlignment="1">
      <alignment wrapText="1"/>
    </xf>
    <xf numFmtId="0" fontId="7" fillId="0" borderId="2" xfId="0" applyFont="1" applyFill="1" applyBorder="1" applyAlignment="1">
      <alignment wrapText="1"/>
    </xf>
    <xf numFmtId="0" fontId="0" fillId="0" borderId="0" xfId="0" applyFont="1" applyFill="1" applyBorder="1"/>
    <xf numFmtId="0" fontId="9" fillId="0" borderId="2" xfId="0" applyFont="1" applyBorder="1" applyAlignment="1">
      <alignment vertical="center" wrapText="1"/>
    </xf>
    <xf numFmtId="0" fontId="7" fillId="0" borderId="2" xfId="0" applyFont="1" applyFill="1" applyBorder="1"/>
    <xf numFmtId="0" fontId="15" fillId="0" borderId="0" xfId="0" applyFont="1" applyFill="1" applyBorder="1" applyAlignment="1">
      <alignment horizontal="left"/>
    </xf>
    <xf numFmtId="0" fontId="9" fillId="0" borderId="2" xfId="0" applyFont="1" applyFill="1" applyBorder="1" applyAlignment="1">
      <alignment horizontal="left"/>
    </xf>
  </cellXfs>
  <cellStyles count="7">
    <cellStyle name="Bad" xfId="3" builtinId="27"/>
    <cellStyle name="Currency" xfId="6" builtinId="4"/>
    <cellStyle name="Good" xfId="2" builtinId="26"/>
    <cellStyle name="Hyperlink" xfId="5" builtinId="8"/>
    <cellStyle name="Neutral" xfId="4" builtinId="28"/>
    <cellStyle name="Normal" xfId="0" builtinId="0"/>
    <cellStyle name="Percent" xfId="1"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Prices at 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1"/>
          <c:order val="0"/>
          <c:tx>
            <c:strRef>
              <c:f>'Convertible Bonds'!$G$82</c:f>
              <c:strCache>
                <c:ptCount val="1"/>
                <c:pt idx="0">
                  <c:v>Option Value max(S-S0;0)</c:v>
                </c:pt>
              </c:strCache>
            </c:strRef>
          </c:tx>
          <c:spPr>
            <a:ln w="28575" cap="rnd">
              <a:solidFill>
                <a:schemeClr val="accent1">
                  <a:lumMod val="60000"/>
                  <a:lumOff val="40000"/>
                </a:schemeClr>
              </a:solidFill>
              <a:round/>
            </a:ln>
            <a:effectLst/>
          </c:spPr>
          <c:marker>
            <c:symbol val="none"/>
          </c:marker>
          <c:cat>
            <c:numRef>
              <c:f>'Convertible Bonds'!$E$89:$E$92</c:f>
              <c:numCache>
                <c:formatCode>0.00</c:formatCode>
                <c:ptCount val="4"/>
                <c:pt idx="0">
                  <c:v>122.98015555784751</c:v>
                </c:pt>
                <c:pt idx="1">
                  <c:v>67.492940378800171</c:v>
                </c:pt>
                <c:pt idx="2">
                  <c:v>37.040911034085894</c:v>
                </c:pt>
                <c:pt idx="3">
                  <c:v>20.328482987029957</c:v>
                </c:pt>
              </c:numCache>
            </c:numRef>
          </c:cat>
          <c:val>
            <c:numRef>
              <c:f>'Convertible Bonds'!$G$89:$G$92</c:f>
              <c:numCache>
                <c:formatCode>#,##0.00\ "€"</c:formatCode>
                <c:ptCount val="4"/>
                <c:pt idx="0">
                  <c:v>72.98015555784751</c:v>
                </c:pt>
                <c:pt idx="1">
                  <c:v>17.492940378800171</c:v>
                </c:pt>
                <c:pt idx="2">
                  <c:v>0</c:v>
                </c:pt>
                <c:pt idx="3">
                  <c:v>0</c:v>
                </c:pt>
              </c:numCache>
            </c:numRef>
          </c:val>
          <c:smooth val="0"/>
          <c:extLst>
            <c:ext xmlns:c16="http://schemas.microsoft.com/office/drawing/2014/chart" uri="{C3380CC4-5D6E-409C-BE32-E72D297353CC}">
              <c16:uniqueId val="{00000001-E4DE-46A1-9E80-3C119A8CEFA4}"/>
            </c:ext>
          </c:extLst>
        </c:ser>
        <c:dLbls>
          <c:showLegendKey val="0"/>
          <c:showVal val="0"/>
          <c:showCatName val="0"/>
          <c:showSerName val="0"/>
          <c:showPercent val="0"/>
          <c:showBubbleSize val="0"/>
        </c:dLbls>
        <c:smooth val="0"/>
        <c:axId val="1384886415"/>
        <c:axId val="1357206655"/>
      </c:lineChart>
      <c:catAx>
        <c:axId val="138488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Share prices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7206655"/>
        <c:crosses val="autoZero"/>
        <c:auto val="1"/>
        <c:lblAlgn val="ctr"/>
        <c:lblOffset val="100"/>
        <c:noMultiLvlLbl val="0"/>
      </c:catAx>
      <c:valAx>
        <c:axId val="135720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Final Payoff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8488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'Convertible Bonds'!$D$164</c:f>
              <c:strCache>
                <c:ptCount val="1"/>
                <c:pt idx="0">
                  <c:v>Total payoff from Delta hedging</c:v>
                </c:pt>
              </c:strCache>
            </c:strRef>
          </c:tx>
          <c:spPr>
            <a:ln w="28575" cap="rnd">
              <a:solidFill>
                <a:schemeClr val="accent1"/>
              </a:solidFill>
              <a:round/>
            </a:ln>
            <a:effectLst/>
          </c:spPr>
          <c:marker>
            <c:symbol val="none"/>
          </c:marker>
          <c:cat>
            <c:numRef>
              <c:f>'Convertible Bonds'!$B$165:$B$167</c:f>
              <c:numCache>
                <c:formatCode>_("€"* #,##0.00_);_("€"* \(#,##0.00\);_("€"* "-"??_);_(@_)</c:formatCode>
                <c:ptCount val="3"/>
                <c:pt idx="0">
                  <c:v>40</c:v>
                </c:pt>
                <c:pt idx="1">
                  <c:v>50</c:v>
                </c:pt>
                <c:pt idx="2">
                  <c:v>60</c:v>
                </c:pt>
              </c:numCache>
            </c:numRef>
          </c:cat>
          <c:val>
            <c:numRef>
              <c:f>'Convertible Bonds'!$D$165:$D$167</c:f>
              <c:numCache>
                <c:formatCode>_("€"* #,##0.00_);_("€"* \(#,##0.00\);_("€"* "-"??_);_(@_)</c:formatCode>
                <c:ptCount val="3"/>
                <c:pt idx="0">
                  <c:v>1374.8622105723093</c:v>
                </c:pt>
                <c:pt idx="1">
                  <c:v>1383.8971665946478</c:v>
                </c:pt>
                <c:pt idx="2">
                  <c:v>1377.9478949736344</c:v>
                </c:pt>
              </c:numCache>
            </c:numRef>
          </c:val>
          <c:smooth val="0"/>
          <c:extLst>
            <c:ext xmlns:c16="http://schemas.microsoft.com/office/drawing/2014/chart" uri="{C3380CC4-5D6E-409C-BE32-E72D297353CC}">
              <c16:uniqueId val="{00000000-0997-4B64-8483-044E42478965}"/>
            </c:ext>
          </c:extLst>
        </c:ser>
        <c:ser>
          <c:idx val="1"/>
          <c:order val="1"/>
          <c:tx>
            <c:strRef>
              <c:f>'Convertible Bonds'!$E$164</c:f>
              <c:strCache>
                <c:ptCount val="1"/>
                <c:pt idx="0">
                  <c:v>Total payoff = Delta hedging + Digital</c:v>
                </c:pt>
              </c:strCache>
            </c:strRef>
          </c:tx>
          <c:spPr>
            <a:ln w="28575" cap="rnd">
              <a:solidFill>
                <a:schemeClr val="accent2"/>
              </a:solidFill>
              <a:round/>
            </a:ln>
            <a:effectLst/>
          </c:spPr>
          <c:marker>
            <c:symbol val="none"/>
          </c:marker>
          <c:cat>
            <c:numRef>
              <c:f>'Convertible Bonds'!$B$165:$B$167</c:f>
              <c:numCache>
                <c:formatCode>_("€"* #,##0.00_);_("€"* \(#,##0.00\);_("€"* "-"??_);_(@_)</c:formatCode>
                <c:ptCount val="3"/>
                <c:pt idx="0">
                  <c:v>40</c:v>
                </c:pt>
                <c:pt idx="1">
                  <c:v>50</c:v>
                </c:pt>
                <c:pt idx="2">
                  <c:v>60</c:v>
                </c:pt>
              </c:numCache>
            </c:numRef>
          </c:cat>
          <c:val>
            <c:numRef>
              <c:f>'Convertible Bonds'!$E$165:$E$167</c:f>
              <c:numCache>
                <c:formatCode>_("€"* #,##0.00_);_("€"* \(#,##0.00\);_("€"* "-"??_);_(@_)</c:formatCode>
                <c:ptCount val="3"/>
                <c:pt idx="0">
                  <c:v>1374.8622105723093</c:v>
                </c:pt>
                <c:pt idx="1">
                  <c:v>1383.8971665946478</c:v>
                </c:pt>
                <c:pt idx="2">
                  <c:v>1477.9478949736344</c:v>
                </c:pt>
              </c:numCache>
            </c:numRef>
          </c:val>
          <c:smooth val="0"/>
          <c:extLst>
            <c:ext xmlns:c16="http://schemas.microsoft.com/office/drawing/2014/chart" uri="{C3380CC4-5D6E-409C-BE32-E72D297353CC}">
              <c16:uniqueId val="{00000001-0997-4B64-8483-044E42478965}"/>
            </c:ext>
          </c:extLst>
        </c:ser>
        <c:dLbls>
          <c:showLegendKey val="0"/>
          <c:showVal val="0"/>
          <c:showCatName val="0"/>
          <c:showSerName val="0"/>
          <c:showPercent val="0"/>
          <c:showBubbleSize val="0"/>
        </c:dLbls>
        <c:smooth val="0"/>
        <c:axId val="1127123199"/>
        <c:axId val="1127123679"/>
      </c:lineChart>
      <c:catAx>
        <c:axId val="1127123199"/>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7123679"/>
        <c:crosses val="autoZero"/>
        <c:auto val="1"/>
        <c:lblAlgn val="ctr"/>
        <c:lblOffset val="100"/>
        <c:noMultiLvlLbl val="0"/>
      </c:catAx>
      <c:valAx>
        <c:axId val="112712367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712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314068</xdr:colOff>
      <xdr:row>42</xdr:row>
      <xdr:rowOff>152478</xdr:rowOff>
    </xdr:from>
    <xdr:to>
      <xdr:col>5</xdr:col>
      <xdr:colOff>464820</xdr:colOff>
      <xdr:row>48</xdr:row>
      <xdr:rowOff>36195</xdr:rowOff>
    </xdr:to>
    <xdr:pic>
      <xdr:nvPicPr>
        <xdr:cNvPr id="2" name="Picture 1">
          <a:extLst>
            <a:ext uri="{FF2B5EF4-FFF2-40B4-BE49-F238E27FC236}">
              <a16:creationId xmlns:a16="http://schemas.microsoft.com/office/drawing/2014/main" id="{14088121-0299-1526-2554-7B23BFDD2B69}"/>
            </a:ext>
          </a:extLst>
        </xdr:cNvPr>
        <xdr:cNvPicPr>
          <a:picLocks noChangeAspect="1"/>
        </xdr:cNvPicPr>
      </xdr:nvPicPr>
      <xdr:blipFill>
        <a:blip xmlns:r="http://schemas.openxmlformats.org/officeDocument/2006/relationships" r:embed="rId1"/>
        <a:stretch>
          <a:fillRect/>
        </a:stretch>
      </xdr:blipFill>
      <xdr:spPr>
        <a:xfrm>
          <a:off x="4514593" y="7753428"/>
          <a:ext cx="2236727" cy="969567"/>
        </a:xfrm>
        <a:prstGeom prst="rect">
          <a:avLst/>
        </a:prstGeom>
      </xdr:spPr>
    </xdr:pic>
    <xdr:clientData/>
  </xdr:twoCellAnchor>
  <xdr:twoCellAnchor editAs="oneCell">
    <xdr:from>
      <xdr:col>3</xdr:col>
      <xdr:colOff>312420</xdr:colOff>
      <xdr:row>48</xdr:row>
      <xdr:rowOff>160022</xdr:rowOff>
    </xdr:from>
    <xdr:to>
      <xdr:col>5</xdr:col>
      <xdr:colOff>735159</xdr:colOff>
      <xdr:row>50</xdr:row>
      <xdr:rowOff>153768</xdr:rowOff>
    </xdr:to>
    <xdr:pic>
      <xdr:nvPicPr>
        <xdr:cNvPr id="3" name="Picture 2">
          <a:extLst>
            <a:ext uri="{FF2B5EF4-FFF2-40B4-BE49-F238E27FC236}">
              <a16:creationId xmlns:a16="http://schemas.microsoft.com/office/drawing/2014/main" id="{97160B3A-50FF-BE0E-6953-36F73522E34D}"/>
            </a:ext>
          </a:extLst>
        </xdr:cNvPr>
        <xdr:cNvPicPr>
          <a:picLocks noChangeAspect="1"/>
        </xdr:cNvPicPr>
      </xdr:nvPicPr>
      <xdr:blipFill>
        <a:blip xmlns:r="http://schemas.openxmlformats.org/officeDocument/2006/relationships" r:embed="rId2"/>
        <a:stretch>
          <a:fillRect/>
        </a:stretch>
      </xdr:blipFill>
      <xdr:spPr>
        <a:xfrm>
          <a:off x="4798695" y="8846822"/>
          <a:ext cx="2508714" cy="355696"/>
        </a:xfrm>
        <a:prstGeom prst="rect">
          <a:avLst/>
        </a:prstGeom>
      </xdr:spPr>
    </xdr:pic>
    <xdr:clientData/>
  </xdr:twoCellAnchor>
  <xdr:twoCellAnchor editAs="oneCell">
    <xdr:from>
      <xdr:col>2</xdr:col>
      <xdr:colOff>409575</xdr:colOff>
      <xdr:row>77</xdr:row>
      <xdr:rowOff>17147</xdr:rowOff>
    </xdr:from>
    <xdr:to>
      <xdr:col>4</xdr:col>
      <xdr:colOff>331470</xdr:colOff>
      <xdr:row>79</xdr:row>
      <xdr:rowOff>143444</xdr:rowOff>
    </xdr:to>
    <xdr:pic>
      <xdr:nvPicPr>
        <xdr:cNvPr id="4" name="Picture 3">
          <a:extLst>
            <a:ext uri="{FF2B5EF4-FFF2-40B4-BE49-F238E27FC236}">
              <a16:creationId xmlns:a16="http://schemas.microsoft.com/office/drawing/2014/main" id="{D276912A-7934-82C1-4658-D436BCDB8C56}"/>
            </a:ext>
          </a:extLst>
        </xdr:cNvPr>
        <xdr:cNvPicPr>
          <a:picLocks noChangeAspect="1"/>
        </xdr:cNvPicPr>
      </xdr:nvPicPr>
      <xdr:blipFill>
        <a:blip xmlns:r="http://schemas.openxmlformats.org/officeDocument/2006/relationships" r:embed="rId3"/>
        <a:stretch>
          <a:fillRect/>
        </a:stretch>
      </xdr:blipFill>
      <xdr:spPr>
        <a:xfrm>
          <a:off x="3771900" y="13952222"/>
          <a:ext cx="2169795" cy="488247"/>
        </a:xfrm>
        <a:prstGeom prst="rect">
          <a:avLst/>
        </a:prstGeom>
      </xdr:spPr>
    </xdr:pic>
    <xdr:clientData/>
  </xdr:twoCellAnchor>
  <xdr:twoCellAnchor editAs="oneCell">
    <xdr:from>
      <xdr:col>5</xdr:col>
      <xdr:colOff>1049654</xdr:colOff>
      <xdr:row>76</xdr:row>
      <xdr:rowOff>85725</xdr:rowOff>
    </xdr:from>
    <xdr:to>
      <xdr:col>8</xdr:col>
      <xdr:colOff>821054</xdr:colOff>
      <xdr:row>79</xdr:row>
      <xdr:rowOff>134488</xdr:rowOff>
    </xdr:to>
    <xdr:pic>
      <xdr:nvPicPr>
        <xdr:cNvPr id="5" name="Picture 4">
          <a:extLst>
            <a:ext uri="{FF2B5EF4-FFF2-40B4-BE49-F238E27FC236}">
              <a16:creationId xmlns:a16="http://schemas.microsoft.com/office/drawing/2014/main" id="{80A41873-E967-53AD-E8C3-DA0E409BE702}"/>
            </a:ext>
          </a:extLst>
        </xdr:cNvPr>
        <xdr:cNvPicPr>
          <a:picLocks noChangeAspect="1"/>
        </xdr:cNvPicPr>
      </xdr:nvPicPr>
      <xdr:blipFill>
        <a:blip xmlns:r="http://schemas.openxmlformats.org/officeDocument/2006/relationships" r:embed="rId4"/>
        <a:stretch>
          <a:fillRect/>
        </a:stretch>
      </xdr:blipFill>
      <xdr:spPr>
        <a:xfrm>
          <a:off x="7298054" y="13839825"/>
          <a:ext cx="4286250" cy="591688"/>
        </a:xfrm>
        <a:prstGeom prst="rect">
          <a:avLst/>
        </a:prstGeom>
      </xdr:spPr>
    </xdr:pic>
    <xdr:clientData/>
  </xdr:twoCellAnchor>
  <xdr:twoCellAnchor>
    <xdr:from>
      <xdr:col>5</xdr:col>
      <xdr:colOff>731520</xdr:colOff>
      <xdr:row>94</xdr:row>
      <xdr:rowOff>77152</xdr:rowOff>
    </xdr:from>
    <xdr:to>
      <xdr:col>8</xdr:col>
      <xdr:colOff>788670</xdr:colOff>
      <xdr:row>109</xdr:row>
      <xdr:rowOff>105727</xdr:rowOff>
    </xdr:to>
    <xdr:graphicFrame macro="">
      <xdr:nvGraphicFramePr>
        <xdr:cNvPr id="8" name="Chart 7">
          <a:extLst>
            <a:ext uri="{FF2B5EF4-FFF2-40B4-BE49-F238E27FC236}">
              <a16:creationId xmlns:a16="http://schemas.microsoft.com/office/drawing/2014/main" id="{C9E0C014-224C-3212-3DB2-81AC21213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782954</xdr:colOff>
      <xdr:row>160</xdr:row>
      <xdr:rowOff>134302</xdr:rowOff>
    </xdr:from>
    <xdr:to>
      <xdr:col>9</xdr:col>
      <xdr:colOff>1657349</xdr:colOff>
      <xdr:row>174</xdr:row>
      <xdr:rowOff>143827</xdr:rowOff>
    </xdr:to>
    <xdr:graphicFrame macro="">
      <xdr:nvGraphicFramePr>
        <xdr:cNvPr id="7" name="Chart 6">
          <a:extLst>
            <a:ext uri="{FF2B5EF4-FFF2-40B4-BE49-F238E27FC236}">
              <a16:creationId xmlns:a16="http://schemas.microsoft.com/office/drawing/2014/main" id="{D250799E-7BB7-2BCB-D254-A4E2461E3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333375</xdr:colOff>
      <xdr:row>21</xdr:row>
      <xdr:rowOff>115658</xdr:rowOff>
    </xdr:from>
    <xdr:to>
      <xdr:col>3</xdr:col>
      <xdr:colOff>2533650</xdr:colOff>
      <xdr:row>26</xdr:row>
      <xdr:rowOff>102870</xdr:rowOff>
    </xdr:to>
    <xdr:pic>
      <xdr:nvPicPr>
        <xdr:cNvPr id="2" name="Picture 1">
          <a:extLst>
            <a:ext uri="{FF2B5EF4-FFF2-40B4-BE49-F238E27FC236}">
              <a16:creationId xmlns:a16="http://schemas.microsoft.com/office/drawing/2014/main" id="{D0201931-4D0D-F0F4-F6F0-70F965589506}"/>
            </a:ext>
          </a:extLst>
        </xdr:cNvPr>
        <xdr:cNvPicPr>
          <a:picLocks noChangeAspect="1"/>
        </xdr:cNvPicPr>
      </xdr:nvPicPr>
      <xdr:blipFill rotWithShape="1">
        <a:blip xmlns:r="http://schemas.openxmlformats.org/officeDocument/2006/relationships" r:embed="rId1"/>
        <a:srcRect l="10306" t="13098" r="10989" b="6194"/>
        <a:stretch/>
      </xdr:blipFill>
      <xdr:spPr>
        <a:xfrm>
          <a:off x="7572375" y="5754458"/>
          <a:ext cx="2200275" cy="892087"/>
        </a:xfrm>
        <a:prstGeom prst="rect">
          <a:avLst/>
        </a:prstGeom>
      </xdr:spPr>
    </xdr:pic>
    <xdr:clientData/>
  </xdr:twoCellAnchor>
  <xdr:twoCellAnchor editAs="oneCell">
    <xdr:from>
      <xdr:col>3</xdr:col>
      <xdr:colOff>302895</xdr:colOff>
      <xdr:row>26</xdr:row>
      <xdr:rowOff>114300</xdr:rowOff>
    </xdr:from>
    <xdr:to>
      <xdr:col>3</xdr:col>
      <xdr:colOff>2773107</xdr:colOff>
      <xdr:row>29</xdr:row>
      <xdr:rowOff>104775</xdr:rowOff>
    </xdr:to>
    <xdr:pic>
      <xdr:nvPicPr>
        <xdr:cNvPr id="3" name="Picture 2">
          <a:extLst>
            <a:ext uri="{FF2B5EF4-FFF2-40B4-BE49-F238E27FC236}">
              <a16:creationId xmlns:a16="http://schemas.microsoft.com/office/drawing/2014/main" id="{4931DE1D-BCC6-6568-3ABF-B4C29AFCF838}"/>
            </a:ext>
          </a:extLst>
        </xdr:cNvPr>
        <xdr:cNvPicPr>
          <a:picLocks noChangeAspect="1"/>
        </xdr:cNvPicPr>
      </xdr:nvPicPr>
      <xdr:blipFill rotWithShape="1">
        <a:blip xmlns:r="http://schemas.openxmlformats.org/officeDocument/2006/relationships" r:embed="rId2"/>
        <a:srcRect l="7721" r="6064"/>
        <a:stretch/>
      </xdr:blipFill>
      <xdr:spPr>
        <a:xfrm>
          <a:off x="7541895" y="6657975"/>
          <a:ext cx="2470212" cy="9048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97FE-6CE1-4581-9F93-F0936D331390}">
  <dimension ref="A1:N230"/>
  <sheetViews>
    <sheetView showGridLines="0" tabSelected="1" workbookViewId="0">
      <selection activeCell="C155" sqref="C155"/>
    </sheetView>
  </sheetViews>
  <sheetFormatPr defaultRowHeight="14.4" x14ac:dyDescent="0.55000000000000004"/>
  <cols>
    <col min="1" max="1" width="25.3671875" customWidth="1"/>
    <col min="2" max="2" width="21.1015625" customWidth="1"/>
    <col min="3" max="3" width="15.5234375" customWidth="1"/>
    <col min="4" max="4" width="15.578125" customWidth="1"/>
    <col min="5" max="5" width="13.3125" customWidth="1"/>
    <col min="6" max="7" width="21.26171875" bestFit="1" customWidth="1"/>
    <col min="8" max="8" width="19.68359375" bestFit="1" customWidth="1"/>
    <col min="9" max="9" width="17.3125" bestFit="1" customWidth="1"/>
    <col min="10" max="10" width="25.47265625" bestFit="1" customWidth="1"/>
  </cols>
  <sheetData>
    <row r="1" spans="1:4" x14ac:dyDescent="0.55000000000000004">
      <c r="A1" s="3" t="s">
        <v>150</v>
      </c>
    </row>
    <row r="2" spans="1:4" x14ac:dyDescent="0.55000000000000004">
      <c r="A2" t="s">
        <v>151</v>
      </c>
    </row>
    <row r="4" spans="1:4" x14ac:dyDescent="0.55000000000000004">
      <c r="A4" s="3" t="s">
        <v>152</v>
      </c>
    </row>
    <row r="5" spans="1:4" x14ac:dyDescent="0.55000000000000004">
      <c r="A5" s="51" t="s">
        <v>153</v>
      </c>
    </row>
    <row r="7" spans="1:4" x14ac:dyDescent="0.55000000000000004">
      <c r="A7" s="3" t="s">
        <v>154</v>
      </c>
    </row>
    <row r="9" spans="1:4" x14ac:dyDescent="0.55000000000000004">
      <c r="A9" s="13" t="s">
        <v>155</v>
      </c>
      <c r="B9" s="13" t="s">
        <v>27</v>
      </c>
      <c r="C9" s="13" t="s">
        <v>162</v>
      </c>
      <c r="D9" s="13" t="s">
        <v>166</v>
      </c>
    </row>
    <row r="10" spans="1:4" x14ac:dyDescent="0.55000000000000004">
      <c r="A10" t="s">
        <v>170</v>
      </c>
      <c r="B10" s="56">
        <v>1000</v>
      </c>
      <c r="C10" t="s">
        <v>156</v>
      </c>
    </row>
    <row r="11" spans="1:4" x14ac:dyDescent="0.55000000000000004">
      <c r="A11" t="s">
        <v>157</v>
      </c>
      <c r="B11" s="1">
        <v>0.02</v>
      </c>
      <c r="C11" t="s">
        <v>158</v>
      </c>
    </row>
    <row r="12" spans="1:4" x14ac:dyDescent="0.55000000000000004">
      <c r="A12" t="s">
        <v>179</v>
      </c>
      <c r="B12" s="56">
        <v>50</v>
      </c>
      <c r="C12" t="s">
        <v>156</v>
      </c>
    </row>
    <row r="13" spans="1:4" x14ac:dyDescent="0.55000000000000004">
      <c r="A13" t="s">
        <v>160</v>
      </c>
      <c r="B13">
        <v>20</v>
      </c>
      <c r="C13" t="s">
        <v>161</v>
      </c>
    </row>
    <row r="14" spans="1:4" x14ac:dyDescent="0.55000000000000004">
      <c r="A14" t="s">
        <v>127</v>
      </c>
      <c r="B14">
        <v>3</v>
      </c>
      <c r="C14" t="s">
        <v>163</v>
      </c>
    </row>
    <row r="15" spans="1:4" x14ac:dyDescent="0.55000000000000004">
      <c r="A15" t="s">
        <v>164</v>
      </c>
      <c r="B15" s="1">
        <v>0.05</v>
      </c>
      <c r="C15" t="s">
        <v>158</v>
      </c>
      <c r="D15" s="51" t="s">
        <v>169</v>
      </c>
    </row>
    <row r="16" spans="1:4" x14ac:dyDescent="0.55000000000000004">
      <c r="A16" t="s">
        <v>165</v>
      </c>
      <c r="B16" s="56">
        <v>1100</v>
      </c>
      <c r="C16" t="s">
        <v>156</v>
      </c>
      <c r="D16" s="52" t="s">
        <v>194</v>
      </c>
    </row>
    <row r="17" spans="1:5" x14ac:dyDescent="0.55000000000000004">
      <c r="A17" t="s">
        <v>171</v>
      </c>
      <c r="B17" s="56">
        <f>B11*B10</f>
        <v>20</v>
      </c>
      <c r="C17" t="s">
        <v>156</v>
      </c>
      <c r="D17" s="52"/>
    </row>
    <row r="18" spans="1:5" x14ac:dyDescent="0.55000000000000004">
      <c r="A18" t="s">
        <v>167</v>
      </c>
      <c r="B18" s="56">
        <f>PV(B15,B14,-(B11*B10),-B10)</f>
        <v>918.30255911888548</v>
      </c>
      <c r="C18" t="s">
        <v>156</v>
      </c>
      <c r="D18" s="51" t="s">
        <v>172</v>
      </c>
    </row>
    <row r="19" spans="1:5" x14ac:dyDescent="0.55000000000000004">
      <c r="A19" t="s">
        <v>168</v>
      </c>
      <c r="B19" s="56">
        <f>B16-B18</f>
        <v>181.69744088111452</v>
      </c>
      <c r="C19" t="s">
        <v>156</v>
      </c>
      <c r="D19" s="51"/>
    </row>
    <row r="20" spans="1:5" x14ac:dyDescent="0.55000000000000004">
      <c r="B20" s="56"/>
    </row>
    <row r="22" spans="1:5" x14ac:dyDescent="0.55000000000000004">
      <c r="A22" s="13" t="s">
        <v>132</v>
      </c>
      <c r="B22" s="13" t="s">
        <v>175</v>
      </c>
      <c r="C22" s="13" t="s">
        <v>176</v>
      </c>
      <c r="D22" s="13" t="s">
        <v>177</v>
      </c>
      <c r="E22" s="13" t="s">
        <v>144</v>
      </c>
    </row>
    <row r="23" spans="1:5" x14ac:dyDescent="0.55000000000000004">
      <c r="A23" t="s">
        <v>173</v>
      </c>
      <c r="B23" s="56">
        <v>40</v>
      </c>
      <c r="C23" s="56">
        <f>B23*$B$13</f>
        <v>800</v>
      </c>
      <c r="D23" s="56">
        <f>C23-$B$16</f>
        <v>-300</v>
      </c>
      <c r="E23" s="51" t="s">
        <v>178</v>
      </c>
    </row>
    <row r="24" spans="1:5" x14ac:dyDescent="0.55000000000000004">
      <c r="A24" t="s">
        <v>174</v>
      </c>
      <c r="B24" s="56">
        <v>50</v>
      </c>
      <c r="C24" s="56">
        <f t="shared" ref="C24:C25" si="0">B24*$B$13</f>
        <v>1000</v>
      </c>
      <c r="D24" s="56">
        <f t="shared" ref="D24:D25" si="1">C24-$B$16</f>
        <v>-100</v>
      </c>
      <c r="E24" s="51" t="s">
        <v>180</v>
      </c>
    </row>
    <row r="25" spans="1:5" x14ac:dyDescent="0.55000000000000004">
      <c r="A25" t="s">
        <v>182</v>
      </c>
      <c r="B25" s="56">
        <v>80</v>
      </c>
      <c r="C25" s="56">
        <f t="shared" si="0"/>
        <v>1600</v>
      </c>
      <c r="D25" s="56">
        <f t="shared" si="1"/>
        <v>500</v>
      </c>
      <c r="E25" s="51" t="s">
        <v>181</v>
      </c>
    </row>
    <row r="27" spans="1:5" x14ac:dyDescent="0.55000000000000004">
      <c r="A27" s="62" t="s">
        <v>192</v>
      </c>
      <c r="B27" s="10"/>
    </row>
    <row r="29" spans="1:5" x14ac:dyDescent="0.55000000000000004">
      <c r="A29" t="s">
        <v>176</v>
      </c>
      <c r="B29" s="4" t="s">
        <v>187</v>
      </c>
      <c r="C29" s="56">
        <f>C25</f>
        <v>1600</v>
      </c>
    </row>
    <row r="30" spans="1:5" x14ac:dyDescent="0.55000000000000004">
      <c r="A30" t="s">
        <v>183</v>
      </c>
      <c r="B30" t="s">
        <v>188</v>
      </c>
      <c r="C30" s="56">
        <f>B16</f>
        <v>1100</v>
      </c>
    </row>
    <row r="31" spans="1:5" x14ac:dyDescent="0.55000000000000004">
      <c r="A31" s="12" t="s">
        <v>184</v>
      </c>
      <c r="B31" s="57" t="s">
        <v>189</v>
      </c>
      <c r="C31" s="58">
        <f>C29-C30</f>
        <v>500</v>
      </c>
    </row>
    <row r="32" spans="1:5" x14ac:dyDescent="0.55000000000000004">
      <c r="A32" t="s">
        <v>185</v>
      </c>
      <c r="B32" s="4" t="s">
        <v>190</v>
      </c>
      <c r="C32" s="56">
        <f>B11*B14*B16</f>
        <v>66</v>
      </c>
    </row>
    <row r="33" spans="1:3" x14ac:dyDescent="0.55000000000000004">
      <c r="A33" s="59" t="s">
        <v>186</v>
      </c>
      <c r="B33" s="60" t="s">
        <v>191</v>
      </c>
      <c r="C33" s="61">
        <f>SUM(C31:C32)</f>
        <v>566</v>
      </c>
    </row>
    <row r="36" spans="1:3" x14ac:dyDescent="0.55000000000000004">
      <c r="A36" s="62" t="s">
        <v>195</v>
      </c>
      <c r="B36" s="10"/>
    </row>
    <row r="37" spans="1:3" x14ac:dyDescent="0.55000000000000004">
      <c r="A37" s="51" t="s">
        <v>206</v>
      </c>
    </row>
    <row r="38" spans="1:3" x14ac:dyDescent="0.55000000000000004">
      <c r="A38" s="13" t="s">
        <v>219</v>
      </c>
      <c r="B38" s="10"/>
      <c r="C38" s="10"/>
    </row>
    <row r="39" spans="1:3" x14ac:dyDescent="0.55000000000000004">
      <c r="A39" t="s">
        <v>196</v>
      </c>
      <c r="B39" s="51" t="s">
        <v>197</v>
      </c>
      <c r="C39" s="56">
        <v>60</v>
      </c>
    </row>
    <row r="40" spans="1:3" x14ac:dyDescent="0.55000000000000004">
      <c r="A40" t="s">
        <v>159</v>
      </c>
      <c r="B40" s="51" t="s">
        <v>198</v>
      </c>
      <c r="C40" s="56">
        <v>50</v>
      </c>
    </row>
    <row r="41" spans="1:3" x14ac:dyDescent="0.55000000000000004">
      <c r="A41" t="s">
        <v>205</v>
      </c>
      <c r="B41" s="51" t="s">
        <v>199</v>
      </c>
      <c r="C41">
        <v>3</v>
      </c>
    </row>
    <row r="42" spans="1:3" x14ac:dyDescent="0.55000000000000004">
      <c r="A42" t="s">
        <v>200</v>
      </c>
      <c r="B42" s="63" t="s">
        <v>201</v>
      </c>
      <c r="C42" s="1">
        <v>0.3</v>
      </c>
    </row>
    <row r="43" spans="1:3" x14ac:dyDescent="0.55000000000000004">
      <c r="A43" t="s">
        <v>202</v>
      </c>
      <c r="B43" s="63" t="s">
        <v>4</v>
      </c>
      <c r="C43" s="1">
        <v>0.02</v>
      </c>
    </row>
    <row r="44" spans="1:3" x14ac:dyDescent="0.55000000000000004">
      <c r="A44" t="s">
        <v>203</v>
      </c>
      <c r="B44" s="63" t="s">
        <v>204</v>
      </c>
      <c r="C44">
        <v>0</v>
      </c>
    </row>
    <row r="45" spans="1:3" x14ac:dyDescent="0.55000000000000004">
      <c r="B45" s="63"/>
    </row>
    <row r="46" spans="1:3" x14ac:dyDescent="0.55000000000000004">
      <c r="A46" s="13" t="s">
        <v>220</v>
      </c>
      <c r="B46" s="10"/>
      <c r="C46" s="10"/>
    </row>
    <row r="47" spans="1:3" x14ac:dyDescent="0.55000000000000004">
      <c r="A47" t="s">
        <v>209</v>
      </c>
      <c r="B47" s="54">
        <f>C42*SQRT(C41)</f>
        <v>0.51961524227066314</v>
      </c>
    </row>
    <row r="48" spans="1:3" x14ac:dyDescent="0.55000000000000004">
      <c r="A48" t="s">
        <v>207</v>
      </c>
      <c r="B48" s="54">
        <f>(LN(C39/C40)+(C43+(C42^2)/2)*C41)/B47</f>
        <v>0.72615567462012798</v>
      </c>
    </row>
    <row r="49" spans="1:3" x14ac:dyDescent="0.55000000000000004">
      <c r="A49" t="s">
        <v>208</v>
      </c>
      <c r="B49" s="54">
        <f>B48-B47</f>
        <v>0.20654043234946484</v>
      </c>
    </row>
    <row r="50" spans="1:3" x14ac:dyDescent="0.55000000000000004">
      <c r="A50" t="s">
        <v>210</v>
      </c>
      <c r="B50" s="55">
        <f>C39*_xlfn.NORM.S.DIST(B48,TRUE) - C40*EXP(-C43*C41)*_xlfn.NORM.S.DIST(B49, TRUE)</f>
        <v>18.57103454271606</v>
      </c>
      <c r="C50" s="51" t="s">
        <v>211</v>
      </c>
    </row>
    <row r="51" spans="1:3" x14ac:dyDescent="0.55000000000000004">
      <c r="A51" s="3" t="s">
        <v>212</v>
      </c>
      <c r="B51" s="64">
        <f>B13*B50</f>
        <v>371.42069085432121</v>
      </c>
    </row>
    <row r="52" spans="1:3" x14ac:dyDescent="0.55000000000000004">
      <c r="A52" s="3" t="s">
        <v>213</v>
      </c>
      <c r="B52" s="64">
        <f>B18+B51</f>
        <v>1289.7232499732067</v>
      </c>
      <c r="C52" s="52" t="s">
        <v>251</v>
      </c>
    </row>
    <row r="53" spans="1:3" x14ac:dyDescent="0.55000000000000004">
      <c r="A53" t="s">
        <v>250</v>
      </c>
      <c r="B53" s="55">
        <v>1100</v>
      </c>
    </row>
    <row r="54" spans="1:3" x14ac:dyDescent="0.55000000000000004">
      <c r="A54" s="102"/>
    </row>
    <row r="57" spans="1:3" x14ac:dyDescent="0.55000000000000004">
      <c r="A57" s="62" t="s">
        <v>218</v>
      </c>
      <c r="B57" s="10"/>
    </row>
    <row r="58" spans="1:3" x14ac:dyDescent="0.55000000000000004">
      <c r="A58" t="s">
        <v>217</v>
      </c>
    </row>
    <row r="59" spans="1:3" x14ac:dyDescent="0.55000000000000004">
      <c r="A59" s="52" t="s">
        <v>214</v>
      </c>
    </row>
    <row r="60" spans="1:3" x14ac:dyDescent="0.55000000000000004">
      <c r="A60" s="52" t="s">
        <v>216</v>
      </c>
    </row>
    <row r="61" spans="1:3" x14ac:dyDescent="0.55000000000000004">
      <c r="A61" s="52" t="s">
        <v>215</v>
      </c>
    </row>
    <row r="63" spans="1:3" x14ac:dyDescent="0.55000000000000004">
      <c r="A63" s="3" t="s">
        <v>249</v>
      </c>
    </row>
    <row r="65" spans="1:3" x14ac:dyDescent="0.55000000000000004">
      <c r="A65" s="13" t="s">
        <v>219</v>
      </c>
      <c r="B65" s="13"/>
      <c r="C65" s="13"/>
    </row>
    <row r="66" spans="1:3" x14ac:dyDescent="0.55000000000000004">
      <c r="A66" t="s">
        <v>196</v>
      </c>
      <c r="B66" s="56">
        <v>50</v>
      </c>
      <c r="C66" s="65" t="s">
        <v>221</v>
      </c>
    </row>
    <row r="67" spans="1:3" x14ac:dyDescent="0.55000000000000004">
      <c r="A67" t="s">
        <v>159</v>
      </c>
      <c r="B67" s="56">
        <v>50</v>
      </c>
      <c r="C67" s="65" t="s">
        <v>198</v>
      </c>
    </row>
    <row r="68" spans="1:3" x14ac:dyDescent="0.55000000000000004">
      <c r="A68" t="s">
        <v>205</v>
      </c>
      <c r="B68">
        <v>3</v>
      </c>
      <c r="C68" s="65" t="s">
        <v>199</v>
      </c>
    </row>
    <row r="69" spans="1:3" x14ac:dyDescent="0.55000000000000004">
      <c r="A69" t="s">
        <v>200</v>
      </c>
      <c r="B69" s="1">
        <v>0.3</v>
      </c>
      <c r="C69" s="66" t="s">
        <v>201</v>
      </c>
    </row>
    <row r="70" spans="1:3" x14ac:dyDescent="0.55000000000000004">
      <c r="A70" t="s">
        <v>202</v>
      </c>
      <c r="B70" s="1">
        <v>0.02</v>
      </c>
      <c r="C70" s="66" t="s">
        <v>4</v>
      </c>
    </row>
    <row r="71" spans="1:3" x14ac:dyDescent="0.55000000000000004">
      <c r="A71" t="s">
        <v>160</v>
      </c>
      <c r="B71">
        <v>1</v>
      </c>
      <c r="C71" s="63"/>
    </row>
    <row r="72" spans="1:3" x14ac:dyDescent="0.55000000000000004">
      <c r="A72" t="s">
        <v>222</v>
      </c>
      <c r="B72">
        <v>3</v>
      </c>
    </row>
    <row r="73" spans="1:3" x14ac:dyDescent="0.55000000000000004">
      <c r="A73" t="s">
        <v>223</v>
      </c>
      <c r="B73">
        <v>1</v>
      </c>
      <c r="C73" s="66" t="s">
        <v>224</v>
      </c>
    </row>
    <row r="74" spans="1:3" x14ac:dyDescent="0.55000000000000004">
      <c r="C74" s="66"/>
    </row>
    <row r="75" spans="1:3" x14ac:dyDescent="0.55000000000000004">
      <c r="A75" s="3" t="s">
        <v>238</v>
      </c>
      <c r="B75" s="70">
        <f>EXP(-B70*B73)</f>
        <v>0.98019867330675525</v>
      </c>
    </row>
    <row r="76" spans="1:3" x14ac:dyDescent="0.55000000000000004">
      <c r="A76" s="3" t="s">
        <v>239</v>
      </c>
      <c r="B76" s="70">
        <f>EXP(B69*SQRT(B73))</f>
        <v>1.3498588075760032</v>
      </c>
    </row>
    <row r="77" spans="1:3" x14ac:dyDescent="0.55000000000000004">
      <c r="A77" s="3" t="s">
        <v>240</v>
      </c>
      <c r="B77" s="70">
        <f>1/B76</f>
        <v>0.74081822068171788</v>
      </c>
    </row>
    <row r="78" spans="1:3" x14ac:dyDescent="0.55000000000000004">
      <c r="A78" s="3" t="s">
        <v>241</v>
      </c>
      <c r="B78" s="70">
        <f>(EXP(B70*B73)-B77)/(B76-B77)</f>
        <v>0.45872660272070181</v>
      </c>
    </row>
    <row r="79" spans="1:3" x14ac:dyDescent="0.55000000000000004">
      <c r="A79" s="3"/>
      <c r="B79" s="70"/>
    </row>
    <row r="81" spans="1:10" x14ac:dyDescent="0.55000000000000004">
      <c r="B81" s="116" t="s">
        <v>248</v>
      </c>
      <c r="C81" s="114"/>
      <c r="D81" s="114"/>
      <c r="E81" s="115"/>
      <c r="F81" s="114" t="s">
        <v>247</v>
      </c>
      <c r="G81" s="114"/>
      <c r="H81" s="114"/>
      <c r="I81" s="114"/>
      <c r="J81" s="115"/>
    </row>
    <row r="82" spans="1:10" x14ac:dyDescent="0.55000000000000004">
      <c r="A82" s="10"/>
      <c r="B82" s="82" t="s">
        <v>225</v>
      </c>
      <c r="C82" s="67" t="s">
        <v>226</v>
      </c>
      <c r="D82" s="67" t="s">
        <v>227</v>
      </c>
      <c r="E82" s="67" t="s">
        <v>228</v>
      </c>
      <c r="F82" s="78" t="s">
        <v>244</v>
      </c>
      <c r="G82" s="69" t="s">
        <v>245</v>
      </c>
      <c r="H82" s="69" t="s">
        <v>242</v>
      </c>
      <c r="I82" s="69" t="s">
        <v>243</v>
      </c>
      <c r="J82" s="89" t="s">
        <v>246</v>
      </c>
    </row>
    <row r="83" spans="1:10" x14ac:dyDescent="0.55000000000000004">
      <c r="A83" s="71" t="s">
        <v>221</v>
      </c>
      <c r="B83" s="83">
        <v>50</v>
      </c>
      <c r="C83" s="72"/>
      <c r="D83" s="72"/>
      <c r="E83" s="72"/>
      <c r="F83" s="79">
        <v>0</v>
      </c>
      <c r="G83" s="73">
        <f>MAX(0,F83)</f>
        <v>0</v>
      </c>
      <c r="H83" s="75">
        <f>$B$75*($B$78*G84+(1-$B$78)*G85)</f>
        <v>7.8655818187342632</v>
      </c>
      <c r="I83" s="76">
        <f t="shared" ref="I83:I88" si="2">MAX(G83,H83)</f>
        <v>7.8655818187342632</v>
      </c>
      <c r="J83" s="90">
        <f>I83*20</f>
        <v>157.31163637468526</v>
      </c>
    </row>
    <row r="84" spans="1:10" x14ac:dyDescent="0.55000000000000004">
      <c r="A84" s="68" t="s">
        <v>229</v>
      </c>
      <c r="B84" s="84"/>
      <c r="C84" s="85">
        <f>B83*B76</f>
        <v>67.492940378800157</v>
      </c>
      <c r="D84" s="86"/>
      <c r="E84" s="86"/>
      <c r="F84" s="80">
        <f>C84-$B$83</f>
        <v>17.492940378800157</v>
      </c>
      <c r="G84" s="81">
        <f t="shared" ref="G84:G92" si="3">MAX(0,F84)</f>
        <v>17.492940378800157</v>
      </c>
      <c r="H84" s="81">
        <f>$B$75*($B$78*G86+(1-$B$78)*G87)</f>
        <v>18.483006713462387</v>
      </c>
      <c r="I84" s="55">
        <f t="shared" si="2"/>
        <v>18.483006713462387</v>
      </c>
      <c r="J84" s="91"/>
    </row>
    <row r="85" spans="1:10" x14ac:dyDescent="0.55000000000000004">
      <c r="A85" s="71" t="s">
        <v>230</v>
      </c>
      <c r="B85" s="83"/>
      <c r="C85" s="74">
        <f>B83*B77</f>
        <v>37.040911034085894</v>
      </c>
      <c r="D85" s="72"/>
      <c r="E85" s="72"/>
      <c r="F85" s="79">
        <f>C85-$B$83</f>
        <v>-12.959088965914106</v>
      </c>
      <c r="G85" s="73">
        <f t="shared" si="3"/>
        <v>0</v>
      </c>
      <c r="H85" s="73">
        <f>$B$75*($B$78*G87+(1-$B$78)*G88)</f>
        <v>0</v>
      </c>
      <c r="I85" s="77">
        <f t="shared" si="2"/>
        <v>0</v>
      </c>
      <c r="J85" s="91"/>
    </row>
    <row r="86" spans="1:10" x14ac:dyDescent="0.55000000000000004">
      <c r="A86" s="68" t="s">
        <v>231</v>
      </c>
      <c r="B86" s="84"/>
      <c r="C86" s="86"/>
      <c r="D86" s="85">
        <f>C84*B76</f>
        <v>91.105940019525463</v>
      </c>
      <c r="E86" s="86"/>
      <c r="F86" s="80">
        <f>D86-$B$83</f>
        <v>41.105940019525463</v>
      </c>
      <c r="G86" s="81">
        <f t="shared" si="3"/>
        <v>41.105940019525463</v>
      </c>
      <c r="H86" s="81">
        <f>$B$75*($B$78*G89+(1-$B$78)*G90)</f>
        <v>42.096006354187693</v>
      </c>
      <c r="I86" s="55">
        <f t="shared" si="2"/>
        <v>42.096006354187693</v>
      </c>
      <c r="J86" s="91"/>
    </row>
    <row r="87" spans="1:10" x14ac:dyDescent="0.55000000000000004">
      <c r="A87" s="68" t="s">
        <v>232</v>
      </c>
      <c r="B87" s="84"/>
      <c r="C87" s="86"/>
      <c r="D87" s="87">
        <f>C84*B77</f>
        <v>50</v>
      </c>
      <c r="E87" s="86"/>
      <c r="F87" s="80">
        <f t="shared" ref="F87:F88" si="4">D87-$B$83</f>
        <v>0</v>
      </c>
      <c r="G87" s="81">
        <f t="shared" si="3"/>
        <v>0</v>
      </c>
      <c r="H87" s="81">
        <f>$B$75*($B$78*G90+(1-$B$78)*G91)</f>
        <v>7.8655818187342685</v>
      </c>
      <c r="I87" s="55">
        <f t="shared" si="2"/>
        <v>7.8655818187342685</v>
      </c>
      <c r="J87" s="91"/>
    </row>
    <row r="88" spans="1:10" x14ac:dyDescent="0.55000000000000004">
      <c r="A88" s="71" t="s">
        <v>233</v>
      </c>
      <c r="B88" s="83"/>
      <c r="C88" s="72"/>
      <c r="D88" s="74">
        <f>B77*C85</f>
        <v>27.440581804701324</v>
      </c>
      <c r="E88" s="72"/>
      <c r="F88" s="79">
        <f t="shared" si="4"/>
        <v>-22.559418195298676</v>
      </c>
      <c r="G88" s="73">
        <f>MAX(0,F88)</f>
        <v>0</v>
      </c>
      <c r="H88" s="73">
        <f t="shared" ref="H88:H92" si="5">$B$75*($B$78*G91+(1-$B$78)*G92)</f>
        <v>0</v>
      </c>
      <c r="I88" s="77">
        <f t="shared" si="2"/>
        <v>0</v>
      </c>
      <c r="J88" s="91"/>
    </row>
    <row r="89" spans="1:10" x14ac:dyDescent="0.55000000000000004">
      <c r="A89" s="68" t="s">
        <v>234</v>
      </c>
      <c r="B89" s="84"/>
      <c r="C89" s="86"/>
      <c r="D89" s="86"/>
      <c r="E89" s="85">
        <f>D86*B76</f>
        <v>122.98015555784751</v>
      </c>
      <c r="F89" s="80">
        <f>E89-$B$83</f>
        <v>72.98015555784751</v>
      </c>
      <c r="G89" s="81">
        <f t="shared" si="3"/>
        <v>72.98015555784751</v>
      </c>
      <c r="H89" s="81">
        <f>$B$75*($B$78*G92+(1-$B$78)*G93)</f>
        <v>0</v>
      </c>
      <c r="I89" s="55">
        <f>MAX(G89,H89)</f>
        <v>72.98015555784751</v>
      </c>
      <c r="J89" s="91"/>
    </row>
    <row r="90" spans="1:10" x14ac:dyDescent="0.55000000000000004">
      <c r="A90" s="68" t="s">
        <v>237</v>
      </c>
      <c r="B90" s="84"/>
      <c r="C90" s="86"/>
      <c r="D90" s="86"/>
      <c r="E90" s="85">
        <f>D86*B77</f>
        <v>67.492940378800171</v>
      </c>
      <c r="F90" s="80">
        <f t="shared" ref="F90:F92" si="6">E90-$B$83</f>
        <v>17.492940378800171</v>
      </c>
      <c r="G90" s="81">
        <f t="shared" si="3"/>
        <v>17.492940378800171</v>
      </c>
      <c r="H90" s="81">
        <f t="shared" si="5"/>
        <v>0</v>
      </c>
      <c r="I90" s="55">
        <f t="shared" ref="I90:I92" si="7">MAX(G90,H90)</f>
        <v>17.492940378800171</v>
      </c>
      <c r="J90" s="91"/>
    </row>
    <row r="91" spans="1:10" x14ac:dyDescent="0.55000000000000004">
      <c r="A91" s="68" t="s">
        <v>235</v>
      </c>
      <c r="B91" s="84"/>
      <c r="C91" s="86"/>
      <c r="D91" s="86"/>
      <c r="E91" s="88">
        <f>D87*B77</f>
        <v>37.040911034085894</v>
      </c>
      <c r="F91" s="80">
        <f t="shared" si="6"/>
        <v>-12.959088965914106</v>
      </c>
      <c r="G91" s="81">
        <f t="shared" si="3"/>
        <v>0</v>
      </c>
      <c r="H91" s="81">
        <f t="shared" si="5"/>
        <v>0</v>
      </c>
      <c r="I91" s="55">
        <f t="shared" si="7"/>
        <v>0</v>
      </c>
      <c r="J91" s="91"/>
    </row>
    <row r="92" spans="1:10" x14ac:dyDescent="0.55000000000000004">
      <c r="A92" s="71" t="s">
        <v>236</v>
      </c>
      <c r="B92" s="83"/>
      <c r="C92" s="72"/>
      <c r="D92" s="72"/>
      <c r="E92" s="74">
        <f>D88*B77</f>
        <v>20.328482987029957</v>
      </c>
      <c r="F92" s="79">
        <f t="shared" si="6"/>
        <v>-29.671517012970043</v>
      </c>
      <c r="G92" s="73">
        <f t="shared" si="3"/>
        <v>0</v>
      </c>
      <c r="H92" s="73">
        <f t="shared" si="5"/>
        <v>0</v>
      </c>
      <c r="I92" s="77">
        <f t="shared" si="7"/>
        <v>0</v>
      </c>
      <c r="J92" s="92"/>
    </row>
    <row r="94" spans="1:10" x14ac:dyDescent="0.55000000000000004">
      <c r="A94" t="s">
        <v>250</v>
      </c>
      <c r="B94" s="55">
        <v>1100</v>
      </c>
    </row>
    <row r="95" spans="1:10" x14ac:dyDescent="0.55000000000000004">
      <c r="A95" s="94" t="s">
        <v>193</v>
      </c>
      <c r="B95" s="64">
        <f>J83+B10</f>
        <v>1157.3116363746853</v>
      </c>
      <c r="C95" s="4" t="s">
        <v>251</v>
      </c>
    </row>
    <row r="97" spans="1:4" x14ac:dyDescent="0.55000000000000004">
      <c r="A97" s="95" t="s">
        <v>254</v>
      </c>
      <c r="B97" s="10"/>
      <c r="C97" s="10"/>
    </row>
    <row r="98" spans="1:4" x14ac:dyDescent="0.55000000000000004">
      <c r="A98" t="s">
        <v>252</v>
      </c>
    </row>
    <row r="99" spans="1:4" x14ac:dyDescent="0.55000000000000004">
      <c r="A99" t="s">
        <v>261</v>
      </c>
    </row>
    <row r="100" spans="1:4" x14ac:dyDescent="0.55000000000000004">
      <c r="A100" t="s">
        <v>253</v>
      </c>
    </row>
    <row r="102" spans="1:4" x14ac:dyDescent="0.55000000000000004">
      <c r="A102" s="93" t="s">
        <v>256</v>
      </c>
    </row>
    <row r="103" spans="1:4" x14ac:dyDescent="0.55000000000000004">
      <c r="A103" s="96" t="s">
        <v>257</v>
      </c>
      <c r="B103" s="99"/>
    </row>
    <row r="104" spans="1:4" x14ac:dyDescent="0.55000000000000004">
      <c r="A104" s="96" t="s">
        <v>255</v>
      </c>
      <c r="B104" s="99"/>
    </row>
    <row r="105" spans="1:4" x14ac:dyDescent="0.55000000000000004">
      <c r="A105" s="97" t="s">
        <v>258</v>
      </c>
      <c r="B105" s="100"/>
      <c r="C105" s="100"/>
    </row>
    <row r="106" spans="1:4" x14ac:dyDescent="0.55000000000000004">
      <c r="A106" s="97" t="s">
        <v>259</v>
      </c>
      <c r="B106" s="100"/>
      <c r="C106" s="100"/>
    </row>
    <row r="107" spans="1:4" x14ac:dyDescent="0.55000000000000004">
      <c r="A107" s="97" t="s">
        <v>260</v>
      </c>
      <c r="B107" s="100"/>
      <c r="C107" s="100"/>
    </row>
    <row r="108" spans="1:4" x14ac:dyDescent="0.55000000000000004">
      <c r="A108" s="97" t="s">
        <v>262</v>
      </c>
      <c r="B108" s="100"/>
      <c r="C108" s="100"/>
    </row>
    <row r="109" spans="1:4" x14ac:dyDescent="0.55000000000000004">
      <c r="A109" s="98" t="s">
        <v>263</v>
      </c>
      <c r="B109" s="101"/>
      <c r="C109" s="101"/>
      <c r="D109" s="101"/>
    </row>
    <row r="111" spans="1:4" x14ac:dyDescent="0.55000000000000004">
      <c r="A111" t="s">
        <v>264</v>
      </c>
    </row>
    <row r="112" spans="1:4" x14ac:dyDescent="0.55000000000000004">
      <c r="A112" s="3" t="s">
        <v>265</v>
      </c>
    </row>
    <row r="113" spans="1:2" x14ac:dyDescent="0.55000000000000004">
      <c r="A113" t="s">
        <v>266</v>
      </c>
    </row>
    <row r="114" spans="1:2" x14ac:dyDescent="0.55000000000000004">
      <c r="A114" s="103" t="s">
        <v>267</v>
      </c>
    </row>
    <row r="115" spans="1:2" x14ac:dyDescent="0.55000000000000004">
      <c r="A115" s="103" t="s">
        <v>268</v>
      </c>
    </row>
    <row r="116" spans="1:2" x14ac:dyDescent="0.55000000000000004">
      <c r="A116" s="103" t="s">
        <v>269</v>
      </c>
    </row>
    <row r="117" spans="1:2" x14ac:dyDescent="0.55000000000000004">
      <c r="A117" s="103" t="s">
        <v>270</v>
      </c>
    </row>
    <row r="118" spans="1:2" x14ac:dyDescent="0.55000000000000004">
      <c r="A118" s="107" t="s">
        <v>369</v>
      </c>
    </row>
    <row r="119" spans="1:2" x14ac:dyDescent="0.55000000000000004">
      <c r="A119" s="105" t="s">
        <v>271</v>
      </c>
    </row>
    <row r="120" spans="1:2" x14ac:dyDescent="0.55000000000000004">
      <c r="A120" s="103" t="s">
        <v>282</v>
      </c>
    </row>
    <row r="121" spans="1:2" x14ac:dyDescent="0.55000000000000004">
      <c r="A121" s="103" t="s">
        <v>283</v>
      </c>
    </row>
    <row r="122" spans="1:2" x14ac:dyDescent="0.55000000000000004">
      <c r="A122" s="103" t="s">
        <v>284</v>
      </c>
    </row>
    <row r="123" spans="1:2" x14ac:dyDescent="0.55000000000000004">
      <c r="A123" s="103"/>
    </row>
    <row r="124" spans="1:2" x14ac:dyDescent="0.55000000000000004">
      <c r="A124" s="106" t="s">
        <v>356</v>
      </c>
    </row>
    <row r="125" spans="1:2" x14ac:dyDescent="0.55000000000000004">
      <c r="A125" t="s">
        <v>28</v>
      </c>
      <c r="B125">
        <v>0.6</v>
      </c>
    </row>
    <row r="126" spans="1:2" x14ac:dyDescent="0.55000000000000004">
      <c r="A126" t="s">
        <v>272</v>
      </c>
      <c r="B126">
        <v>1</v>
      </c>
    </row>
    <row r="127" spans="1:2" x14ac:dyDescent="0.55000000000000004">
      <c r="A127" t="s">
        <v>355</v>
      </c>
      <c r="B127">
        <v>10</v>
      </c>
    </row>
    <row r="128" spans="1:2" x14ac:dyDescent="0.55000000000000004">
      <c r="A128" s="93" t="s">
        <v>273</v>
      </c>
    </row>
    <row r="129" spans="1:4" x14ac:dyDescent="0.55000000000000004">
      <c r="A129" t="s">
        <v>274</v>
      </c>
      <c r="B129">
        <f>B125*B127</f>
        <v>6</v>
      </c>
    </row>
    <row r="131" spans="1:4" x14ac:dyDescent="0.55000000000000004">
      <c r="A131" s="3" t="s">
        <v>275</v>
      </c>
    </row>
    <row r="132" spans="1:4" x14ac:dyDescent="0.55000000000000004">
      <c r="A132" s="104" t="s">
        <v>132</v>
      </c>
      <c r="B132" s="104" t="s">
        <v>278</v>
      </c>
      <c r="C132" s="104" t="s">
        <v>279</v>
      </c>
      <c r="D132" s="10" t="s">
        <v>166</v>
      </c>
    </row>
    <row r="133" spans="1:4" x14ac:dyDescent="0.55000000000000004">
      <c r="A133" t="s">
        <v>276</v>
      </c>
      <c r="B133">
        <v>0.8</v>
      </c>
      <c r="C133">
        <f>B133*B127</f>
        <v>8</v>
      </c>
      <c r="D133" s="52" t="s">
        <v>281</v>
      </c>
    </row>
    <row r="134" spans="1:4" x14ac:dyDescent="0.55000000000000004">
      <c r="A134" t="s">
        <v>277</v>
      </c>
      <c r="B134">
        <v>0.4</v>
      </c>
      <c r="C134">
        <f>B134*B127</f>
        <v>4</v>
      </c>
      <c r="D134" s="52" t="s">
        <v>280</v>
      </c>
    </row>
    <row r="136" spans="1:4" x14ac:dyDescent="0.55000000000000004">
      <c r="A136" s="106" t="s">
        <v>357</v>
      </c>
    </row>
    <row r="137" spans="1:4" x14ac:dyDescent="0.55000000000000004">
      <c r="A137" s="127" t="s">
        <v>219</v>
      </c>
    </row>
    <row r="138" spans="1:4" x14ac:dyDescent="0.55000000000000004">
      <c r="A138" s="129" t="s">
        <v>358</v>
      </c>
      <c r="B138" s="113">
        <v>50</v>
      </c>
      <c r="C138" t="s">
        <v>365</v>
      </c>
    </row>
    <row r="139" spans="1:4" x14ac:dyDescent="0.55000000000000004">
      <c r="A139" s="129" t="s">
        <v>359</v>
      </c>
      <c r="B139" s="113">
        <v>50</v>
      </c>
      <c r="C139" t="s">
        <v>364</v>
      </c>
    </row>
    <row r="140" spans="1:4" x14ac:dyDescent="0.55000000000000004">
      <c r="A140" s="129" t="s">
        <v>360</v>
      </c>
      <c r="B140">
        <v>3</v>
      </c>
    </row>
    <row r="141" spans="1:4" x14ac:dyDescent="0.55000000000000004">
      <c r="A141" s="129" t="s">
        <v>361</v>
      </c>
      <c r="B141" s="1">
        <v>0.3</v>
      </c>
    </row>
    <row r="142" spans="1:4" x14ac:dyDescent="0.55000000000000004">
      <c r="A142" s="129" t="s">
        <v>202</v>
      </c>
      <c r="B142" s="1">
        <v>0.02</v>
      </c>
    </row>
    <row r="143" spans="1:4" x14ac:dyDescent="0.55000000000000004">
      <c r="A143" s="129" t="s">
        <v>362</v>
      </c>
      <c r="B143">
        <v>20</v>
      </c>
      <c r="C143" t="s">
        <v>363</v>
      </c>
    </row>
    <row r="144" spans="1:4" x14ac:dyDescent="0.55000000000000004">
      <c r="A144" s="129" t="s">
        <v>0</v>
      </c>
      <c r="B144" s="113">
        <v>1000</v>
      </c>
    </row>
    <row r="145" spans="1:10" x14ac:dyDescent="0.55000000000000004">
      <c r="A145" s="129"/>
    </row>
    <row r="146" spans="1:10" x14ac:dyDescent="0.55000000000000004">
      <c r="A146" s="130" t="s">
        <v>366</v>
      </c>
    </row>
    <row r="147" spans="1:10" x14ac:dyDescent="0.55000000000000004">
      <c r="A147" s="129" t="s">
        <v>367</v>
      </c>
      <c r="B147">
        <f>SQRT(B141)</f>
        <v>0.54772255750516607</v>
      </c>
    </row>
    <row r="148" spans="1:10" x14ac:dyDescent="0.55000000000000004">
      <c r="A148" t="s">
        <v>209</v>
      </c>
      <c r="B148">
        <f>B147*SQRT(B140)</f>
        <v>0.94868329805051366</v>
      </c>
    </row>
    <row r="149" spans="1:10" x14ac:dyDescent="0.55000000000000004">
      <c r="A149" t="s">
        <v>368</v>
      </c>
      <c r="B149">
        <f>EXP(-B142*B140)</f>
        <v>0.94176453358424872</v>
      </c>
    </row>
    <row r="150" spans="1:10" x14ac:dyDescent="0.55000000000000004">
      <c r="A150" s="129" t="s">
        <v>207</v>
      </c>
      <c r="B150">
        <f>(LN(B138/B139)+(B142+B141/2)*B140)/B148</f>
        <v>0.53758720222862455</v>
      </c>
    </row>
    <row r="151" spans="1:10" x14ac:dyDescent="0.55000000000000004">
      <c r="A151" s="129" t="s">
        <v>208</v>
      </c>
      <c r="B151">
        <f>B150-B148</f>
        <v>-0.41109609582188911</v>
      </c>
    </row>
    <row r="152" spans="1:10" x14ac:dyDescent="0.55000000000000004">
      <c r="A152" s="129" t="s">
        <v>371</v>
      </c>
      <c r="B152" s="122">
        <f>B138*_xlfn.NORM.S.DIST(B150,TRUE)-B139*B149*_xlfn.NORM.S.DIST(B151,TRUE)</f>
        <v>19.194858329732391</v>
      </c>
    </row>
    <row r="153" spans="1:10" x14ac:dyDescent="0.55000000000000004">
      <c r="A153" s="131" t="s">
        <v>370</v>
      </c>
      <c r="B153" s="3">
        <f>_xlfn.NORM.S.DIST(B150,TRUE)</f>
        <v>0.70456896625613297</v>
      </c>
    </row>
    <row r="154" spans="1:10" x14ac:dyDescent="0.55000000000000004">
      <c r="A154" s="129" t="s">
        <v>372</v>
      </c>
      <c r="B154">
        <f>B153*B143</f>
        <v>14.091379325122659</v>
      </c>
    </row>
    <row r="156" spans="1:10" x14ac:dyDescent="0.55000000000000004">
      <c r="A156" s="130" t="s">
        <v>319</v>
      </c>
      <c r="B156" s="120" t="s">
        <v>354</v>
      </c>
      <c r="C156" s="120" t="s">
        <v>207</v>
      </c>
      <c r="D156" s="120" t="s">
        <v>208</v>
      </c>
      <c r="E156" s="120" t="s">
        <v>373</v>
      </c>
      <c r="F156" s="120" t="s">
        <v>374</v>
      </c>
      <c r="G156" s="120" t="s">
        <v>28</v>
      </c>
      <c r="H156" s="120" t="s">
        <v>376</v>
      </c>
      <c r="I156" s="120" t="s">
        <v>377</v>
      </c>
      <c r="J156" s="120" t="s">
        <v>382</v>
      </c>
    </row>
    <row r="157" spans="1:10" x14ac:dyDescent="0.55000000000000004">
      <c r="A157" s="129" t="s">
        <v>325</v>
      </c>
      <c r="B157" s="124">
        <v>40</v>
      </c>
      <c r="C157">
        <f>(LN(B157/$B$139)+($B$142+$B$141/2)*$B$140)/$B$148</f>
        <v>0.30237324645143726</v>
      </c>
      <c r="D157">
        <f>C157-$B$148</f>
        <v>-0.6463100515990764</v>
      </c>
      <c r="E157" s="132">
        <f>B157*_xlfn.NORM.S.DIST(C157,TRUE)-$B$139*$B$149*_xlfn.NORM.S.DIST(D157,TRUE)</f>
        <v>12.55494826379195</v>
      </c>
      <c r="F157" s="122">
        <f>$B$144+E157*$B$143</f>
        <v>1251.098965275839</v>
      </c>
      <c r="G157" s="133">
        <f>_xlfn.NORM.S.DIST(C157,TRUE)</f>
        <v>0.61881622648235213</v>
      </c>
      <c r="H157" s="49">
        <f>G157*$B$143</f>
        <v>12.376324529647043</v>
      </c>
      <c r="I157" s="132">
        <f>H157*($B$138-B157)</f>
        <v>123.76324529647043</v>
      </c>
      <c r="J157" s="132">
        <f>F157+I157</f>
        <v>1374.8622105723093</v>
      </c>
    </row>
    <row r="158" spans="1:10" x14ac:dyDescent="0.55000000000000004">
      <c r="A158" s="129" t="s">
        <v>326</v>
      </c>
      <c r="B158" s="124">
        <v>50</v>
      </c>
      <c r="C158">
        <f t="shared" ref="C158:C159" si="8">(LN(B158/$B$139)+($B$142+$B$141/2)*$B$140)/$B$148</f>
        <v>0.53758720222862455</v>
      </c>
      <c r="D158">
        <f t="shared" ref="D158:D159" si="9">C158-$B$148</f>
        <v>-0.41109609582188911</v>
      </c>
      <c r="E158" s="132">
        <f t="shared" ref="E158:E159" si="10">B158*_xlfn.NORM.S.DIST(C158,TRUE)-$B$139*$B$149*_xlfn.NORM.S.DIST(D158,TRUE)</f>
        <v>19.194858329732391</v>
      </c>
      <c r="F158" s="122">
        <f t="shared" ref="F158:F159" si="11">$B$144+E158*$B$143</f>
        <v>1383.8971665946478</v>
      </c>
      <c r="G158" s="133">
        <f t="shared" ref="G158:G159" si="12">_xlfn.NORM.S.DIST(C158,TRUE)</f>
        <v>0.70456896625613297</v>
      </c>
      <c r="H158" s="49">
        <f t="shared" ref="H158:H159" si="13">G158*$B$143</f>
        <v>14.091379325122659</v>
      </c>
      <c r="I158" s="132">
        <f t="shared" ref="I158:I159" si="14">H158*($B$138-B158)</f>
        <v>0</v>
      </c>
      <c r="J158" s="132">
        <f t="shared" ref="J158:J159" si="15">F158+I158</f>
        <v>1383.8971665946478</v>
      </c>
    </row>
    <row r="159" spans="1:10" x14ac:dyDescent="0.55000000000000004">
      <c r="A159" s="129" t="s">
        <v>327</v>
      </c>
      <c r="B159" s="124">
        <v>60</v>
      </c>
      <c r="C159">
        <f t="shared" si="8"/>
        <v>0.72977099756750563</v>
      </c>
      <c r="D159">
        <f t="shared" si="9"/>
        <v>-0.21891230048300803</v>
      </c>
      <c r="E159" s="132">
        <f t="shared" si="10"/>
        <v>26.569743872970992</v>
      </c>
      <c r="F159" s="122">
        <f t="shared" si="11"/>
        <v>1531.3948774594198</v>
      </c>
      <c r="G159" s="133">
        <f t="shared" si="12"/>
        <v>0.76723491242892672</v>
      </c>
      <c r="H159" s="49">
        <f t="shared" si="13"/>
        <v>15.344698248578535</v>
      </c>
      <c r="I159" s="132">
        <f t="shared" si="14"/>
        <v>-153.44698248578536</v>
      </c>
      <c r="J159" s="132">
        <f t="shared" si="15"/>
        <v>1377.9478949736344</v>
      </c>
    </row>
    <row r="160" spans="1:10" x14ac:dyDescent="0.55000000000000004">
      <c r="A160" s="126"/>
      <c r="B160" s="124"/>
    </row>
    <row r="161" spans="1:14" x14ac:dyDescent="0.55000000000000004">
      <c r="A161" s="130" t="s">
        <v>378</v>
      </c>
      <c r="B161" s="124"/>
    </row>
    <row r="162" spans="1:14" x14ac:dyDescent="0.55000000000000004">
      <c r="A162" s="129" t="s">
        <v>379</v>
      </c>
      <c r="B162" s="134">
        <v>50</v>
      </c>
      <c r="C162" s="118"/>
      <c r="D162" s="118"/>
      <c r="E162" s="118"/>
      <c r="F162" s="118"/>
      <c r="G162" s="118"/>
      <c r="H162" s="118"/>
      <c r="I162" s="118"/>
      <c r="J162" s="118"/>
      <c r="K162" s="118"/>
      <c r="L162" s="118"/>
      <c r="M162" s="118"/>
      <c r="N162" s="118"/>
    </row>
    <row r="163" spans="1:14" x14ac:dyDescent="0.55000000000000004">
      <c r="A163" s="129" t="s">
        <v>380</v>
      </c>
      <c r="B163" s="134">
        <v>100</v>
      </c>
      <c r="C163" s="118"/>
      <c r="D163" s="118"/>
      <c r="E163" s="118"/>
      <c r="F163" s="118"/>
      <c r="G163" s="118"/>
      <c r="H163" s="118"/>
      <c r="I163" s="118"/>
      <c r="J163" s="118"/>
      <c r="K163" s="118"/>
      <c r="L163" s="118"/>
      <c r="M163" s="118"/>
      <c r="N163" s="118"/>
    </row>
    <row r="164" spans="1:14" ht="43.2" x14ac:dyDescent="0.55000000000000004">
      <c r="A164" s="136" t="s">
        <v>319</v>
      </c>
      <c r="B164" s="137" t="s">
        <v>354</v>
      </c>
      <c r="C164" s="137" t="s">
        <v>381</v>
      </c>
      <c r="D164" s="137" t="s">
        <v>382</v>
      </c>
      <c r="E164" s="138" t="s">
        <v>383</v>
      </c>
      <c r="F164" s="118"/>
      <c r="G164" s="118"/>
      <c r="H164" s="118"/>
      <c r="I164" s="118"/>
      <c r="J164" s="118"/>
      <c r="K164" s="118"/>
      <c r="L164" s="118"/>
      <c r="M164" s="118"/>
      <c r="N164" s="118"/>
    </row>
    <row r="165" spans="1:14" x14ac:dyDescent="0.55000000000000004">
      <c r="A165" s="129" t="s">
        <v>325</v>
      </c>
      <c r="B165" s="124">
        <v>40</v>
      </c>
      <c r="C165" s="118">
        <f>IF(B165&gt;$B$162,$B$163,0)</f>
        <v>0</v>
      </c>
      <c r="D165" s="132">
        <f>J157</f>
        <v>1374.8622105723093</v>
      </c>
      <c r="E165" s="135">
        <f>D165+C165</f>
        <v>1374.8622105723093</v>
      </c>
      <c r="F165" s="118"/>
      <c r="G165" s="118"/>
      <c r="H165" s="118"/>
      <c r="I165" s="118"/>
      <c r="J165" s="118"/>
      <c r="K165" s="118"/>
      <c r="L165" s="118"/>
      <c r="M165" s="118"/>
      <c r="N165" s="118"/>
    </row>
    <row r="166" spans="1:14" x14ac:dyDescent="0.55000000000000004">
      <c r="A166" s="129" t="s">
        <v>326</v>
      </c>
      <c r="B166" s="124">
        <v>50</v>
      </c>
      <c r="C166" s="118">
        <f t="shared" ref="C166:C167" si="16">IF(B166&gt;$B$162,$B$163,0)</f>
        <v>0</v>
      </c>
      <c r="D166" s="132">
        <f t="shared" ref="D166:D167" si="17">J158</f>
        <v>1383.8971665946478</v>
      </c>
      <c r="E166" s="135">
        <f t="shared" ref="E166:E167" si="18">D166+C166</f>
        <v>1383.8971665946478</v>
      </c>
      <c r="F166" s="118"/>
      <c r="G166" s="118"/>
      <c r="H166" s="118"/>
      <c r="I166" s="118"/>
      <c r="J166" s="118"/>
      <c r="K166" s="118"/>
      <c r="L166" s="118"/>
      <c r="M166" s="118"/>
      <c r="N166" s="118"/>
    </row>
    <row r="167" spans="1:14" x14ac:dyDescent="0.55000000000000004">
      <c r="A167" s="129" t="s">
        <v>327</v>
      </c>
      <c r="B167" s="124">
        <v>60</v>
      </c>
      <c r="C167" s="118">
        <f t="shared" si="16"/>
        <v>100</v>
      </c>
      <c r="D167" s="132">
        <f t="shared" si="17"/>
        <v>1377.9478949736344</v>
      </c>
      <c r="E167" s="135">
        <f t="shared" si="18"/>
        <v>1477.9478949736344</v>
      </c>
      <c r="F167" s="118"/>
      <c r="G167" s="118"/>
      <c r="H167" s="118"/>
      <c r="I167" s="118"/>
      <c r="J167" s="118"/>
      <c r="K167" s="118"/>
      <c r="L167" s="118"/>
      <c r="M167" s="118"/>
      <c r="N167" s="118"/>
    </row>
    <row r="168" spans="1:14" x14ac:dyDescent="0.55000000000000004">
      <c r="A168" s="129"/>
      <c r="B168" s="134"/>
      <c r="C168" s="118"/>
      <c r="D168" s="118"/>
      <c r="E168" s="118"/>
      <c r="F168" s="118"/>
      <c r="G168" s="118"/>
      <c r="H168" s="118"/>
      <c r="I168" s="118"/>
      <c r="J168" s="118"/>
      <c r="K168" s="118"/>
      <c r="L168" s="118"/>
      <c r="M168" s="118"/>
      <c r="N168" s="118"/>
    </row>
    <row r="169" spans="1:14" x14ac:dyDescent="0.55000000000000004">
      <c r="A169" s="129"/>
      <c r="B169" s="134"/>
      <c r="C169" s="118"/>
      <c r="D169" s="118"/>
      <c r="E169" s="118"/>
      <c r="F169" s="118"/>
      <c r="G169" s="118"/>
      <c r="H169" s="118"/>
      <c r="I169" s="118"/>
      <c r="J169" s="118"/>
      <c r="K169" s="118"/>
      <c r="L169" s="118"/>
      <c r="M169" s="118"/>
      <c r="N169" s="118"/>
    </row>
    <row r="170" spans="1:14" x14ac:dyDescent="0.55000000000000004">
      <c r="A170" s="129"/>
      <c r="B170" s="134"/>
      <c r="C170" s="118"/>
      <c r="D170" s="118"/>
      <c r="E170" s="118"/>
      <c r="F170" s="118"/>
      <c r="G170" s="118"/>
      <c r="H170" s="118"/>
      <c r="I170" s="118"/>
      <c r="J170" s="118"/>
      <c r="K170" s="118"/>
      <c r="L170" s="118"/>
      <c r="M170" s="118"/>
      <c r="N170" s="118"/>
    </row>
    <row r="171" spans="1:14" x14ac:dyDescent="0.55000000000000004">
      <c r="A171" s="129"/>
      <c r="B171" s="134"/>
      <c r="C171" s="118"/>
      <c r="D171" s="118"/>
      <c r="E171" s="118"/>
      <c r="F171" s="118"/>
      <c r="G171" s="118"/>
      <c r="H171" s="118"/>
      <c r="I171" s="118"/>
      <c r="J171" s="118"/>
      <c r="K171" s="118"/>
      <c r="L171" s="118"/>
      <c r="M171" s="118"/>
      <c r="N171" s="118"/>
    </row>
    <row r="172" spans="1:14" x14ac:dyDescent="0.55000000000000004">
      <c r="A172" s="128"/>
    </row>
    <row r="173" spans="1:14" x14ac:dyDescent="0.55000000000000004">
      <c r="A173" s="69" t="s">
        <v>285</v>
      </c>
      <c r="B173" s="108" t="s">
        <v>286</v>
      </c>
      <c r="C173" s="108" t="s">
        <v>287</v>
      </c>
      <c r="D173" s="108" t="s">
        <v>288</v>
      </c>
    </row>
    <row r="174" spans="1:14" ht="43.2" x14ac:dyDescent="0.55000000000000004">
      <c r="A174" s="109" t="s">
        <v>28</v>
      </c>
      <c r="B174" s="110" t="s">
        <v>289</v>
      </c>
      <c r="C174" s="110" t="s">
        <v>293</v>
      </c>
      <c r="D174" s="110" t="s">
        <v>290</v>
      </c>
    </row>
    <row r="175" spans="1:14" x14ac:dyDescent="0.55000000000000004">
      <c r="A175" s="109" t="s">
        <v>29</v>
      </c>
      <c r="B175" s="110" t="s">
        <v>291</v>
      </c>
      <c r="C175" s="110" t="s">
        <v>292</v>
      </c>
      <c r="D175" s="110" t="s">
        <v>294</v>
      </c>
    </row>
    <row r="176" spans="1:14" ht="28.8" x14ac:dyDescent="0.55000000000000004">
      <c r="A176" s="109" t="s">
        <v>30</v>
      </c>
      <c r="B176" s="110" t="s">
        <v>295</v>
      </c>
      <c r="C176" s="110" t="s">
        <v>292</v>
      </c>
      <c r="D176" s="110" t="s">
        <v>301</v>
      </c>
    </row>
    <row r="177" spans="1:4" x14ac:dyDescent="0.55000000000000004">
      <c r="A177" s="109" t="s">
        <v>65</v>
      </c>
      <c r="B177" s="110" t="s">
        <v>299</v>
      </c>
      <c r="C177" s="110" t="s">
        <v>296</v>
      </c>
      <c r="D177" s="110" t="s">
        <v>302</v>
      </c>
    </row>
    <row r="178" spans="1:4" ht="28.8" x14ac:dyDescent="0.55000000000000004">
      <c r="A178" s="109" t="s">
        <v>57</v>
      </c>
      <c r="B178" s="110" t="s">
        <v>300</v>
      </c>
      <c r="C178" s="110" t="s">
        <v>297</v>
      </c>
      <c r="D178" s="110" t="s">
        <v>298</v>
      </c>
    </row>
    <row r="181" spans="1:4" x14ac:dyDescent="0.55000000000000004">
      <c r="A181" s="112" t="s">
        <v>305</v>
      </c>
      <c r="B181" s="10"/>
    </row>
    <row r="182" spans="1:4" x14ac:dyDescent="0.55000000000000004">
      <c r="A182" s="51" t="s">
        <v>306</v>
      </c>
    </row>
    <row r="184" spans="1:4" x14ac:dyDescent="0.55000000000000004">
      <c r="A184" s="10" t="s">
        <v>307</v>
      </c>
      <c r="B184" s="10">
        <v>1</v>
      </c>
      <c r="C184" s="10">
        <v>2</v>
      </c>
      <c r="D184" s="10">
        <v>3</v>
      </c>
    </row>
    <row r="185" spans="1:4" x14ac:dyDescent="0.55000000000000004">
      <c r="A185" t="s">
        <v>308</v>
      </c>
      <c r="B185" s="56">
        <f>$B$11*$B$10</f>
        <v>20</v>
      </c>
      <c r="C185" s="56">
        <f t="shared" ref="C185" si="19">$B$11*$B$10</f>
        <v>20</v>
      </c>
      <c r="D185" s="56">
        <f>$B$11*$B$10+B10</f>
        <v>1020</v>
      </c>
    </row>
    <row r="186" spans="1:4" x14ac:dyDescent="0.55000000000000004">
      <c r="A186" t="s">
        <v>309</v>
      </c>
      <c r="B186" s="56">
        <f>B185/(1+$B$15)^B184</f>
        <v>19.047619047619047</v>
      </c>
      <c r="C186" s="56">
        <f t="shared" ref="C186:D186" si="20">C185/(1+$B$15)^C184</f>
        <v>18.140589569160998</v>
      </c>
      <c r="D186" s="56">
        <f t="shared" si="20"/>
        <v>881.11435050210548</v>
      </c>
    </row>
    <row r="188" spans="1:4" x14ac:dyDescent="0.55000000000000004">
      <c r="A188" s="3" t="s">
        <v>310</v>
      </c>
      <c r="B188" s="117">
        <f>SUM(B186:D186)</f>
        <v>918.30255911888548</v>
      </c>
    </row>
    <row r="189" spans="1:4" x14ac:dyDescent="0.55000000000000004">
      <c r="A189" s="3"/>
      <c r="B189" s="117"/>
    </row>
    <row r="190" spans="1:4" x14ac:dyDescent="0.55000000000000004">
      <c r="A190" s="120" t="s">
        <v>219</v>
      </c>
    </row>
    <row r="191" spans="1:4" x14ac:dyDescent="0.55000000000000004">
      <c r="A191" s="118" t="s">
        <v>335</v>
      </c>
      <c r="B191" s="119">
        <v>50</v>
      </c>
    </row>
    <row r="192" spans="1:4" x14ac:dyDescent="0.55000000000000004">
      <c r="A192" t="s">
        <v>311</v>
      </c>
      <c r="B192" s="119">
        <v>100</v>
      </c>
    </row>
    <row r="193" spans="1:2" x14ac:dyDescent="0.55000000000000004">
      <c r="A193" t="s">
        <v>312</v>
      </c>
      <c r="B193" s="119">
        <v>48</v>
      </c>
    </row>
    <row r="194" spans="1:2" x14ac:dyDescent="0.55000000000000004">
      <c r="A194" t="s">
        <v>313</v>
      </c>
      <c r="B194" s="1">
        <v>0.3</v>
      </c>
    </row>
    <row r="195" spans="1:2" x14ac:dyDescent="0.55000000000000004">
      <c r="A195" t="s">
        <v>205</v>
      </c>
      <c r="B195" s="121">
        <v>3</v>
      </c>
    </row>
    <row r="196" spans="1:2" x14ac:dyDescent="0.55000000000000004">
      <c r="A196" t="s">
        <v>202</v>
      </c>
      <c r="B196" s="1">
        <v>0.02</v>
      </c>
    </row>
    <row r="198" spans="1:2" x14ac:dyDescent="0.55000000000000004">
      <c r="A198" s="120" t="s">
        <v>314</v>
      </c>
    </row>
    <row r="199" spans="1:2" x14ac:dyDescent="0.55000000000000004">
      <c r="A199" t="s">
        <v>209</v>
      </c>
      <c r="B199">
        <f>SQRT(B194)*SQRT(B195)</f>
        <v>0.94868329805051366</v>
      </c>
    </row>
    <row r="200" spans="1:2" x14ac:dyDescent="0.55000000000000004">
      <c r="A200" t="s">
        <v>207</v>
      </c>
      <c r="B200">
        <f>(LN(B193/B191)+(B196-B194/2)*B195)/B199</f>
        <v>-0.45412625626019565</v>
      </c>
    </row>
    <row r="201" spans="1:2" x14ac:dyDescent="0.55000000000000004">
      <c r="A201" t="s">
        <v>208</v>
      </c>
      <c r="B201">
        <f>B200-B199</f>
        <v>-1.4028095543107093</v>
      </c>
    </row>
    <row r="202" spans="1:2" x14ac:dyDescent="0.55000000000000004">
      <c r="A202" t="s">
        <v>238</v>
      </c>
      <c r="B202">
        <f>EXP(-B196)</f>
        <v>0.98019867330675525</v>
      </c>
    </row>
    <row r="203" spans="1:2" x14ac:dyDescent="0.55000000000000004">
      <c r="A203" s="3" t="s">
        <v>315</v>
      </c>
      <c r="B203" s="123">
        <f>B193*_xlfn.NORM.S.DIST(B200,TRUE)-B191*B202*_xlfn.NORM.S.DIST(B201,TRUE)</f>
        <v>11.656408801237271</v>
      </c>
    </row>
    <row r="205" spans="1:2" x14ac:dyDescent="0.55000000000000004">
      <c r="A205" s="120" t="s">
        <v>316</v>
      </c>
    </row>
    <row r="206" spans="1:2" x14ac:dyDescent="0.55000000000000004">
      <c r="A206" t="s">
        <v>0</v>
      </c>
      <c r="B206" s="56">
        <f>B188</f>
        <v>918.30255911888548</v>
      </c>
    </row>
    <row r="207" spans="1:2" x14ac:dyDescent="0.55000000000000004">
      <c r="A207" t="s">
        <v>317</v>
      </c>
      <c r="B207" s="122">
        <f>B203</f>
        <v>11.656408801237271</v>
      </c>
    </row>
    <row r="208" spans="1:2" x14ac:dyDescent="0.55000000000000004">
      <c r="A208" t="s">
        <v>318</v>
      </c>
      <c r="B208" s="56">
        <f>SUM(B206:B207)</f>
        <v>929.95896792012275</v>
      </c>
    </row>
    <row r="211" spans="1:8" x14ac:dyDescent="0.55000000000000004">
      <c r="A211" s="13" t="s">
        <v>319</v>
      </c>
      <c r="B211" s="13" t="s">
        <v>334</v>
      </c>
      <c r="C211" s="13" t="s">
        <v>321</v>
      </c>
      <c r="D211" s="13" t="s">
        <v>320</v>
      </c>
      <c r="E211" s="13" t="s">
        <v>322</v>
      </c>
      <c r="F211" s="13" t="s">
        <v>323</v>
      </c>
      <c r="G211" s="13" t="s">
        <v>108</v>
      </c>
      <c r="H211" s="13" t="s">
        <v>324</v>
      </c>
    </row>
    <row r="212" spans="1:8" x14ac:dyDescent="0.55000000000000004">
      <c r="A212" t="s">
        <v>328</v>
      </c>
      <c r="B212">
        <v>45</v>
      </c>
      <c r="C212" t="s">
        <v>325</v>
      </c>
      <c r="D212" t="s">
        <v>331</v>
      </c>
      <c r="E212" s="113">
        <v>1000</v>
      </c>
      <c r="F212">
        <f>IF(B212&lt;$B$191,0,$B$192)</f>
        <v>0</v>
      </c>
      <c r="G212" s="122">
        <f>E212+F212</f>
        <v>1000</v>
      </c>
      <c r="H212" s="122">
        <f>G212-$B$208</f>
        <v>70.041032079877255</v>
      </c>
    </row>
    <row r="213" spans="1:8" x14ac:dyDescent="0.55000000000000004">
      <c r="A213" t="s">
        <v>329</v>
      </c>
      <c r="B213">
        <v>50</v>
      </c>
      <c r="C213" t="s">
        <v>326</v>
      </c>
      <c r="D213" t="s">
        <v>333</v>
      </c>
      <c r="E213" s="113">
        <v>1000</v>
      </c>
      <c r="F213">
        <v>0</v>
      </c>
      <c r="G213" s="122">
        <f t="shared" ref="G213:G214" si="21">E213+F213</f>
        <v>1000</v>
      </c>
      <c r="H213" s="122">
        <f t="shared" ref="H213:H214" si="22">G213-$B$208</f>
        <v>70.041032079877255</v>
      </c>
    </row>
    <row r="214" spans="1:8" x14ac:dyDescent="0.55000000000000004">
      <c r="A214" t="s">
        <v>330</v>
      </c>
      <c r="B214">
        <v>55</v>
      </c>
      <c r="C214" t="s">
        <v>327</v>
      </c>
      <c r="D214" t="s">
        <v>332</v>
      </c>
      <c r="E214" s="113">
        <v>1000</v>
      </c>
      <c r="F214">
        <f>IF(B214&lt;$B$191,0,$B$192)</f>
        <v>100</v>
      </c>
      <c r="G214" s="122">
        <f t="shared" si="21"/>
        <v>1100</v>
      </c>
      <c r="H214" s="122">
        <f t="shared" si="22"/>
        <v>170.04103207987725</v>
      </c>
    </row>
    <row r="216" spans="1:8" x14ac:dyDescent="0.55000000000000004">
      <c r="A216" s="51" t="s">
        <v>336</v>
      </c>
    </row>
    <row r="217" spans="1:8" x14ac:dyDescent="0.55000000000000004">
      <c r="A217" t="s">
        <v>337</v>
      </c>
    </row>
    <row r="218" spans="1:8" x14ac:dyDescent="0.55000000000000004">
      <c r="A218" s="4" t="s">
        <v>338</v>
      </c>
    </row>
    <row r="219" spans="1:8" x14ac:dyDescent="0.55000000000000004">
      <c r="A219" s="4" t="s">
        <v>339</v>
      </c>
    </row>
    <row r="220" spans="1:8" x14ac:dyDescent="0.55000000000000004">
      <c r="A220" s="4" t="s">
        <v>340</v>
      </c>
    </row>
    <row r="221" spans="1:8" x14ac:dyDescent="0.55000000000000004">
      <c r="A221" s="3" t="s">
        <v>341</v>
      </c>
    </row>
    <row r="222" spans="1:8" x14ac:dyDescent="0.55000000000000004">
      <c r="A222" s="4" t="s">
        <v>342</v>
      </c>
    </row>
    <row r="223" spans="1:8" x14ac:dyDescent="0.55000000000000004">
      <c r="A223" s="52" t="s">
        <v>345</v>
      </c>
    </row>
    <row r="224" spans="1:8" x14ac:dyDescent="0.55000000000000004">
      <c r="A224" s="52" t="s">
        <v>343</v>
      </c>
    </row>
    <row r="225" spans="1:2" x14ac:dyDescent="0.55000000000000004">
      <c r="A225" s="52" t="s">
        <v>344</v>
      </c>
    </row>
    <row r="227" spans="1:2" x14ac:dyDescent="0.55000000000000004">
      <c r="A227" s="13" t="s">
        <v>346</v>
      </c>
      <c r="B227" s="13" t="s">
        <v>347</v>
      </c>
    </row>
    <row r="228" spans="1:2" ht="43.2" x14ac:dyDescent="0.55000000000000004">
      <c r="A228" s="125" t="s">
        <v>348</v>
      </c>
      <c r="B228" s="125" t="s">
        <v>351</v>
      </c>
    </row>
    <row r="229" spans="1:2" ht="28.8" x14ac:dyDescent="0.55000000000000004">
      <c r="A229" s="125" t="s">
        <v>349</v>
      </c>
      <c r="B229" s="5" t="s">
        <v>352</v>
      </c>
    </row>
    <row r="230" spans="1:2" ht="28.8" x14ac:dyDescent="0.55000000000000004">
      <c r="A230" s="5" t="s">
        <v>350</v>
      </c>
      <c r="B230" s="5" t="s">
        <v>353</v>
      </c>
    </row>
  </sheetData>
  <mergeCells count="2">
    <mergeCell ref="F81:J81"/>
    <mergeCell ref="B81:E8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9848-B596-43D1-9E35-458517D9A0E3}">
  <dimension ref="A1:D53"/>
  <sheetViews>
    <sheetView showGridLines="0" workbookViewId="0">
      <selection activeCell="B25" sqref="B25"/>
    </sheetView>
  </sheetViews>
  <sheetFormatPr defaultRowHeight="14.4" x14ac:dyDescent="0.55000000000000004"/>
  <cols>
    <col min="1" max="1" width="30.20703125" bestFit="1" customWidth="1"/>
    <col min="2" max="2" width="7.41796875" bestFit="1" customWidth="1"/>
    <col min="3" max="3" width="62.3125" customWidth="1"/>
    <col min="4" max="4" width="67.68359375" customWidth="1"/>
  </cols>
  <sheetData>
    <row r="1" spans="1:4" x14ac:dyDescent="0.55000000000000004">
      <c r="A1" s="3" t="s">
        <v>36</v>
      </c>
      <c r="B1" s="3" t="s">
        <v>27</v>
      </c>
      <c r="C1" s="7" t="s">
        <v>25</v>
      </c>
      <c r="D1" s="7" t="s">
        <v>26</v>
      </c>
    </row>
    <row r="2" spans="1:4" ht="43.2" x14ac:dyDescent="0.55000000000000004">
      <c r="A2" s="28" t="s">
        <v>0</v>
      </c>
      <c r="B2" s="21">
        <v>95</v>
      </c>
      <c r="C2" s="14" t="s">
        <v>22</v>
      </c>
      <c r="D2" s="15"/>
    </row>
    <row r="3" spans="1:4" ht="28.8" x14ac:dyDescent="0.55000000000000004">
      <c r="A3" s="29" t="s">
        <v>21</v>
      </c>
      <c r="B3" s="17">
        <v>10</v>
      </c>
      <c r="C3" s="8" t="s">
        <v>32</v>
      </c>
      <c r="D3" s="9"/>
    </row>
    <row r="4" spans="1:4" x14ac:dyDescent="0.55000000000000004">
      <c r="A4" s="30" t="s">
        <v>1</v>
      </c>
      <c r="B4" s="22">
        <f>B2+B3</f>
        <v>105</v>
      </c>
      <c r="C4" s="34" t="s">
        <v>23</v>
      </c>
      <c r="D4" s="16"/>
    </row>
    <row r="5" spans="1:4" x14ac:dyDescent="0.55000000000000004">
      <c r="A5" s="31" t="s">
        <v>35</v>
      </c>
      <c r="B5" s="17"/>
      <c r="C5" s="8"/>
      <c r="D5" s="9"/>
    </row>
    <row r="6" spans="1:4" ht="28.8" x14ac:dyDescent="0.55000000000000004">
      <c r="A6" s="32" t="s">
        <v>28</v>
      </c>
      <c r="B6" s="18" t="s">
        <v>31</v>
      </c>
      <c r="C6" s="8" t="s">
        <v>69</v>
      </c>
      <c r="D6" s="9"/>
    </row>
    <row r="7" spans="1:4" ht="72" x14ac:dyDescent="0.55000000000000004">
      <c r="A7" s="32" t="s">
        <v>29</v>
      </c>
      <c r="B7" s="38" t="s">
        <v>34</v>
      </c>
      <c r="C7" s="8" t="s">
        <v>70</v>
      </c>
      <c r="D7" s="9"/>
    </row>
    <row r="8" spans="1:4" x14ac:dyDescent="0.55000000000000004">
      <c r="A8" s="32" t="s">
        <v>57</v>
      </c>
      <c r="B8" s="17"/>
      <c r="C8" s="8" t="s">
        <v>68</v>
      </c>
      <c r="D8" s="9"/>
    </row>
    <row r="9" spans="1:4" ht="43.2" x14ac:dyDescent="0.55000000000000004">
      <c r="A9" s="32" t="s">
        <v>65</v>
      </c>
      <c r="B9" s="17"/>
      <c r="C9" s="8" t="s">
        <v>66</v>
      </c>
      <c r="D9" s="9"/>
    </row>
    <row r="10" spans="1:4" x14ac:dyDescent="0.55000000000000004">
      <c r="A10" s="30" t="s">
        <v>30</v>
      </c>
      <c r="B10" s="22" t="s">
        <v>33</v>
      </c>
      <c r="C10" s="34" t="s">
        <v>67</v>
      </c>
      <c r="D10" s="16"/>
    </row>
    <row r="11" spans="1:4" x14ac:dyDescent="0.55000000000000004">
      <c r="A11" s="32"/>
      <c r="B11" s="17"/>
      <c r="C11" s="8"/>
      <c r="D11" s="9"/>
    </row>
    <row r="12" spans="1:4" x14ac:dyDescent="0.55000000000000004">
      <c r="A12" s="31" t="s">
        <v>37</v>
      </c>
      <c r="B12" s="17"/>
      <c r="C12" s="8"/>
      <c r="D12" s="9"/>
    </row>
    <row r="13" spans="1:4" x14ac:dyDescent="0.55000000000000004">
      <c r="A13" s="28" t="s">
        <v>2</v>
      </c>
      <c r="B13" s="21">
        <v>0.5</v>
      </c>
      <c r="C13" s="14" t="s">
        <v>24</v>
      </c>
      <c r="D13" s="14" t="s">
        <v>40</v>
      </c>
    </row>
    <row r="14" spans="1:4" x14ac:dyDescent="0.55000000000000004">
      <c r="A14" s="32" t="s">
        <v>3</v>
      </c>
      <c r="B14" s="19">
        <v>0.08</v>
      </c>
      <c r="C14" s="9"/>
      <c r="D14" s="9"/>
    </row>
    <row r="15" spans="1:4" x14ac:dyDescent="0.55000000000000004">
      <c r="A15" s="32" t="s">
        <v>4</v>
      </c>
      <c r="B15" s="19">
        <v>0.02</v>
      </c>
      <c r="C15" s="9"/>
      <c r="D15" s="9"/>
    </row>
    <row r="16" spans="1:4" x14ac:dyDescent="0.55000000000000004">
      <c r="A16" s="32" t="s">
        <v>5</v>
      </c>
      <c r="B16" s="19">
        <v>0.1</v>
      </c>
      <c r="C16" s="9"/>
      <c r="D16" s="9"/>
    </row>
    <row r="17" spans="1:4" x14ac:dyDescent="0.55000000000000004">
      <c r="A17" s="30" t="s">
        <v>17</v>
      </c>
      <c r="B17" s="25">
        <f>B15+B13*(B16-B15)</f>
        <v>0.06</v>
      </c>
      <c r="C17" s="34" t="s">
        <v>18</v>
      </c>
      <c r="D17" s="16"/>
    </row>
    <row r="18" spans="1:4" x14ac:dyDescent="0.55000000000000004">
      <c r="B18" s="19"/>
      <c r="C18" s="9"/>
      <c r="D18" s="9"/>
    </row>
    <row r="19" spans="1:4" x14ac:dyDescent="0.55000000000000004">
      <c r="B19" s="17"/>
      <c r="C19" s="9"/>
      <c r="D19" s="9"/>
    </row>
    <row r="20" spans="1:4" x14ac:dyDescent="0.55000000000000004">
      <c r="A20" s="28" t="s">
        <v>8</v>
      </c>
      <c r="B20" s="26">
        <v>0.02</v>
      </c>
      <c r="C20" s="15"/>
      <c r="D20" s="15"/>
    </row>
    <row r="21" spans="1:4" x14ac:dyDescent="0.55000000000000004">
      <c r="A21" s="32" t="s">
        <v>10</v>
      </c>
      <c r="B21" s="19">
        <v>0.04</v>
      </c>
      <c r="C21" s="9"/>
      <c r="D21" s="9"/>
    </row>
    <row r="22" spans="1:4" x14ac:dyDescent="0.55000000000000004">
      <c r="A22" s="30" t="s">
        <v>6</v>
      </c>
      <c r="B22" s="27">
        <f>SQRT(B21)</f>
        <v>0.2</v>
      </c>
      <c r="C22" s="16"/>
      <c r="D22" s="16"/>
    </row>
    <row r="23" spans="1:4" x14ac:dyDescent="0.55000000000000004">
      <c r="A23" s="32"/>
      <c r="B23" s="17"/>
      <c r="C23" s="9"/>
      <c r="D23" s="9"/>
    </row>
    <row r="24" spans="1:4" x14ac:dyDescent="0.55000000000000004">
      <c r="A24" s="31" t="s">
        <v>7</v>
      </c>
      <c r="B24" s="17"/>
      <c r="C24" s="9"/>
      <c r="D24" s="9"/>
    </row>
    <row r="25" spans="1:4" x14ac:dyDescent="0.55000000000000004">
      <c r="A25" s="28" t="s">
        <v>9</v>
      </c>
      <c r="B25" s="23">
        <f>B20/B21</f>
        <v>0.5</v>
      </c>
      <c r="C25" s="15"/>
      <c r="D25" s="15"/>
    </row>
    <row r="26" spans="1:4" x14ac:dyDescent="0.55000000000000004">
      <c r="A26" s="32" t="s">
        <v>11</v>
      </c>
      <c r="B26" s="20">
        <f>B25/(1+B25)</f>
        <v>0.33333333333333331</v>
      </c>
      <c r="C26" s="8" t="s">
        <v>13</v>
      </c>
      <c r="D26" s="9"/>
    </row>
    <row r="27" spans="1:4" x14ac:dyDescent="0.55000000000000004">
      <c r="A27" s="32" t="s">
        <v>12</v>
      </c>
      <c r="B27" s="20">
        <f>B28-B26</f>
        <v>0.66666666666666674</v>
      </c>
      <c r="C27" s="8" t="s">
        <v>14</v>
      </c>
      <c r="D27" s="9"/>
    </row>
    <row r="28" spans="1:4" s="10" customFormat="1" x14ac:dyDescent="0.55000000000000004">
      <c r="A28" s="30" t="s">
        <v>38</v>
      </c>
      <c r="B28" s="27">
        <v>1</v>
      </c>
      <c r="C28" s="34"/>
      <c r="D28" s="16"/>
    </row>
    <row r="29" spans="1:4" ht="43.2" x14ac:dyDescent="0.55000000000000004">
      <c r="A29" s="33" t="s">
        <v>15</v>
      </c>
      <c r="B29" s="22"/>
      <c r="C29" s="16"/>
      <c r="D29" s="16"/>
    </row>
    <row r="30" spans="1:4" ht="28.8" x14ac:dyDescent="0.55000000000000004">
      <c r="A30" s="28" t="s">
        <v>16</v>
      </c>
      <c r="B30" s="24">
        <f>(B14-B15)/B13</f>
        <v>0.12</v>
      </c>
      <c r="C30" s="14" t="s">
        <v>39</v>
      </c>
      <c r="D30" s="14" t="s">
        <v>41</v>
      </c>
    </row>
    <row r="31" spans="1:4" ht="28.8" x14ac:dyDescent="0.55000000000000004">
      <c r="A31" s="30" t="s">
        <v>20</v>
      </c>
      <c r="B31" s="25">
        <f>B14-B17</f>
        <v>2.0000000000000004E-2</v>
      </c>
      <c r="C31" s="34" t="s">
        <v>410</v>
      </c>
      <c r="D31" s="34" t="s">
        <v>42</v>
      </c>
    </row>
    <row r="32" spans="1:4" x14ac:dyDescent="0.55000000000000004">
      <c r="B32" s="17"/>
      <c r="C32" s="5"/>
      <c r="D32" s="5"/>
    </row>
    <row r="33" spans="1:4" x14ac:dyDescent="0.55000000000000004">
      <c r="B33" s="17"/>
      <c r="C33" s="5"/>
      <c r="D33" s="5"/>
    </row>
    <row r="34" spans="1:4" x14ac:dyDescent="0.55000000000000004">
      <c r="A34" s="3" t="s">
        <v>43</v>
      </c>
      <c r="C34" s="5"/>
      <c r="D34" s="5"/>
    </row>
    <row r="35" spans="1:4" x14ac:dyDescent="0.55000000000000004">
      <c r="A35" s="4" t="s">
        <v>44</v>
      </c>
      <c r="C35" s="5"/>
    </row>
    <row r="36" spans="1:4" x14ac:dyDescent="0.55000000000000004">
      <c r="A36" s="4" t="s">
        <v>45</v>
      </c>
    </row>
    <row r="37" spans="1:4" x14ac:dyDescent="0.55000000000000004">
      <c r="A37" s="4" t="s">
        <v>46</v>
      </c>
      <c r="C37" s="5"/>
    </row>
    <row r="38" spans="1:4" x14ac:dyDescent="0.55000000000000004">
      <c r="C38" s="5"/>
    </row>
    <row r="39" spans="1:4" x14ac:dyDescent="0.55000000000000004">
      <c r="A39" t="s">
        <v>47</v>
      </c>
      <c r="C39" s="5"/>
    </row>
    <row r="40" spans="1:4" x14ac:dyDescent="0.55000000000000004">
      <c r="A40" t="s">
        <v>19</v>
      </c>
      <c r="B40" s="35">
        <v>5.0000000000000001E-3</v>
      </c>
      <c r="C40" s="5"/>
    </row>
    <row r="41" spans="1:4" x14ac:dyDescent="0.55000000000000004">
      <c r="B41" s="35"/>
      <c r="C41" s="37" t="s">
        <v>54</v>
      </c>
      <c r="D41" s="3" t="s">
        <v>55</v>
      </c>
    </row>
    <row r="42" spans="1:4" ht="28.8" x14ac:dyDescent="0.55000000000000004">
      <c r="A42" s="13" t="s">
        <v>48</v>
      </c>
      <c r="B42" s="10"/>
      <c r="C42" s="11" t="s">
        <v>49</v>
      </c>
      <c r="D42" s="10"/>
    </row>
    <row r="43" spans="1:4" ht="43.2" x14ac:dyDescent="0.55000000000000004">
      <c r="A43" t="s">
        <v>51</v>
      </c>
      <c r="B43" s="36">
        <f>B40+B20</f>
        <v>2.5000000000000001E-2</v>
      </c>
      <c r="C43" s="6" t="s">
        <v>52</v>
      </c>
    </row>
    <row r="44" spans="1:4" x14ac:dyDescent="0.55000000000000004">
      <c r="A44" t="s">
        <v>50</v>
      </c>
      <c r="B44" s="35">
        <f>B43/B21</f>
        <v>0.625</v>
      </c>
      <c r="C44" s="5"/>
    </row>
    <row r="45" spans="1:4" x14ac:dyDescent="0.55000000000000004">
      <c r="A45" t="s">
        <v>11</v>
      </c>
      <c r="B45" s="35">
        <f>B44/(1+B44)</f>
        <v>0.38461538461538464</v>
      </c>
      <c r="C45" s="5"/>
    </row>
    <row r="46" spans="1:4" x14ac:dyDescent="0.55000000000000004">
      <c r="A46" t="s">
        <v>12</v>
      </c>
      <c r="B46" s="35">
        <f>B47-B45</f>
        <v>0.61538461538461542</v>
      </c>
      <c r="C46" s="5"/>
    </row>
    <row r="47" spans="1:4" x14ac:dyDescent="0.55000000000000004">
      <c r="A47" t="s">
        <v>38</v>
      </c>
      <c r="B47" s="2">
        <f>1</f>
        <v>1</v>
      </c>
      <c r="C47" s="5"/>
    </row>
    <row r="48" spans="1:4" ht="28.8" x14ac:dyDescent="0.55000000000000004">
      <c r="A48" t="s">
        <v>16</v>
      </c>
      <c r="C48" s="6" t="s">
        <v>53</v>
      </c>
      <c r="D48" s="4" t="s">
        <v>62</v>
      </c>
    </row>
    <row r="49" spans="1:4" x14ac:dyDescent="0.55000000000000004">
      <c r="C49" s="5"/>
    </row>
    <row r="50" spans="1:4" x14ac:dyDescent="0.55000000000000004">
      <c r="A50" t="s">
        <v>56</v>
      </c>
      <c r="B50">
        <v>0.5</v>
      </c>
      <c r="C50" s="5"/>
      <c r="D50" s="4" t="s">
        <v>60</v>
      </c>
    </row>
    <row r="51" spans="1:4" x14ac:dyDescent="0.55000000000000004">
      <c r="A51" t="s">
        <v>28</v>
      </c>
      <c r="C51" s="6" t="s">
        <v>58</v>
      </c>
      <c r="D51" s="4" t="s">
        <v>61</v>
      </c>
    </row>
    <row r="52" spans="1:4" x14ac:dyDescent="0.55000000000000004">
      <c r="A52" t="s">
        <v>29</v>
      </c>
      <c r="C52" s="6" t="s">
        <v>63</v>
      </c>
      <c r="D52" s="4" t="s">
        <v>59</v>
      </c>
    </row>
    <row r="53" spans="1:4" x14ac:dyDescent="0.55000000000000004">
      <c r="A53" t="s">
        <v>30</v>
      </c>
      <c r="C53" s="6" t="s">
        <v>64</v>
      </c>
      <c r="D53" s="4" t="s">
        <v>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0277-4803-4466-BE68-314F1CD3F625}">
  <dimension ref="A1:J87"/>
  <sheetViews>
    <sheetView showGridLines="0" workbookViewId="0">
      <selection activeCell="E4" sqref="E4"/>
    </sheetView>
  </sheetViews>
  <sheetFormatPr defaultRowHeight="14.4" x14ac:dyDescent="0.55000000000000004"/>
  <cols>
    <col min="1" max="1" width="27.3125" bestFit="1" customWidth="1"/>
    <col min="2" max="2" width="41.3671875" bestFit="1" customWidth="1"/>
    <col min="3" max="3" width="33.47265625" bestFit="1" customWidth="1"/>
    <col min="4" max="4" width="33.47265625" customWidth="1"/>
    <col min="5" max="5" width="39" bestFit="1" customWidth="1"/>
    <col min="6" max="6" width="37.41796875" bestFit="1" customWidth="1"/>
    <col min="7" max="7" width="22.68359375" bestFit="1" customWidth="1"/>
    <col min="8" max="8" width="17.9453125" customWidth="1"/>
    <col min="9" max="9" width="10.578125" bestFit="1" customWidth="1"/>
    <col min="10" max="10" width="9.734375" bestFit="1" customWidth="1"/>
  </cols>
  <sheetData>
    <row r="1" spans="1:6" x14ac:dyDescent="0.55000000000000004">
      <c r="A1" s="37" t="s">
        <v>71</v>
      </c>
      <c r="B1" s="37" t="s">
        <v>76</v>
      </c>
      <c r="C1" s="37" t="s">
        <v>72</v>
      </c>
      <c r="D1" s="37" t="s">
        <v>79</v>
      </c>
    </row>
    <row r="2" spans="1:6" ht="57.6" x14ac:dyDescent="0.55000000000000004">
      <c r="A2" s="29" t="s">
        <v>73</v>
      </c>
      <c r="B2" s="29" t="s">
        <v>78</v>
      </c>
      <c r="C2" s="29" t="s">
        <v>77</v>
      </c>
      <c r="D2" s="29" t="s">
        <v>80</v>
      </c>
    </row>
    <row r="3" spans="1:6" ht="43.2" x14ac:dyDescent="0.55000000000000004">
      <c r="A3" s="29" t="s">
        <v>81</v>
      </c>
      <c r="B3" s="29" t="s">
        <v>82</v>
      </c>
      <c r="C3" s="29" t="s">
        <v>83</v>
      </c>
      <c r="D3" s="29"/>
    </row>
    <row r="4" spans="1:6" ht="72" x14ac:dyDescent="0.55000000000000004">
      <c r="A4" s="29" t="s">
        <v>84</v>
      </c>
      <c r="B4" s="29" t="s">
        <v>85</v>
      </c>
      <c r="C4" s="29" t="s">
        <v>86</v>
      </c>
      <c r="D4" s="29" t="s">
        <v>87</v>
      </c>
    </row>
    <row r="5" spans="1:6" ht="57.6" x14ac:dyDescent="0.55000000000000004">
      <c r="A5" s="29" t="s">
        <v>74</v>
      </c>
      <c r="B5" s="29" t="s">
        <v>88</v>
      </c>
      <c r="C5" s="29" t="s">
        <v>90</v>
      </c>
      <c r="D5" s="29" t="s">
        <v>89</v>
      </c>
    </row>
    <row r="6" spans="1:6" ht="57.6" x14ac:dyDescent="0.55000000000000004">
      <c r="A6" s="29" t="s">
        <v>75</v>
      </c>
      <c r="B6" s="29" t="s">
        <v>91</v>
      </c>
      <c r="C6" s="29" t="s">
        <v>92</v>
      </c>
      <c r="D6" s="29" t="s">
        <v>93</v>
      </c>
    </row>
    <row r="7" spans="1:6" x14ac:dyDescent="0.55000000000000004">
      <c r="A7" s="29"/>
      <c r="B7" s="29"/>
      <c r="C7" s="29"/>
      <c r="D7" s="29"/>
    </row>
    <row r="8" spans="1:6" x14ac:dyDescent="0.55000000000000004">
      <c r="A8" s="39" t="s">
        <v>408</v>
      </c>
      <c r="B8" s="39" t="s">
        <v>409</v>
      </c>
      <c r="C8" s="29"/>
      <c r="D8" s="29"/>
    </row>
    <row r="9" spans="1:6" x14ac:dyDescent="0.55000000000000004">
      <c r="A9" s="32"/>
      <c r="B9" s="32"/>
      <c r="C9" s="32"/>
      <c r="D9" s="29"/>
    </row>
    <row r="10" spans="1:6" x14ac:dyDescent="0.55000000000000004">
      <c r="A10" s="46" t="s">
        <v>303</v>
      </c>
    </row>
    <row r="11" spans="1:6" ht="28.8" x14ac:dyDescent="0.55000000000000004">
      <c r="A11" s="47" t="s">
        <v>304</v>
      </c>
      <c r="B11">
        <v>100</v>
      </c>
    </row>
    <row r="13" spans="1:6" ht="14.7" thickBot="1" x14ac:dyDescent="0.6">
      <c r="A13" s="44" t="s">
        <v>94</v>
      </c>
      <c r="B13" s="44" t="s">
        <v>109</v>
      </c>
      <c r="C13" s="44" t="s">
        <v>104</v>
      </c>
      <c r="D13" s="44" t="s">
        <v>106</v>
      </c>
      <c r="E13" s="44" t="s">
        <v>105</v>
      </c>
      <c r="F13" s="44" t="s">
        <v>107</v>
      </c>
    </row>
    <row r="14" spans="1:6" x14ac:dyDescent="0.55000000000000004">
      <c r="A14" s="29" t="s">
        <v>95</v>
      </c>
      <c r="B14" s="29" t="s">
        <v>96</v>
      </c>
      <c r="C14" s="29" t="s">
        <v>97</v>
      </c>
      <c r="D14" s="40">
        <v>30</v>
      </c>
      <c r="E14" s="41">
        <v>1.1000000000000001</v>
      </c>
      <c r="F14" s="40">
        <f>D14/E14</f>
        <v>27.27272727272727</v>
      </c>
    </row>
    <row r="15" spans="1:6" x14ac:dyDescent="0.55000000000000004">
      <c r="A15" s="29" t="s">
        <v>98</v>
      </c>
      <c r="B15" s="29" t="s">
        <v>99</v>
      </c>
      <c r="C15" s="29" t="s">
        <v>100</v>
      </c>
      <c r="D15" s="40">
        <v>3300</v>
      </c>
      <c r="E15" s="41">
        <v>130</v>
      </c>
      <c r="F15" s="40">
        <f t="shared" ref="F15:F16" si="0">D15/E15</f>
        <v>25.384615384615383</v>
      </c>
    </row>
    <row r="16" spans="1:6" x14ac:dyDescent="0.55000000000000004">
      <c r="A16" s="29" t="s">
        <v>101</v>
      </c>
      <c r="B16" s="29" t="s">
        <v>102</v>
      </c>
      <c r="C16" s="29" t="s">
        <v>103</v>
      </c>
      <c r="D16" s="40">
        <v>20</v>
      </c>
      <c r="E16" s="41">
        <v>0.95</v>
      </c>
      <c r="F16" s="40">
        <f t="shared" si="0"/>
        <v>21.05263157894737</v>
      </c>
    </row>
    <row r="17" spans="1:7" x14ac:dyDescent="0.55000000000000004">
      <c r="A17" s="42" t="s">
        <v>108</v>
      </c>
      <c r="B17" s="43"/>
      <c r="C17" s="43"/>
      <c r="D17" s="43"/>
      <c r="E17" s="43"/>
      <c r="F17" s="45">
        <f>SUM(F14:F16)</f>
        <v>73.709974236290023</v>
      </c>
      <c r="G17" s="4" t="s">
        <v>111</v>
      </c>
    </row>
    <row r="18" spans="1:7" x14ac:dyDescent="0.55000000000000004">
      <c r="A18" s="39" t="s">
        <v>110</v>
      </c>
      <c r="B18" s="3"/>
      <c r="C18" s="3"/>
      <c r="D18" s="3"/>
      <c r="E18" s="3"/>
      <c r="F18" s="50">
        <f>B11-F17</f>
        <v>26.290025763709977</v>
      </c>
      <c r="G18" s="4" t="s">
        <v>112</v>
      </c>
    </row>
    <row r="19" spans="1:7" x14ac:dyDescent="0.55000000000000004">
      <c r="B19" s="48"/>
    </row>
    <row r="20" spans="1:7" x14ac:dyDescent="0.55000000000000004">
      <c r="A20" s="52" t="s">
        <v>113</v>
      </c>
    </row>
    <row r="21" spans="1:7" x14ac:dyDescent="0.55000000000000004">
      <c r="A21" s="52" t="s">
        <v>114</v>
      </c>
    </row>
    <row r="22" spans="1:7" x14ac:dyDescent="0.55000000000000004">
      <c r="A22" s="52" t="s">
        <v>115</v>
      </c>
    </row>
    <row r="23" spans="1:7" x14ac:dyDescent="0.55000000000000004">
      <c r="A23" s="52" t="s">
        <v>119</v>
      </c>
    </row>
    <row r="25" spans="1:7" ht="14.7" thickBot="1" x14ac:dyDescent="0.6">
      <c r="A25" s="53" t="s">
        <v>121</v>
      </c>
    </row>
    <row r="27" spans="1:7" x14ac:dyDescent="0.55000000000000004">
      <c r="A27" s="13" t="s">
        <v>104</v>
      </c>
      <c r="B27" s="13" t="s">
        <v>106</v>
      </c>
      <c r="C27" s="13" t="s">
        <v>105</v>
      </c>
      <c r="D27" s="13" t="s">
        <v>116</v>
      </c>
      <c r="E27" s="13" t="s">
        <v>117</v>
      </c>
      <c r="F27" s="13" t="s">
        <v>118</v>
      </c>
    </row>
    <row r="28" spans="1:7" x14ac:dyDescent="0.55000000000000004">
      <c r="A28" t="s">
        <v>97</v>
      </c>
      <c r="B28" s="49">
        <f>D14</f>
        <v>30</v>
      </c>
      <c r="C28" s="49">
        <f>E14</f>
        <v>1.1000000000000001</v>
      </c>
      <c r="D28">
        <v>1.08</v>
      </c>
      <c r="E28" s="49">
        <f>B28/D28</f>
        <v>27.777777777777775</v>
      </c>
      <c r="F28" s="49">
        <f>E28-F14</f>
        <v>0.50505050505050519</v>
      </c>
    </row>
    <row r="29" spans="1:7" x14ac:dyDescent="0.55000000000000004">
      <c r="A29" t="s">
        <v>103</v>
      </c>
      <c r="B29" s="49">
        <f>D16</f>
        <v>20</v>
      </c>
      <c r="C29" s="49">
        <f>E16</f>
        <v>0.95</v>
      </c>
      <c r="D29">
        <v>0.94</v>
      </c>
      <c r="E29" s="49">
        <f>B29/D29</f>
        <v>21.276595744680851</v>
      </c>
      <c r="F29" s="49">
        <f>E29-F16</f>
        <v>0.22396416573348077</v>
      </c>
    </row>
    <row r="31" spans="1:7" x14ac:dyDescent="0.55000000000000004">
      <c r="A31" t="s">
        <v>120</v>
      </c>
    </row>
    <row r="33" spans="1:7" ht="14.7" thickBot="1" x14ac:dyDescent="0.6">
      <c r="A33" s="111" t="s">
        <v>122</v>
      </c>
    </row>
    <row r="34" spans="1:7" x14ac:dyDescent="0.55000000000000004">
      <c r="A34" t="s">
        <v>147</v>
      </c>
    </row>
    <row r="35" spans="1:7" x14ac:dyDescent="0.55000000000000004">
      <c r="A35" s="4" t="s">
        <v>123</v>
      </c>
    </row>
    <row r="36" spans="1:7" x14ac:dyDescent="0.55000000000000004">
      <c r="A36" s="4" t="s">
        <v>124</v>
      </c>
    </row>
    <row r="38" spans="1:7" x14ac:dyDescent="0.55000000000000004">
      <c r="A38" s="13" t="s">
        <v>125</v>
      </c>
      <c r="B38" s="13" t="s">
        <v>27</v>
      </c>
      <c r="C38" s="10"/>
    </row>
    <row r="39" spans="1:7" x14ac:dyDescent="0.55000000000000004">
      <c r="A39" t="s">
        <v>126</v>
      </c>
      <c r="B39">
        <v>10</v>
      </c>
      <c r="C39" t="s">
        <v>129</v>
      </c>
    </row>
    <row r="40" spans="1:7" x14ac:dyDescent="0.55000000000000004">
      <c r="A40" t="s">
        <v>139</v>
      </c>
      <c r="B40">
        <v>130</v>
      </c>
      <c r="C40" t="s">
        <v>131</v>
      </c>
    </row>
    <row r="41" spans="1:7" x14ac:dyDescent="0.55000000000000004">
      <c r="A41" t="s">
        <v>137</v>
      </c>
      <c r="B41">
        <v>130</v>
      </c>
      <c r="C41" t="s">
        <v>131</v>
      </c>
    </row>
    <row r="42" spans="1:7" x14ac:dyDescent="0.55000000000000004">
      <c r="A42" t="s">
        <v>127</v>
      </c>
      <c r="B42">
        <v>6</v>
      </c>
      <c r="C42" t="s">
        <v>130</v>
      </c>
    </row>
    <row r="43" spans="1:7" x14ac:dyDescent="0.55000000000000004">
      <c r="A43" t="s">
        <v>128</v>
      </c>
      <c r="B43">
        <v>0.25</v>
      </c>
      <c r="C43" t="s">
        <v>129</v>
      </c>
    </row>
    <row r="45" spans="1:7" x14ac:dyDescent="0.55000000000000004">
      <c r="A45" s="13" t="s">
        <v>132</v>
      </c>
      <c r="B45" s="13" t="s">
        <v>138</v>
      </c>
      <c r="C45" s="13" t="s">
        <v>141</v>
      </c>
      <c r="D45" s="13" t="s">
        <v>144</v>
      </c>
      <c r="E45" s="13" t="s">
        <v>140</v>
      </c>
      <c r="F45" s="13" t="s">
        <v>142</v>
      </c>
      <c r="G45" s="13" t="s">
        <v>143</v>
      </c>
    </row>
    <row r="46" spans="1:7" ht="28.8" x14ac:dyDescent="0.55000000000000004">
      <c r="A46" t="s">
        <v>133</v>
      </c>
      <c r="B46">
        <v>125</v>
      </c>
      <c r="C46" t="s">
        <v>135</v>
      </c>
      <c r="D46" s="5" t="s">
        <v>145</v>
      </c>
      <c r="E46">
        <f>MAX(0,B40-B46)</f>
        <v>5</v>
      </c>
      <c r="F46">
        <f>(B40-B46)*B39</f>
        <v>50</v>
      </c>
      <c r="G46">
        <f>IF(E46=0,-B43,F46/B46 - B43)</f>
        <v>0.15000000000000002</v>
      </c>
    </row>
    <row r="47" spans="1:7" x14ac:dyDescent="0.55000000000000004">
      <c r="A47" t="s">
        <v>134</v>
      </c>
      <c r="B47">
        <v>135</v>
      </c>
      <c r="C47" t="s">
        <v>136</v>
      </c>
      <c r="D47" t="s">
        <v>146</v>
      </c>
      <c r="E47">
        <f>MAX(0,B40-B47)</f>
        <v>0</v>
      </c>
      <c r="F47">
        <v>0</v>
      </c>
      <c r="G47">
        <f>IF(E47=0,-B43,F47/B47-B43)</f>
        <v>-0.25</v>
      </c>
    </row>
    <row r="49" spans="1:2" x14ac:dyDescent="0.55000000000000004">
      <c r="A49" s="51" t="s">
        <v>148</v>
      </c>
    </row>
    <row r="50" spans="1:2" x14ac:dyDescent="0.55000000000000004">
      <c r="A50" s="51" t="s">
        <v>149</v>
      </c>
    </row>
    <row r="51" spans="1:2" x14ac:dyDescent="0.55000000000000004">
      <c r="A51" s="51"/>
    </row>
    <row r="53" spans="1:2" x14ac:dyDescent="0.55000000000000004">
      <c r="A53" s="46" t="s">
        <v>384</v>
      </c>
    </row>
    <row r="54" spans="1:2" x14ac:dyDescent="0.55000000000000004">
      <c r="A54" s="140" t="s">
        <v>219</v>
      </c>
      <c r="B54" s="10"/>
    </row>
    <row r="55" spans="1:2" x14ac:dyDescent="0.55000000000000004">
      <c r="A55" s="139" t="s">
        <v>390</v>
      </c>
      <c r="B55">
        <v>1.135</v>
      </c>
    </row>
    <row r="56" spans="1:2" x14ac:dyDescent="0.55000000000000004">
      <c r="A56" s="139" t="s">
        <v>401</v>
      </c>
      <c r="B56">
        <v>1.135</v>
      </c>
    </row>
    <row r="57" spans="1:2" x14ac:dyDescent="0.55000000000000004">
      <c r="A57" s="139" t="s">
        <v>385</v>
      </c>
      <c r="B57" s="1">
        <v>0.02</v>
      </c>
    </row>
    <row r="58" spans="1:2" x14ac:dyDescent="0.55000000000000004">
      <c r="A58" s="139" t="s">
        <v>386</v>
      </c>
      <c r="B58" s="1">
        <v>0.1</v>
      </c>
    </row>
    <row r="59" spans="1:2" x14ac:dyDescent="0.55000000000000004">
      <c r="A59" s="139" t="s">
        <v>391</v>
      </c>
      <c r="B59">
        <v>0.5</v>
      </c>
    </row>
    <row r="60" spans="1:2" x14ac:dyDescent="0.55000000000000004">
      <c r="A60" s="139" t="s">
        <v>405</v>
      </c>
      <c r="B60">
        <v>1000</v>
      </c>
    </row>
    <row r="61" spans="1:2" x14ac:dyDescent="0.55000000000000004">
      <c r="A61" s="139" t="s">
        <v>387</v>
      </c>
      <c r="B61" s="113">
        <v>1000000</v>
      </c>
    </row>
    <row r="62" spans="1:2" x14ac:dyDescent="0.55000000000000004">
      <c r="A62" s="139" t="s">
        <v>388</v>
      </c>
      <c r="B62" s="17" t="s">
        <v>389</v>
      </c>
    </row>
    <row r="63" spans="1:2" x14ac:dyDescent="0.55000000000000004">
      <c r="A63" s="139"/>
      <c r="B63" s="17"/>
    </row>
    <row r="64" spans="1:2" x14ac:dyDescent="0.55000000000000004">
      <c r="A64" s="141" t="s">
        <v>392</v>
      </c>
    </row>
    <row r="65" spans="1:10" x14ac:dyDescent="0.55000000000000004">
      <c r="A65" t="s">
        <v>209</v>
      </c>
      <c r="B65">
        <f>$B$58*SQRT($B$59)</f>
        <v>7.0710678118654766E-2</v>
      </c>
    </row>
    <row r="66" spans="1:10" x14ac:dyDescent="0.55000000000000004">
      <c r="A66" t="s">
        <v>368</v>
      </c>
      <c r="B66">
        <f>EXP(-B57*B59)</f>
        <v>0.99004983374916811</v>
      </c>
    </row>
    <row r="67" spans="1:10" x14ac:dyDescent="0.55000000000000004">
      <c r="A67" s="129" t="s">
        <v>207</v>
      </c>
      <c r="B67">
        <f>(LN(B55/B56)+(B57+B58/2))/B65</f>
        <v>0.98994949366116647</v>
      </c>
    </row>
    <row r="68" spans="1:10" x14ac:dyDescent="0.55000000000000004">
      <c r="A68" s="129" t="s">
        <v>208</v>
      </c>
      <c r="B68">
        <f>B67-B65</f>
        <v>0.91923881554251174</v>
      </c>
    </row>
    <row r="69" spans="1:10" x14ac:dyDescent="0.55000000000000004">
      <c r="A69" s="129" t="s">
        <v>371</v>
      </c>
      <c r="B69">
        <f>B55*_xlfn.NORM.S.DIST(B67,TRUE)-B56*B66*_xlfn.NORM.S.DIST(B68,TRUE)</f>
        <v>2.9572613000081738E-2</v>
      </c>
    </row>
    <row r="70" spans="1:10" x14ac:dyDescent="0.55000000000000004">
      <c r="A70" s="131" t="s">
        <v>370</v>
      </c>
      <c r="B70">
        <f>_xlfn.NORM.S.DIST(B67,TRUE)</f>
        <v>0.83890059691870922</v>
      </c>
    </row>
    <row r="71" spans="1:10" x14ac:dyDescent="0.55000000000000004">
      <c r="A71" s="129"/>
    </row>
    <row r="72" spans="1:10" x14ac:dyDescent="0.55000000000000004">
      <c r="A72" s="143" t="s">
        <v>393</v>
      </c>
    </row>
    <row r="73" spans="1:10" x14ac:dyDescent="0.55000000000000004">
      <c r="A73" s="142" t="s">
        <v>394</v>
      </c>
      <c r="B73" s="124">
        <f>B70*B61</f>
        <v>838900.59691870923</v>
      </c>
    </row>
    <row r="75" spans="1:10" x14ac:dyDescent="0.55000000000000004">
      <c r="A75" s="120" t="s">
        <v>132</v>
      </c>
      <c r="B75" s="120" t="s">
        <v>395</v>
      </c>
      <c r="C75" s="120" t="s">
        <v>396</v>
      </c>
      <c r="D75" s="120" t="s">
        <v>207</v>
      </c>
      <c r="E75" s="120" t="s">
        <v>208</v>
      </c>
      <c r="F75" s="120" t="s">
        <v>397</v>
      </c>
      <c r="G75" s="141" t="s">
        <v>28</v>
      </c>
      <c r="H75" s="141" t="s">
        <v>398</v>
      </c>
      <c r="I75" s="120" t="s">
        <v>399</v>
      </c>
      <c r="J75" s="120" t="s">
        <v>375</v>
      </c>
    </row>
    <row r="76" spans="1:10" x14ac:dyDescent="0.55000000000000004">
      <c r="A76" t="s">
        <v>325</v>
      </c>
      <c r="B76">
        <v>1.1000000000000001</v>
      </c>
      <c r="C76">
        <f>MAX(B76-$B$56,0)</f>
        <v>0</v>
      </c>
      <c r="D76">
        <f>(LN(B76/$B$56)+($B$57+$B$58/2)*$B$59)/$B$65</f>
        <v>5.2008112053287814E-2</v>
      </c>
      <c r="E76">
        <f>D76-$B$65</f>
        <v>-1.8702566065366952E-2</v>
      </c>
      <c r="F76">
        <f>B76*_xlfn.NORM.S.DIST(D76,TRUE)-$B$56*$B$66*_xlfn.NORM.S.DIST(E76,TRUE)</f>
        <v>1.9343253504820135E-2</v>
      </c>
      <c r="G76">
        <f>_xlfn.NORM.S.DIST(D76,TRUE)</f>
        <v>0.52073888516019462</v>
      </c>
      <c r="H76" s="122">
        <f>G76*$B$61</f>
        <v>520738.88516019459</v>
      </c>
      <c r="I76" s="122">
        <f>($B$55-B76)*H76</f>
        <v>18225.860980606769</v>
      </c>
      <c r="J76" s="122">
        <f>F76*$B$61+H76</f>
        <v>540082.13866501476</v>
      </c>
    </row>
    <row r="77" spans="1:10" x14ac:dyDescent="0.55000000000000004">
      <c r="A77" t="s">
        <v>326</v>
      </c>
      <c r="B77">
        <v>1.135</v>
      </c>
      <c r="C77">
        <f t="shared" ref="C77:C78" si="1">MAX(B77-$B$56,0)</f>
        <v>0</v>
      </c>
      <c r="D77">
        <f t="shared" ref="D77:D78" si="2">(LN(B77/$B$56)+($B$57+$B$58/2)*$B$59)/$B$65</f>
        <v>0.49497474683058323</v>
      </c>
      <c r="E77">
        <f t="shared" ref="E77:E78" si="3">D77-$B$65</f>
        <v>0.42426406871192845</v>
      </c>
      <c r="F77">
        <f t="shared" ref="F77:F78" si="4">B77*_xlfn.NORM.S.DIST(D77,TRUE)-$B$56*$B$66*_xlfn.NORM.S.DIST(E77,TRUE)</f>
        <v>3.6306011831597096E-2</v>
      </c>
      <c r="G77">
        <f t="shared" ref="G77:G78" si="5">_xlfn.NORM.S.DIST(D77,TRUE)</f>
        <v>0.68969102678115513</v>
      </c>
      <c r="H77" s="122">
        <f t="shared" ref="H77:H78" si="6">G77*$B$61</f>
        <v>689691.02678115515</v>
      </c>
      <c r="I77" s="122">
        <f t="shared" ref="I77:I78" si="7">($B$55-B77)*H77</f>
        <v>0</v>
      </c>
      <c r="J77" s="122">
        <f t="shared" ref="J77:J78" si="8">F77*$B$61+H77</f>
        <v>725997.03861275222</v>
      </c>
    </row>
    <row r="78" spans="1:10" x14ac:dyDescent="0.55000000000000004">
      <c r="A78" t="s">
        <v>327</v>
      </c>
      <c r="B78">
        <v>1.1599999999999999</v>
      </c>
      <c r="C78">
        <f t="shared" si="1"/>
        <v>2.4999999999999911E-2</v>
      </c>
      <c r="D78">
        <f t="shared" si="2"/>
        <v>0.80309446459580336</v>
      </c>
      <c r="E78">
        <f t="shared" si="3"/>
        <v>0.73238378647714864</v>
      </c>
      <c r="F78">
        <f t="shared" si="4"/>
        <v>5.2242797016994413E-2</v>
      </c>
      <c r="G78">
        <f t="shared" si="5"/>
        <v>0.78903993155632224</v>
      </c>
      <c r="H78" s="122">
        <f t="shared" si="6"/>
        <v>789039.93155632226</v>
      </c>
      <c r="I78" s="122">
        <f t="shared" si="7"/>
        <v>-19725.998288907987</v>
      </c>
      <c r="J78" s="122">
        <f t="shared" si="8"/>
        <v>841282.72857331671</v>
      </c>
    </row>
    <row r="80" spans="1:10" x14ac:dyDescent="0.55000000000000004">
      <c r="A80" s="120" t="s">
        <v>400</v>
      </c>
    </row>
    <row r="81" spans="1:5" x14ac:dyDescent="0.55000000000000004">
      <c r="A81" t="s">
        <v>403</v>
      </c>
      <c r="B81">
        <v>1.135</v>
      </c>
    </row>
    <row r="82" spans="1:5" x14ac:dyDescent="0.55000000000000004">
      <c r="A82" t="s">
        <v>402</v>
      </c>
      <c r="B82" s="113">
        <v>100</v>
      </c>
      <c r="C82" t="s">
        <v>404</v>
      </c>
    </row>
    <row r="84" spans="1:5" x14ac:dyDescent="0.55000000000000004">
      <c r="A84" s="120" t="s">
        <v>132</v>
      </c>
      <c r="B84" s="120" t="s">
        <v>395</v>
      </c>
      <c r="C84" s="120" t="s">
        <v>311</v>
      </c>
      <c r="D84" s="120" t="s">
        <v>406</v>
      </c>
      <c r="E84" s="141" t="s">
        <v>407</v>
      </c>
    </row>
    <row r="85" spans="1:5" x14ac:dyDescent="0.55000000000000004">
      <c r="A85" t="s">
        <v>325</v>
      </c>
      <c r="B85">
        <v>1.1000000000000001</v>
      </c>
      <c r="C85">
        <f>IF(B85&gt;$B$81,$B$82,0)</f>
        <v>0</v>
      </c>
      <c r="D85">
        <f>C85*$B$60</f>
        <v>0</v>
      </c>
      <c r="E85" s="122">
        <f>J76+D85</f>
        <v>540082.13866501476</v>
      </c>
    </row>
    <row r="86" spans="1:5" x14ac:dyDescent="0.55000000000000004">
      <c r="A86" t="s">
        <v>326</v>
      </c>
      <c r="B86">
        <v>1.135</v>
      </c>
      <c r="C86">
        <f t="shared" ref="C86:C87" si="9">IF(B86&gt;$B$81,$B$82,0)</f>
        <v>0</v>
      </c>
      <c r="D86">
        <f t="shared" ref="D86:D87" si="10">C86*$B$60</f>
        <v>0</v>
      </c>
      <c r="E86" s="122">
        <f t="shared" ref="E86:E87" si="11">J77+D86</f>
        <v>725997.03861275222</v>
      </c>
    </row>
    <row r="87" spans="1:5" x14ac:dyDescent="0.55000000000000004">
      <c r="A87" t="s">
        <v>327</v>
      </c>
      <c r="B87">
        <v>1.1599999999999999</v>
      </c>
      <c r="C87">
        <f t="shared" si="9"/>
        <v>100</v>
      </c>
      <c r="D87" s="124">
        <f t="shared" si="10"/>
        <v>100000</v>
      </c>
      <c r="E87" s="122">
        <f t="shared" si="11"/>
        <v>941282.72857331671</v>
      </c>
    </row>
  </sheetData>
  <conditionalFormatting sqref="F28:F29">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Convertible Bonds</vt:lpstr>
      <vt:lpstr>Dynamic Alpha</vt:lpstr>
      <vt:lpstr>Currency Overlay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Campus</dc:creator>
  <cp:lastModifiedBy>Daniele Campus</cp:lastModifiedBy>
  <dcterms:created xsi:type="dcterms:W3CDTF">2025-04-13T14:41:50Z</dcterms:created>
  <dcterms:modified xsi:type="dcterms:W3CDTF">2025-04-15T21:43:26Z</dcterms:modified>
</cp:coreProperties>
</file>