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equity_research/Buzzi SpA/"/>
    </mc:Choice>
  </mc:AlternateContent>
  <xr:revisionPtr revIDLastSave="2641" documentId="11_AD4D5CB4E552A5DACE1C6418181876DE5ADEDD8A" xr6:coauthVersionLast="47" xr6:coauthVersionMax="47" xr10:uidLastSave="{887355E6-4967-40B3-9B83-AA6D2ACE23A1}"/>
  <bookViews>
    <workbookView xWindow="57480" yWindow="-120" windowWidth="29040" windowHeight="15720" xr2:uid="{00000000-000D-0000-FFFF-FFFF00000000}"/>
  </bookViews>
  <sheets>
    <sheet name="assumptions" sheetId="2" r:id="rId1"/>
    <sheet name="dcf" sheetId="4" r:id="rId2"/>
    <sheet name="highlights" sheetId="9" r:id="rId3"/>
    <sheet name="income_statement" sheetId="1" r:id="rId4"/>
    <sheet name="balance_sheet" sheetId="7" r:id="rId5"/>
    <sheet name="cash_flow_statemen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4" l="1"/>
  <c r="D32" i="4"/>
  <c r="E32" i="4"/>
  <c r="F32" i="4"/>
  <c r="G32" i="4"/>
  <c r="B32" i="4"/>
  <c r="B31" i="4"/>
  <c r="J24" i="4"/>
  <c r="H44" i="9"/>
  <c r="B19" i="4"/>
  <c r="B25" i="9"/>
  <c r="J7" i="4"/>
  <c r="C14" i="9"/>
  <c r="D14" i="9"/>
  <c r="H14" i="9" s="1"/>
  <c r="J18" i="4" s="1"/>
  <c r="E14" i="9"/>
  <c r="F14" i="9"/>
  <c r="B14" i="9"/>
  <c r="C10" i="9"/>
  <c r="D10" i="9"/>
  <c r="E10" i="9"/>
  <c r="F10" i="9"/>
  <c r="B10" i="9"/>
  <c r="C8" i="9"/>
  <c r="D8" i="9"/>
  <c r="E8" i="9"/>
  <c r="F8" i="9"/>
  <c r="B8" i="9"/>
  <c r="B17" i="4"/>
  <c r="H17" i="4"/>
  <c r="G13" i="9"/>
  <c r="C13" i="9"/>
  <c r="D13" i="9"/>
  <c r="E13" i="9"/>
  <c r="F13" i="9"/>
  <c r="B13" i="9"/>
  <c r="B38" i="4"/>
  <c r="B53" i="9"/>
  <c r="F2" i="2" a="1"/>
  <c r="F2" i="2" s="1"/>
  <c r="B36" i="4" s="1"/>
  <c r="E2" i="2" a="1"/>
  <c r="E2" i="2" s="1"/>
  <c r="D2" i="2" a="1"/>
  <c r="D2" i="2" s="1"/>
  <c r="B49" i="4" s="1"/>
  <c r="C2" i="2" a="1"/>
  <c r="C2" i="2" s="1"/>
  <c r="B2" i="2" a="1"/>
  <c r="B2" i="2" s="1"/>
  <c r="F28" i="9"/>
  <c r="G34" i="9"/>
  <c r="G35" i="9"/>
  <c r="G36" i="9"/>
  <c r="G39" i="9"/>
  <c r="B8" i="4"/>
  <c r="B13" i="4"/>
  <c r="B14" i="4" s="1"/>
  <c r="C14" i="4" s="1"/>
  <c r="D14" i="4" s="1"/>
  <c r="E14" i="4" s="1"/>
  <c r="F14" i="4" s="1"/>
  <c r="G14" i="4" s="1"/>
  <c r="B11" i="4"/>
  <c r="C7" i="9"/>
  <c r="D7" i="9"/>
  <c r="E7" i="9"/>
  <c r="F7" i="9"/>
  <c r="C9" i="9"/>
  <c r="D9" i="9"/>
  <c r="E9" i="9"/>
  <c r="F9" i="9"/>
  <c r="B9" i="9"/>
  <c r="B7" i="9"/>
  <c r="B6" i="4"/>
  <c r="B15" i="4" s="1"/>
  <c r="B2" i="4"/>
  <c r="C25" i="9"/>
  <c r="D25" i="9"/>
  <c r="E25" i="9"/>
  <c r="F25" i="9"/>
  <c r="B28" i="9"/>
  <c r="C43" i="9"/>
  <c r="D43" i="9"/>
  <c r="E43" i="9"/>
  <c r="F43" i="9"/>
  <c r="B43" i="9"/>
  <c r="C23" i="9"/>
  <c r="D23" i="9"/>
  <c r="E23" i="9"/>
  <c r="F23" i="9"/>
  <c r="B23" i="9"/>
  <c r="C22" i="9"/>
  <c r="D22" i="9"/>
  <c r="E22" i="9"/>
  <c r="F22" i="9"/>
  <c r="B22" i="9"/>
  <c r="C55" i="9"/>
  <c r="D55" i="9"/>
  <c r="E55" i="9"/>
  <c r="F55" i="9"/>
  <c r="C53" i="9"/>
  <c r="B40" i="9"/>
  <c r="B55" i="9" s="1"/>
  <c r="E11" i="9"/>
  <c r="F11" i="9"/>
  <c r="D20" i="9"/>
  <c r="E37" i="9"/>
  <c r="E53" i="9" s="1"/>
  <c r="D37" i="9"/>
  <c r="D53" i="9" s="1"/>
  <c r="F37" i="9"/>
  <c r="F53" i="9" s="1"/>
  <c r="C6" i="9"/>
  <c r="D6" i="9"/>
  <c r="E6" i="9"/>
  <c r="F6" i="9"/>
  <c r="B6" i="9"/>
  <c r="C31" i="9"/>
  <c r="D31" i="9"/>
  <c r="E31" i="9"/>
  <c r="F31" i="9"/>
  <c r="B31" i="9"/>
  <c r="C28" i="9"/>
  <c r="D28" i="9"/>
  <c r="E28" i="9"/>
  <c r="C29" i="9"/>
  <c r="D29" i="9"/>
  <c r="E29" i="9"/>
  <c r="F29" i="9"/>
  <c r="B29" i="9"/>
  <c r="E15" i="9"/>
  <c r="E18" i="9" s="1"/>
  <c r="E19" i="9" s="1"/>
  <c r="F15" i="9"/>
  <c r="F18" i="9" s="1"/>
  <c r="F19" i="9" s="1"/>
  <c r="D59" i="7"/>
  <c r="D61" i="7" s="1"/>
  <c r="B37" i="7"/>
  <c r="C37" i="7"/>
  <c r="D37" i="7"/>
  <c r="E37" i="7"/>
  <c r="F37" i="7"/>
  <c r="B47" i="7"/>
  <c r="C47" i="7"/>
  <c r="D47" i="7"/>
  <c r="E47" i="7"/>
  <c r="F47" i="7"/>
  <c r="B59" i="7"/>
  <c r="B61" i="7" s="1"/>
  <c r="C59" i="7"/>
  <c r="C61" i="7" s="1"/>
  <c r="E59" i="7"/>
  <c r="E61" i="7" s="1"/>
  <c r="F59" i="7"/>
  <c r="F61" i="7" s="1"/>
  <c r="B23" i="7"/>
  <c r="C23" i="7"/>
  <c r="D23" i="7"/>
  <c r="E23" i="7"/>
  <c r="F23" i="7"/>
  <c r="B16" i="7"/>
  <c r="C16" i="7"/>
  <c r="D16" i="7"/>
  <c r="E16" i="7"/>
  <c r="F16" i="7"/>
  <c r="B31" i="8"/>
  <c r="C31" i="8"/>
  <c r="D31" i="8"/>
  <c r="E31" i="8"/>
  <c r="F31" i="8"/>
  <c r="B19" i="8"/>
  <c r="C19" i="8"/>
  <c r="D19" i="8"/>
  <c r="E19" i="8"/>
  <c r="F19" i="8"/>
  <c r="B7" i="8"/>
  <c r="C7" i="8"/>
  <c r="D7" i="8"/>
  <c r="E7" i="8"/>
  <c r="F7" i="8"/>
  <c r="D9" i="1"/>
  <c r="D12" i="1" s="1"/>
  <c r="D17" i="1" s="1"/>
  <c r="D19" i="1" s="1"/>
  <c r="C9" i="1"/>
  <c r="C12" i="1" s="1"/>
  <c r="C17" i="1" s="1"/>
  <c r="C19" i="1" s="1"/>
  <c r="C20" i="9" s="1"/>
  <c r="B9" i="1"/>
  <c r="B12" i="1" s="1"/>
  <c r="B17" i="1" s="1"/>
  <c r="B19" i="1" s="1"/>
  <c r="B20" i="9" s="1"/>
  <c r="E9" i="1"/>
  <c r="E12" i="1" s="1"/>
  <c r="E17" i="1" s="1"/>
  <c r="E19" i="1" s="1"/>
  <c r="E20" i="9" s="1"/>
  <c r="F9" i="1"/>
  <c r="F12" i="1" s="1"/>
  <c r="F17" i="1" s="1"/>
  <c r="F19" i="1" s="1"/>
  <c r="F20" i="9" s="1"/>
  <c r="B7" i="4" l="1"/>
  <c r="E17" i="9"/>
  <c r="G29" i="9"/>
  <c r="G31" i="9"/>
  <c r="G43" i="9"/>
  <c r="H23" i="4" s="1"/>
  <c r="E16" i="9"/>
  <c r="F16" i="9"/>
  <c r="F21" i="9"/>
  <c r="E21" i="9"/>
  <c r="B51" i="9"/>
  <c r="F17" i="9"/>
  <c r="E12" i="9"/>
  <c r="F12" i="9"/>
  <c r="B24" i="9"/>
  <c r="B26" i="9" s="1"/>
  <c r="B54" i="9" s="1"/>
  <c r="G7" i="9"/>
  <c r="G25" i="9"/>
  <c r="G6" i="9"/>
  <c r="G28" i="9"/>
  <c r="C44" i="9"/>
  <c r="B37" i="4"/>
  <c r="C51" i="9"/>
  <c r="G37" i="9"/>
  <c r="G22" i="9"/>
  <c r="G9" i="9"/>
  <c r="D24" i="9"/>
  <c r="D26" i="9" s="1"/>
  <c r="D54" i="9" s="1"/>
  <c r="F45" i="9"/>
  <c r="B25" i="4" s="1"/>
  <c r="F24" i="9"/>
  <c r="F26" i="9" s="1"/>
  <c r="G40" i="9"/>
  <c r="E44" i="9"/>
  <c r="G23" i="9"/>
  <c r="H21" i="4" s="1"/>
  <c r="G20" i="9"/>
  <c r="F51" i="9"/>
  <c r="B15" i="9"/>
  <c r="B4" i="4"/>
  <c r="B5" i="4" s="1"/>
  <c r="C5" i="4" s="1"/>
  <c r="D5" i="4" s="1"/>
  <c r="E5" i="4" s="1"/>
  <c r="F5" i="4" s="1"/>
  <c r="G5" i="4" s="1"/>
  <c r="H11" i="4"/>
  <c r="D11" i="9"/>
  <c r="D12" i="9" s="1"/>
  <c r="D15" i="9"/>
  <c r="C11" i="9"/>
  <c r="C12" i="9" s="1"/>
  <c r="B11" i="9"/>
  <c r="B21" i="9" s="1"/>
  <c r="C15" i="9"/>
  <c r="C17" i="9" s="1"/>
  <c r="B44" i="9"/>
  <c r="B16" i="4"/>
  <c r="B20" i="4"/>
  <c r="B23" i="4"/>
  <c r="B21" i="4"/>
  <c r="B26" i="4" s="1"/>
  <c r="H8" i="4"/>
  <c r="F44" i="9"/>
  <c r="E24" i="9"/>
  <c r="E26" i="9" s="1"/>
  <c r="E54" i="9" s="1"/>
  <c r="E51" i="9"/>
  <c r="C24" i="9"/>
  <c r="C26" i="9" s="1"/>
  <c r="C54" i="9" s="1"/>
  <c r="H13" i="4"/>
  <c r="D51" i="9"/>
  <c r="D44" i="9"/>
  <c r="H19" i="4"/>
  <c r="C19" i="4" s="1"/>
  <c r="D19" i="4" s="1"/>
  <c r="E19" i="4" s="1"/>
  <c r="F19" i="4" s="1"/>
  <c r="B12" i="4"/>
  <c r="C12" i="4" s="1"/>
  <c r="D12" i="4" s="1"/>
  <c r="E12" i="4" s="1"/>
  <c r="F12" i="4" s="1"/>
  <c r="G12" i="4" s="1"/>
  <c r="E45" i="9"/>
  <c r="B2" i="9"/>
  <c r="H6" i="9" s="1"/>
  <c r="D45" i="9"/>
  <c r="C45" i="9"/>
  <c r="F30" i="9"/>
  <c r="D30" i="9"/>
  <c r="D46" i="9" s="1"/>
  <c r="C30" i="9"/>
  <c r="C46" i="9" s="1"/>
  <c r="E30" i="9"/>
  <c r="E46" i="9" s="1"/>
  <c r="E52" i="9" s="1"/>
  <c r="B30" i="9"/>
  <c r="E49" i="9"/>
  <c r="F49" i="9"/>
  <c r="B33" i="8"/>
  <c r="B37" i="8" s="1"/>
  <c r="C33" i="8"/>
  <c r="C37" i="8" s="1"/>
  <c r="D33" i="8"/>
  <c r="D37" i="8" s="1"/>
  <c r="E33" i="8"/>
  <c r="E37" i="8" s="1"/>
  <c r="F33" i="8"/>
  <c r="F37" i="8" s="1"/>
  <c r="B50" i="7"/>
  <c r="B63" i="7" s="1"/>
  <c r="F50" i="7"/>
  <c r="F63" i="7" s="1"/>
  <c r="E50" i="7"/>
  <c r="E63" i="7" s="1"/>
  <c r="D26" i="7"/>
  <c r="C50" i="7"/>
  <c r="C63" i="7" s="1"/>
  <c r="C26" i="7"/>
  <c r="D50" i="7"/>
  <c r="D63" i="7" s="1"/>
  <c r="B26" i="7"/>
  <c r="F26" i="7"/>
  <c r="E26" i="7"/>
  <c r="C7" i="4" l="1"/>
  <c r="D7" i="4" s="1"/>
  <c r="E7" i="4" s="1"/>
  <c r="F7" i="4" s="1"/>
  <c r="G7" i="4" s="1"/>
  <c r="B18" i="4"/>
  <c r="C21" i="9"/>
  <c r="B29" i="4"/>
  <c r="B39" i="4"/>
  <c r="B40" i="4" s="1"/>
  <c r="D17" i="9"/>
  <c r="B17" i="9"/>
  <c r="B9" i="4"/>
  <c r="C9" i="4" s="1"/>
  <c r="D9" i="4" s="1"/>
  <c r="E9" i="4" s="1"/>
  <c r="F9" i="4" s="1"/>
  <c r="G9" i="4" s="1"/>
  <c r="D18" i="9"/>
  <c r="D19" i="9" s="1"/>
  <c r="D16" i="9"/>
  <c r="B18" i="9"/>
  <c r="B19" i="9" s="1"/>
  <c r="B16" i="9"/>
  <c r="C18" i="9"/>
  <c r="C19" i="9" s="1"/>
  <c r="C16" i="9"/>
  <c r="D21" i="9"/>
  <c r="B12" i="9"/>
  <c r="H12" i="9" s="1"/>
  <c r="J5" i="4" s="1"/>
  <c r="C52" i="9"/>
  <c r="C49" i="9"/>
  <c r="B46" i="9"/>
  <c r="B52" i="9" s="1"/>
  <c r="D52" i="9"/>
  <c r="D49" i="9"/>
  <c r="B49" i="9"/>
  <c r="H6" i="4"/>
  <c r="G15" i="9"/>
  <c r="F54" i="9"/>
  <c r="G26" i="9"/>
  <c r="B22" i="4"/>
  <c r="C22" i="4" s="1"/>
  <c r="F46" i="9"/>
  <c r="G30" i="9"/>
  <c r="H25" i="4"/>
  <c r="B24" i="4"/>
  <c r="C24" i="4" s="1"/>
  <c r="G19" i="4"/>
  <c r="I19" i="4" s="1"/>
  <c r="H2" i="4"/>
  <c r="I6" i="9"/>
  <c r="H49" i="9"/>
  <c r="B32" i="9"/>
  <c r="B56" i="9"/>
  <c r="E32" i="9"/>
  <c r="E50" i="9" s="1"/>
  <c r="E56" i="9"/>
  <c r="C32" i="9"/>
  <c r="C56" i="9"/>
  <c r="D32" i="9"/>
  <c r="D56" i="9"/>
  <c r="F32" i="9"/>
  <c r="G32" i="9" s="1"/>
  <c r="F56" i="9"/>
  <c r="B41" i="4" l="1"/>
  <c r="C18" i="4"/>
  <c r="D18" i="4" s="1"/>
  <c r="E18" i="4" s="1"/>
  <c r="F18" i="4" s="1"/>
  <c r="G18" i="4" s="1"/>
  <c r="D22" i="4"/>
  <c r="F3" i="4"/>
  <c r="E3" i="4"/>
  <c r="G3" i="4"/>
  <c r="D3" i="4"/>
  <c r="C3" i="4"/>
  <c r="C2" i="4" s="1"/>
  <c r="D24" i="4"/>
  <c r="H21" i="9"/>
  <c r="J9" i="4" s="1"/>
  <c r="H17" i="9"/>
  <c r="B42" i="4"/>
  <c r="D50" i="9"/>
  <c r="H19" i="9"/>
  <c r="G18" i="9"/>
  <c r="C50" i="9"/>
  <c r="H16" i="9"/>
  <c r="K7" i="4" s="1"/>
  <c r="B50" i="9"/>
  <c r="K5" i="4"/>
  <c r="H8" i="9"/>
  <c r="J12" i="4" s="1"/>
  <c r="H10" i="9"/>
  <c r="J14" i="4" s="1"/>
  <c r="F52" i="9"/>
  <c r="G46" i="9"/>
  <c r="F50" i="9"/>
  <c r="H31" i="4"/>
  <c r="B30" i="4"/>
  <c r="B27" i="4"/>
  <c r="I49" i="9"/>
  <c r="J6" i="9"/>
  <c r="C11" i="4" l="1"/>
  <c r="C6" i="4"/>
  <c r="C13" i="4"/>
  <c r="C21" i="4"/>
  <c r="C23" i="4"/>
  <c r="C25" i="4" s="1"/>
  <c r="E24" i="4"/>
  <c r="D23" i="4"/>
  <c r="K18" i="4"/>
  <c r="E22" i="4"/>
  <c r="C4" i="4"/>
  <c r="D2" i="4"/>
  <c r="D21" i="4" s="1"/>
  <c r="C20" i="4"/>
  <c r="J32" i="4"/>
  <c r="C31" i="4"/>
  <c r="D25" i="4"/>
  <c r="J49" i="9"/>
  <c r="K6" i="9"/>
  <c r="D31" i="4" l="1"/>
  <c r="E31" i="4" s="1"/>
  <c r="F31" i="4" s="1"/>
  <c r="G31" i="4" s="1"/>
  <c r="F24" i="4"/>
  <c r="D13" i="4"/>
  <c r="D6" i="4"/>
  <c r="D11" i="4"/>
  <c r="C15" i="4"/>
  <c r="C26" i="4" s="1"/>
  <c r="C17" i="4"/>
  <c r="F22" i="4"/>
  <c r="E21" i="4"/>
  <c r="D4" i="4"/>
  <c r="E2" i="4"/>
  <c r="D20" i="4"/>
  <c r="K49" i="9"/>
  <c r="L6" i="9"/>
  <c r="L49" i="9" s="1"/>
  <c r="G22" i="4" l="1"/>
  <c r="G24" i="4"/>
  <c r="C16" i="4"/>
  <c r="E13" i="4"/>
  <c r="E6" i="4"/>
  <c r="E11" i="4"/>
  <c r="D15" i="4"/>
  <c r="D17" i="4"/>
  <c r="E23" i="4"/>
  <c r="E25" i="4" s="1"/>
  <c r="E4" i="4"/>
  <c r="F2" i="4"/>
  <c r="E20" i="4"/>
  <c r="D16" i="4"/>
  <c r="F13" i="4" l="1"/>
  <c r="F6" i="4"/>
  <c r="F11" i="4"/>
  <c r="E15" i="4"/>
  <c r="E17" i="4"/>
  <c r="D26" i="4"/>
  <c r="F23" i="4"/>
  <c r="F25" i="4" s="1"/>
  <c r="F21" i="4"/>
  <c r="F4" i="4"/>
  <c r="F20" i="4"/>
  <c r="G2" i="4"/>
  <c r="E16" i="4"/>
  <c r="G20" i="4" l="1"/>
  <c r="G13" i="4"/>
  <c r="I13" i="4" s="1"/>
  <c r="G6" i="4"/>
  <c r="G11" i="4"/>
  <c r="I11" i="4" s="1"/>
  <c r="F15" i="4"/>
  <c r="F26" i="4" s="1"/>
  <c r="F17" i="4"/>
  <c r="E26" i="4"/>
  <c r="G23" i="4"/>
  <c r="G21" i="4"/>
  <c r="I21" i="4" s="1"/>
  <c r="I2" i="4"/>
  <c r="G4" i="4"/>
  <c r="G17" i="4" s="1"/>
  <c r="K32" i="4"/>
  <c r="I23" i="4" l="1"/>
  <c r="G25" i="4"/>
  <c r="F16" i="4"/>
  <c r="G15" i="4"/>
  <c r="I4" i="4"/>
  <c r="I6" i="4" l="1"/>
  <c r="G16" i="4"/>
  <c r="G26" i="4"/>
  <c r="C8" i="4" l="1"/>
  <c r="D8" i="4"/>
  <c r="E8" i="4"/>
  <c r="G8" i="4"/>
  <c r="F8" i="4"/>
  <c r="K9" i="4"/>
  <c r="I8" i="4" l="1"/>
  <c r="C27" i="4"/>
  <c r="C28" i="4"/>
  <c r="C29" i="4"/>
  <c r="C30" i="4"/>
  <c r="F29" i="4"/>
  <c r="F27" i="4"/>
  <c r="F30" i="4"/>
  <c r="F28" i="4"/>
  <c r="D29" i="4"/>
  <c r="D27" i="4"/>
  <c r="D28" i="4"/>
  <c r="D30" i="4"/>
  <c r="B44" i="4"/>
  <c r="B45" i="4" s="1"/>
  <c r="G28" i="4"/>
  <c r="G30" i="4"/>
  <c r="G29" i="4"/>
  <c r="G27" i="4"/>
  <c r="E30" i="4"/>
  <c r="E29" i="4"/>
  <c r="E28" i="4"/>
  <c r="E27" i="4"/>
  <c r="B46" i="4" l="1"/>
  <c r="B47" i="4" s="1"/>
  <c r="B48" i="4" s="1"/>
  <c r="B5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<sst xmlns="http://schemas.openxmlformats.org/spreadsheetml/2006/main" count="255" uniqueCount="209">
  <si>
    <t>Other operating revenues</t>
  </si>
  <si>
    <t>Services</t>
  </si>
  <si>
    <t>Other operating costs</t>
  </si>
  <si>
    <t>Net Revenues</t>
  </si>
  <si>
    <t>Changes in inventories of finished and semi'finished products</t>
  </si>
  <si>
    <t>Raw materials, supplies and consumables</t>
  </si>
  <si>
    <t>Personnel costs</t>
  </si>
  <si>
    <t>Impairments</t>
  </si>
  <si>
    <t>Amortization and Depreciation</t>
  </si>
  <si>
    <t>Operating Profit (EBIT)</t>
  </si>
  <si>
    <t>Gross Operating Profit (EBITDA)</t>
  </si>
  <si>
    <t>Share of profits from equity-accounted associates and joint ventures</t>
  </si>
  <si>
    <t>Gains on disposal of investments</t>
  </si>
  <si>
    <t>Income Taxes</t>
  </si>
  <si>
    <t>Net Profit for the year</t>
  </si>
  <si>
    <t>Attributable to:</t>
  </si>
  <si>
    <t>Earning per share (EPS)</t>
  </si>
  <si>
    <t>Basic</t>
  </si>
  <si>
    <t xml:space="preserve">   Common</t>
  </si>
  <si>
    <t xml:space="preserve">   Shareholders of company</t>
  </si>
  <si>
    <t xml:space="preserve">   Minority interests</t>
  </si>
  <si>
    <t>Financial income</t>
  </si>
  <si>
    <t>Financial expenses</t>
  </si>
  <si>
    <t>Earning Before Taxes (EBT)</t>
  </si>
  <si>
    <t>(thousands of euro)</t>
  </si>
  <si>
    <t xml:space="preserve">   Savings</t>
  </si>
  <si>
    <t>2023</t>
  </si>
  <si>
    <t>2022</t>
  </si>
  <si>
    <t>2021</t>
  </si>
  <si>
    <t>2020</t>
  </si>
  <si>
    <t>2019</t>
  </si>
  <si>
    <t>Cash flowfrom operating activities</t>
  </si>
  <si>
    <t>Cash generated from operations</t>
  </si>
  <si>
    <t>Interest paid</t>
  </si>
  <si>
    <t>Income taxes paid</t>
  </si>
  <si>
    <t>Net cash flow from operating activities</t>
  </si>
  <si>
    <t>Cash flow from investing activities</t>
  </si>
  <si>
    <t>Investment in intangible assets</t>
  </si>
  <si>
    <t>Investment in tangible assets</t>
  </si>
  <si>
    <t>Investment in other equity interests</t>
  </si>
  <si>
    <t>Proceeds from disposal of tangible and intangible assets</t>
  </si>
  <si>
    <t>Proceeds from disposal of equity interests</t>
  </si>
  <si>
    <t>Change in financial receivables</t>
  </si>
  <si>
    <t>Dividends received from investments</t>
  </si>
  <si>
    <t>Interest received</t>
  </si>
  <si>
    <t>Cash flow from financing activities</t>
  </si>
  <si>
    <t>Proceeds from long-term borrowings</t>
  </si>
  <si>
    <t>Repayment of long-term borrowings</t>
  </si>
  <si>
    <t>Net change in short-term borrowings</t>
  </si>
  <si>
    <t>Lease liability repayments</t>
  </si>
  <si>
    <t>Change in other financial liabilities</t>
  </si>
  <si>
    <t>Change in non-controlling interests without loss of control</t>
  </si>
  <si>
    <t>Purchase of treasury shares</t>
  </si>
  <si>
    <t>Dividends paid to shareholders</t>
  </si>
  <si>
    <t>Dividends paid to minority interests</t>
  </si>
  <si>
    <t>Net cash flow from (used in) financing activities</t>
  </si>
  <si>
    <t>Change in cash and cash equivalents</t>
  </si>
  <si>
    <t>Opening cash balance</t>
  </si>
  <si>
    <t>Currency in scope of consolidation</t>
  </si>
  <si>
    <t>Change in scope of consolidation</t>
  </si>
  <si>
    <t>Closing cash balance</t>
  </si>
  <si>
    <t>Assets</t>
  </si>
  <si>
    <t>Non-current assets</t>
  </si>
  <si>
    <t>Goodwill</t>
  </si>
  <si>
    <t>Right-of-use assets</t>
  </si>
  <si>
    <t>Property, plan and equipment (PP&amp;E)</t>
  </si>
  <si>
    <t>Investment properties</t>
  </si>
  <si>
    <t>Investments in associates and joint ventures</t>
  </si>
  <si>
    <t>Investments at fair value</t>
  </si>
  <si>
    <t>Deferred tax assets</t>
  </si>
  <si>
    <t>Defined benefit plan assets</t>
  </si>
  <si>
    <t>Derivative financial instruments</t>
  </si>
  <si>
    <t>Receivables and other non-current assets</t>
  </si>
  <si>
    <t>Total non-current assets</t>
  </si>
  <si>
    <t>Current assets</t>
  </si>
  <si>
    <t>Inventories</t>
  </si>
  <si>
    <t>Trade receivables</t>
  </si>
  <si>
    <t>Other receivables</t>
  </si>
  <si>
    <t>Cash and cash equivalent</t>
  </si>
  <si>
    <t>Total current assets</t>
  </si>
  <si>
    <t>Assets held for sale</t>
  </si>
  <si>
    <t>Liabilities</t>
  </si>
  <si>
    <t>Non-current liabilities</t>
  </si>
  <si>
    <t>Long-term financial liabilities</t>
  </si>
  <si>
    <t>Lease liabilities</t>
  </si>
  <si>
    <t>Employee benefits</t>
  </si>
  <si>
    <t>Provisions for risk and charges</t>
  </si>
  <si>
    <t>Deferred tax liabilities</t>
  </si>
  <si>
    <t>Other non-current liabilities</t>
  </si>
  <si>
    <t>Total non-current liabilities</t>
  </si>
  <si>
    <t>Current liabilities</t>
  </si>
  <si>
    <t>Current quote of long-term financial liabilities</t>
  </si>
  <si>
    <t>Short-term financial liabilities</t>
  </si>
  <si>
    <t>Current quote of lease liabilities</t>
  </si>
  <si>
    <t>Trade payables</t>
  </si>
  <si>
    <t>Current tax liabilities</t>
  </si>
  <si>
    <t>Provisions for risks and charges</t>
  </si>
  <si>
    <t>Other current liabilities</t>
  </si>
  <si>
    <t>Total current liabilities</t>
  </si>
  <si>
    <t>Equity</t>
  </si>
  <si>
    <t>Shareholders equity</t>
  </si>
  <si>
    <t>Share capital</t>
  </si>
  <si>
    <t xml:space="preserve">Share premium reserve </t>
  </si>
  <si>
    <t>Other reserve</t>
  </si>
  <si>
    <t>Retained earnings</t>
  </si>
  <si>
    <t>Treasury shares</t>
  </si>
  <si>
    <t>Non-controlling interests</t>
  </si>
  <si>
    <t>Total controlling equity</t>
  </si>
  <si>
    <t>Total equity</t>
  </si>
  <si>
    <t>Total Assets</t>
  </si>
  <si>
    <t>Liabilities held for sale</t>
  </si>
  <si>
    <t>Total Liabilities</t>
  </si>
  <si>
    <t>Total Equity and Liabilities</t>
  </si>
  <si>
    <t>Acquisition of subsidiaries, net of cash acquired</t>
  </si>
  <si>
    <t>Net cash flow from (used in) investing activities</t>
  </si>
  <si>
    <t>Other intangible assets</t>
  </si>
  <si>
    <t>WACC</t>
  </si>
  <si>
    <t>EBIT</t>
  </si>
  <si>
    <t>EBITDA</t>
  </si>
  <si>
    <t>EPS</t>
  </si>
  <si>
    <t>Net (debt) / cash</t>
  </si>
  <si>
    <t>Revenues</t>
  </si>
  <si>
    <t>Highlights (EURe03)</t>
  </si>
  <si>
    <t>Profitability/valuation</t>
  </si>
  <si>
    <t>EBIT margin %</t>
  </si>
  <si>
    <t>ROIC (EBIT) %</t>
  </si>
  <si>
    <t>EV/EBITDA x</t>
  </si>
  <si>
    <t>P/E x</t>
  </si>
  <si>
    <t>Equity FCF yield %</t>
  </si>
  <si>
    <t>Dividend yield %</t>
  </si>
  <si>
    <t>2024E</t>
  </si>
  <si>
    <t>2025E</t>
  </si>
  <si>
    <t>2026E</t>
  </si>
  <si>
    <t>2027E</t>
  </si>
  <si>
    <t>2028E</t>
  </si>
  <si>
    <t>Invested capital</t>
  </si>
  <si>
    <t>Net Debt</t>
  </si>
  <si>
    <t>Total debt</t>
  </si>
  <si>
    <t>Cash &amp; equivalents</t>
  </si>
  <si>
    <t>Market capitalization</t>
  </si>
  <si>
    <t>tax rate</t>
  </si>
  <si>
    <t>NOPAT</t>
  </si>
  <si>
    <t>weighted average # of shares</t>
  </si>
  <si>
    <t xml:space="preserve">notice: DPS = EPS </t>
  </si>
  <si>
    <t>FCF to Equity (FCFE)</t>
  </si>
  <si>
    <t>Net income</t>
  </si>
  <si>
    <t>Enterprise value (EV)</t>
  </si>
  <si>
    <t xml:space="preserve">Dividends </t>
  </si>
  <si>
    <t>Dividends per share</t>
  </si>
  <si>
    <t>Price per share</t>
  </si>
  <si>
    <t>Capex</t>
  </si>
  <si>
    <t>Cash flow from operation</t>
  </si>
  <si>
    <t>Changes in WC</t>
  </si>
  <si>
    <t>Working Capital (WC)</t>
  </si>
  <si>
    <t>Net borrowing</t>
  </si>
  <si>
    <t>COGS</t>
  </si>
  <si>
    <t>Compounded Annual Growth Rate (CAGR)</t>
  </si>
  <si>
    <t>(in EURe03)</t>
  </si>
  <si>
    <t>OPEX</t>
  </si>
  <si>
    <t>% of sales</t>
  </si>
  <si>
    <t>D&amp;A</t>
  </si>
  <si>
    <t xml:space="preserve">EBIT </t>
  </si>
  <si>
    <t>Net profit</t>
  </si>
  <si>
    <t>19-23 CAGR</t>
  </si>
  <si>
    <t>23-28E CAGR</t>
  </si>
  <si>
    <t>Net profit margin</t>
  </si>
  <si>
    <t>WC</t>
  </si>
  <si>
    <t>% sales</t>
  </si>
  <si>
    <t>FCF</t>
  </si>
  <si>
    <t>ROIC</t>
  </si>
  <si>
    <t>EBITDA to cash conversion</t>
  </si>
  <si>
    <t>EBIT to cash conversion</t>
  </si>
  <si>
    <t>WACC (estimated by Buzzi)</t>
  </si>
  <si>
    <t>Terminal Value</t>
  </si>
  <si>
    <t>Year</t>
  </si>
  <si>
    <t>PV</t>
  </si>
  <si>
    <t>PV_TV</t>
  </si>
  <si>
    <t>EV</t>
  </si>
  <si>
    <t>-</t>
  </si>
  <si>
    <t>Equity Value</t>
  </si>
  <si>
    <t>Price target (PT)</t>
  </si>
  <si>
    <t>Outstanding Shares</t>
  </si>
  <si>
    <t>Market Capitalization</t>
  </si>
  <si>
    <t>Price</t>
  </si>
  <si>
    <t>Beta</t>
  </si>
  <si>
    <t>Current Price</t>
  </si>
  <si>
    <t>Expected Change</t>
  </si>
  <si>
    <t>P/E</t>
  </si>
  <si>
    <t>Rf</t>
  </si>
  <si>
    <t>Rm</t>
  </si>
  <si>
    <t>ke</t>
  </si>
  <si>
    <t>kd</t>
  </si>
  <si>
    <t>E/(E+D)</t>
  </si>
  <si>
    <t>D/(E+D)</t>
  </si>
  <si>
    <t>26-28E CAGR</t>
  </si>
  <si>
    <t>growth rate</t>
  </si>
  <si>
    <t>CAGR revenues</t>
  </si>
  <si>
    <t>2024</t>
  </si>
  <si>
    <t>19-23 AVG</t>
  </si>
  <si>
    <t>% EBITDA</t>
  </si>
  <si>
    <t>margin EBITDA</t>
  </si>
  <si>
    <t>BUND 10y</t>
  </si>
  <si>
    <t>Growth revenues based on CAGR</t>
  </si>
  <si>
    <t>Assumptions:</t>
  </si>
  <si>
    <t>terminal growth rate</t>
  </si>
  <si>
    <t>19-23 AVG margin</t>
  </si>
  <si>
    <t>26-28E AVG margin</t>
  </si>
  <si>
    <t>EBITDA,EBIT, Net Profit margin on sales</t>
  </si>
  <si>
    <t>All the margins are based on 2023 margins reduced each year to get closer to the 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</si>
</sst>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6" formatCode="#,##0\ &quot;€&quot;;[Red]\-#,##0\ &quot;€&quot;"/>
    <numFmt numFmtId="164" formatCode="_-* #,##0.00\ [$€-410]_-;\-* #,##0.00\ [$€-410]_-;_-* &quot;-&quot;??\ [$€-410]_-;_-@_-"/>
    <numFmt numFmtId="165" formatCode="#,##0.00\ &quot;€&quot;"/>
    <numFmt numFmtId="166" formatCode="#,##0.000\ &quot;€&quot;"/>
    <numFmt numFmtId="167" formatCode="#,##0.0\ &quot;€&quot;"/>
    <numFmt numFmtId="168" formatCode="#,##0\ &quot;€&quot;"/>
    <numFmt numFmtId="169" formatCode="0.0%"/>
    <numFmt numFmtId="170" formatCode="#,##0.0\ &quot;€&quot;;[Red]\-#,##0.0\ &quot;€&quot;"/>
    <numFmt numFmtId="171" formatCode="_([$€-2]\ * #,##0.00_);_([$€-2]\ * \(#,##0.00\);_([$€-2]\ * &quot;-&quot;??_);_(@_)"/>
    <numFmt numFmtId="172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6" fontId="0" fillId="0" borderId="0" xfId="0" applyNumberFormat="1"/>
    <xf numFmtId="6" fontId="0" fillId="0" borderId="1" xfId="0" applyNumberFormat="1" applyBorder="1"/>
    <xf numFmtId="6" fontId="0" fillId="0" borderId="2" xfId="0" applyNumberFormat="1" applyBorder="1"/>
    <xf numFmtId="6" fontId="1" fillId="0" borderId="0" xfId="0" applyNumberFormat="1" applyFont="1"/>
    <xf numFmtId="0" fontId="1" fillId="2" borderId="1" xfId="0" applyFont="1" applyFill="1" applyBorder="1"/>
    <xf numFmtId="6" fontId="0" fillId="2" borderId="1" xfId="0" applyNumberFormat="1" applyFill="1" applyBorder="1"/>
    <xf numFmtId="0" fontId="1" fillId="0" borderId="3" xfId="0" applyFont="1" applyBorder="1"/>
    <xf numFmtId="6" fontId="0" fillId="0" borderId="3" xfId="0" applyNumberFormat="1" applyBorder="1"/>
    <xf numFmtId="6" fontId="1" fillId="0" borderId="3" xfId="0" applyNumberFormat="1" applyFont="1" applyBorder="1"/>
    <xf numFmtId="0" fontId="1" fillId="2" borderId="0" xfId="0" applyFont="1" applyFill="1"/>
    <xf numFmtId="6" fontId="1" fillId="2" borderId="0" xfId="0" applyNumberFormat="1" applyFont="1" applyFill="1"/>
    <xf numFmtId="0" fontId="1" fillId="3" borderId="1" xfId="0" applyFont="1" applyFill="1" applyBorder="1"/>
    <xf numFmtId="6" fontId="0" fillId="3" borderId="1" xfId="0" applyNumberFormat="1" applyFill="1" applyBorder="1"/>
    <xf numFmtId="6" fontId="1" fillId="3" borderId="1" xfId="0" applyNumberFormat="1" applyFont="1" applyFill="1" applyBorder="1"/>
    <xf numFmtId="0" fontId="1" fillId="4" borderId="1" xfId="0" applyFont="1" applyFill="1" applyBorder="1"/>
    <xf numFmtId="6" fontId="0" fillId="4" borderId="1" xfId="0" applyNumberFormat="1" applyFill="1" applyBorder="1"/>
    <xf numFmtId="6" fontId="1" fillId="4" borderId="1" xfId="0" applyNumberFormat="1" applyFont="1" applyFill="1" applyBorder="1"/>
    <xf numFmtId="0" fontId="1" fillId="5" borderId="1" xfId="0" applyFont="1" applyFill="1" applyBorder="1"/>
    <xf numFmtId="6" fontId="1" fillId="5" borderId="1" xfId="0" applyNumberFormat="1" applyFont="1" applyFill="1" applyBorder="1"/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6" borderId="0" xfId="0" applyFont="1" applyFill="1" applyAlignment="1">
      <alignment wrapText="1"/>
    </xf>
    <xf numFmtId="6" fontId="1" fillId="6" borderId="0" xfId="0" applyNumberFormat="1" applyFont="1" applyFill="1"/>
    <xf numFmtId="0" fontId="1" fillId="0" borderId="1" xfId="0" applyFont="1" applyBorder="1" applyAlignment="1">
      <alignment wrapText="1"/>
    </xf>
    <xf numFmtId="0" fontId="1" fillId="6" borderId="2" xfId="0" applyFont="1" applyFill="1" applyBorder="1"/>
    <xf numFmtId="6" fontId="1" fillId="6" borderId="2" xfId="0" applyNumberFormat="1" applyFont="1" applyFill="1" applyBorder="1"/>
    <xf numFmtId="0" fontId="1" fillId="6" borderId="0" xfId="0" applyFont="1" applyFill="1"/>
    <xf numFmtId="0" fontId="1" fillId="7" borderId="2" xfId="0" applyFont="1" applyFill="1" applyBorder="1"/>
    <xf numFmtId="6" fontId="0" fillId="7" borderId="2" xfId="0" applyNumberFormat="1" applyFill="1" applyBorder="1"/>
    <xf numFmtId="0" fontId="1" fillId="7" borderId="0" xfId="0" applyFont="1" applyFill="1"/>
    <xf numFmtId="6" fontId="1" fillId="7" borderId="0" xfId="0" applyNumberFormat="1" applyFont="1" applyFill="1"/>
    <xf numFmtId="0" fontId="1" fillId="8" borderId="0" xfId="0" applyFont="1" applyFill="1"/>
    <xf numFmtId="6" fontId="1" fillId="8" borderId="0" xfId="0" applyNumberFormat="1" applyFont="1" applyFill="1"/>
    <xf numFmtId="0" fontId="1" fillId="8" borderId="2" xfId="0" applyFont="1" applyFill="1" applyBorder="1"/>
    <xf numFmtId="6" fontId="0" fillId="8" borderId="2" xfId="0" applyNumberFormat="1" applyFill="1" applyBorder="1"/>
    <xf numFmtId="0" fontId="1" fillId="5" borderId="0" xfId="0" applyFont="1" applyFill="1"/>
    <xf numFmtId="6" fontId="1" fillId="5" borderId="0" xfId="0" applyNumberFormat="1" applyFont="1" applyFill="1"/>
    <xf numFmtId="0" fontId="1" fillId="5" borderId="2" xfId="0" applyFont="1" applyFill="1" applyBorder="1"/>
    <xf numFmtId="164" fontId="0" fillId="5" borderId="2" xfId="0" applyNumberFormat="1" applyFill="1" applyBorder="1"/>
    <xf numFmtId="9" fontId="0" fillId="0" borderId="0" xfId="0" applyNumberFormat="1"/>
    <xf numFmtId="9" fontId="0" fillId="0" borderId="0" xfId="1" applyFont="1"/>
    <xf numFmtId="10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6" borderId="1" xfId="0" applyFont="1" applyFill="1" applyBorder="1"/>
    <xf numFmtId="166" fontId="1" fillId="0" borderId="0" xfId="0" applyNumberFormat="1" applyFont="1"/>
    <xf numFmtId="165" fontId="1" fillId="0" borderId="0" xfId="0" applyNumberFormat="1" applyFont="1"/>
    <xf numFmtId="166" fontId="0" fillId="0" borderId="2" xfId="0" applyNumberFormat="1" applyBorder="1"/>
    <xf numFmtId="1" fontId="0" fillId="0" borderId="2" xfId="0" applyNumberFormat="1" applyBorder="1"/>
    <xf numFmtId="169" fontId="0" fillId="0" borderId="0" xfId="1" applyNumberFormat="1" applyFont="1"/>
    <xf numFmtId="170" fontId="0" fillId="0" borderId="0" xfId="0" applyNumberFormat="1"/>
    <xf numFmtId="0" fontId="4" fillId="0" borderId="0" xfId="0" applyFont="1"/>
    <xf numFmtId="169" fontId="1" fillId="0" borderId="0" xfId="1" applyNumberFormat="1" applyFont="1"/>
    <xf numFmtId="169" fontId="4" fillId="0" borderId="0" xfId="1" applyNumberFormat="1" applyFont="1"/>
    <xf numFmtId="0" fontId="1" fillId="6" borderId="1" xfId="0" applyFont="1" applyFill="1" applyBorder="1" applyAlignment="1">
      <alignment horizontal="right"/>
    </xf>
    <xf numFmtId="170" fontId="1" fillId="0" borderId="0" xfId="0" applyNumberFormat="1" applyFont="1"/>
    <xf numFmtId="0" fontId="4" fillId="0" borderId="0" xfId="0" applyFont="1" applyAlignment="1">
      <alignment horizontal="right" vertical="top"/>
    </xf>
    <xf numFmtId="169" fontId="4" fillId="0" borderId="0" xfId="1" applyNumberFormat="1" applyFont="1" applyAlignment="1">
      <alignment vertical="top"/>
    </xf>
    <xf numFmtId="0" fontId="4" fillId="0" borderId="0" xfId="0" applyFont="1" applyAlignment="1">
      <alignment horizontal="left"/>
    </xf>
    <xf numFmtId="164" fontId="0" fillId="0" borderId="0" xfId="0" applyNumberFormat="1"/>
    <xf numFmtId="168" fontId="1" fillId="0" borderId="0" xfId="0" applyNumberFormat="1" applyFont="1"/>
    <xf numFmtId="167" fontId="1" fillId="0" borderId="0" xfId="0" applyNumberFormat="1" applyFont="1"/>
    <xf numFmtId="169" fontId="4" fillId="0" borderId="0" xfId="1" applyNumberFormat="1" applyFont="1" applyAlignment="1">
      <alignment horizontal="right" vertical="top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right"/>
    </xf>
    <xf numFmtId="10" fontId="0" fillId="0" borderId="0" xfId="0" applyNumberFormat="1"/>
    <xf numFmtId="0" fontId="4" fillId="0" borderId="1" xfId="0" applyFont="1" applyBorder="1" applyAlignment="1">
      <alignment horizontal="right" vertical="top"/>
    </xf>
    <xf numFmtId="169" fontId="4" fillId="0" borderId="1" xfId="1" applyNumberFormat="1" applyFont="1" applyBorder="1" applyAlignment="1">
      <alignment vertical="top"/>
    </xf>
    <xf numFmtId="164" fontId="2" fillId="0" borderId="0" xfId="1" applyNumberFormat="1" applyFont="1"/>
    <xf numFmtId="169" fontId="1" fillId="0" borderId="1" xfId="1" applyNumberFormat="1" applyFont="1" applyBorder="1"/>
    <xf numFmtId="10" fontId="0" fillId="0" borderId="1" xfId="0" applyNumberFormat="1" applyBorder="1"/>
    <xf numFmtId="169" fontId="0" fillId="0" borderId="1" xfId="0" applyNumberFormat="1" applyBorder="1"/>
    <xf numFmtId="0" fontId="0" fillId="0" borderId="4" xfId="0" applyBorder="1"/>
    <xf numFmtId="0" fontId="1" fillId="0" borderId="5" xfId="0" applyFont="1" applyBorder="1"/>
    <xf numFmtId="4" fontId="1" fillId="0" borderId="5" xfId="0" applyNumberFormat="1" applyFont="1" applyBorder="1"/>
    <xf numFmtId="171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3" fontId="0" fillId="0" borderId="1" xfId="0" applyNumberFormat="1" applyBorder="1"/>
    <xf numFmtId="171" fontId="0" fillId="0" borderId="1" xfId="0" applyNumberFormat="1" applyBorder="1"/>
    <xf numFmtId="4" fontId="0" fillId="0" borderId="1" xfId="0" applyNumberFormat="1" applyBorder="1"/>
    <xf numFmtId="4" fontId="0" fillId="0" borderId="8" xfId="0" applyNumberFormat="1" applyBorder="1"/>
    <xf numFmtId="0" fontId="1" fillId="6" borderId="9" xfId="0" applyFont="1" applyFill="1" applyBorder="1" applyAlignment="1">
      <alignment horizontal="right"/>
    </xf>
    <xf numFmtId="172" fontId="0" fillId="0" borderId="0" xfId="0" applyNumberFormat="1"/>
    <xf numFmtId="172" fontId="0" fillId="0" borderId="2" xfId="0" applyNumberFormat="1" applyBorder="1"/>
    <xf numFmtId="169" fontId="0" fillId="0" borderId="0" xfId="0" applyNumberFormat="1"/>
    <xf numFmtId="6" fontId="0" fillId="0" borderId="0" xfId="0" applyNumberFormat="1" applyBorder="1"/>
    <xf numFmtId="9" fontId="0" fillId="0" borderId="0" xfId="1" applyFont="1" applyBorder="1"/>
    <xf numFmtId="9" fontId="4" fillId="0" borderId="0" xfId="1" applyFont="1"/>
    <xf numFmtId="169" fontId="4" fillId="0" borderId="0" xfId="0" applyNumberFormat="1" applyFont="1"/>
    <xf numFmtId="169" fontId="4" fillId="0" borderId="1" xfId="1" applyNumberFormat="1" applyFont="1" applyBorder="1"/>
    <xf numFmtId="6" fontId="1" fillId="0" borderId="1" xfId="0" applyNumberFormat="1" applyFont="1" applyBorder="1"/>
    <xf numFmtId="169" fontId="4" fillId="0" borderId="1" xfId="1" applyNumberFormat="1" applyFont="1" applyBorder="1" applyAlignment="1">
      <alignment horizontal="right" vertical="top"/>
    </xf>
  </cellXfs>
  <cellStyles count="2">
    <cellStyle name="Normal" xfId="0" builtinId="0"/>
    <cellStyle name="Percent" xfId="1" builtinId="5"/>
  </cellStyles>
  <dxfs count="14">
    <dxf>
      <font>
        <color rgb="FFC00000"/>
      </font>
      <fill>
        <patternFill patternType="solid">
          <fgColor rgb="FFFF8181"/>
        </patternFill>
      </fill>
    </dxf>
    <dxf>
      <font>
        <color rgb="FF006100"/>
      </font>
      <fill>
        <patternFill>
          <bgColor rgb="FFC6EFCE"/>
        </patternFill>
      </fill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0" formatCode="#,##0\ &quot;€&quot;;[Red]\-#,##0\ &quot;€&quot;"/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/>
        <u/>
      </font>
    </dxf>
    <dxf>
      <font>
        <strike val="0"/>
        <u val="double"/>
      </font>
    </dxf>
    <dxf>
      <font>
        <strike/>
        <u/>
      </font>
    </dxf>
  </dxfs>
  <tableStyles count="1" defaultTableStyle="TableStyleMedium2" defaultPivotStyle="PivotStyleLight16">
    <tableStyle name="Table Style 1" pivot="0" count="3" xr9:uid="{67E96F2F-D7BF-4118-9F56-73AA47E3F838}">
      <tableStyleElement type="totalRow" dxfId="13"/>
      <tableStyleElement type="firstRowStripe" dxfId="12"/>
      <tableStyleElement type="lastTotalCell" dxfId="11"/>
    </tableStyle>
  </tableStyles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https://www.bing.com/financeapi/forcetrigger?t=afmuzr&amp;q=XFRA%3aUCM&amp;form=skydnc</v>
    <v>Learn more on Bing</v>
  </rv>
  <rv s="1">
    <v>it-IT</v>
    <v>afmuzr</v>
    <v>268435456</v>
    <v>1</v>
    <v>Con tecnologia Refinitiv</v>
    <v>0</v>
    <v>1</v>
    <v>Buzzi SpA (XFRA:UCM)</v>
    <v>3</v>
    <v>4</v>
    <v>Finance</v>
    <v>5</v>
    <v>47</v>
    <v>192626100</v>
    <v>0.96540000000000004</v>
    <v>9011052000</v>
    <v>47.44</v>
    <v>Buzzi Unicem S.p.A., precedentemente nota come Buzzi Unicem S.p.A. - Senza Vincoli di Rappresentazione Grafica, è una società con sede in Italia impegnata nella produzione di materiali da costruzione. La Società è principalmente attiva nella produzione, distribuzione e vendita di cemento, aggregati naturali e preconfezionati. Le attività della Società si svolgono principalmente in Italia, Stati Uniti, Germania, Lussemburgo, Paesi Bassi, Polonia, Repubblica Ceca, Slovacchia, Ucraina, Russia e Messico. Al 31 dicembre 2011, la Società disponeva di una capacità produttiva complessiva di circa 44 milioni di tonnellate di cemento all'anno, e gestiva 39 cementifici, 558 impianti di calcestruzzo preconfezionati, 37 cave di aggregati e 41 terminali.</v>
    <v>9843</v>
    <v>Deutsche Boerse AG</v>
    <v>XFRA</v>
    <v>0</v>
    <v>47.66</v>
    <v>45.78</v>
    <v>Buzzi SpA</v>
    <v>Buzzi SpA</v>
    <v>45744.878472222219</v>
    <v>8.8549000000000007</v>
    <v>45.78</v>
    <v>Via Luigi Buzzi, 6, CASALE MONFERRATO, ALESSANDRIA, 15033 IT</v>
    <v>Construction Materials</v>
    <v>XFRA</v>
    <v>UCM</v>
    <v>Azionario</v>
    <v>Buzzi SpA (XFRA:UCM)</v>
    <v>EUR</v>
    <v>-1.66</v>
    <v>-3.4992000000000002E-2</v>
    <v>1</v>
    <v>639790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ri"/>
    <k n="Azioni in circolazione"/>
    <k n="Beta"/>
    <k n="Capitalizzazione di mercato"/>
    <k n="Chiusura precedente"/>
    <k n="Descrizione" t="s"/>
    <k n="Dipendenti"/>
    <k n="Exchange" t="s"/>
    <k n="ExchangeID" t="s"/>
    <k n="LearnMoreOnLink" t="r"/>
    <k n="Massimo"/>
    <k n="Minimo"/>
    <k n="Nome" t="s"/>
    <k n="Nome ufficiale" t="s"/>
    <k n="Orario ultima transazione"/>
    <k n="P/U"/>
    <k n="Prezzo"/>
    <k n="Sede centrale" t="s"/>
    <k n="Settore" t="s"/>
    <k n="Simbolo azionario" t="s"/>
    <k n="Simbolo dell'azione" t="s"/>
    <k n="Tipo strumento" t="s"/>
    <k n="UniqueName" t="s"/>
    <k n="Valuta" t="s"/>
    <k n="Variazione"/>
    <k n="Variazione (%)"/>
    <k n="Volume"/>
    <k n="Volume medio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0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Prezzo</v>
      <v t="s">Exchange</v>
      <v t="s">Nome ufficiale</v>
      <v t="s">Orario ultima transazione</v>
      <v t="s">Simbolo dell'azione</v>
      <v t="s">Simbolo azionario</v>
      <v t="s">Variazione</v>
      <v t="s">Variazione (%)</v>
      <v t="s">Valuta</v>
      <v t="s">Chiusura precedente</v>
      <v t="s">Apri</v>
      <v t="s">Massimo</v>
      <v t="s">Minimo</v>
      <v t="s">Volume</v>
      <v t="s">Volume medio</v>
      <v t="s">Capitalizzazione di mercato</v>
      <v t="s">Beta</v>
      <v t="s">P/U</v>
      <v t="s">Azioni in circolazione</v>
      <v t="s">Descrizione</v>
      <v t="s">Dipendenti</v>
      <v t="s">Sede centrale</v>
      <v t="s">Settore</v>
      <v t="s">Tipo strumento</v>
      <v t="s">_Flags</v>
      <v t="s">UniqueName</v>
      <v t="s">_DisplayString</v>
      <v t="s">LearnMoreOnLink</v>
      <v t="s">ExchangeID</v>
      <v t="s">%ProviderInfo</v>
    </a>
  </spbArrays>
  <spbData count="6">
    <spb s="0">
      <v>P/E</v>
      <v>Open</v>
      <v>Beta</v>
      <v>Name</v>
      <v>Low</v>
      <v>Price</v>
      <v>Currency</v>
      <v>Volume</v>
      <v>High</v>
      <v>Industry</v>
      <v>Exchange</v>
      <v>Employees</v>
      <v>ExchangeID</v>
      <v>UniqueName</v>
      <v>Change</v>
      <v>Description</v>
      <v>Volume average</v>
      <v>%ProviderInfo</v>
      <v>Headquarters</v>
      <v>Official name</v>
      <v>Instrument type</v>
      <v>Change (%)</v>
      <v>LearnMoreOnLink</v>
      <v>Exchange abbreviation</v>
      <v>Previous close</v>
      <v>Ticker symbol</v>
      <v>Shares outstanding</v>
      <v>Last trade time</v>
      <v>Market cap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1</v>
      <v>3</v>
      <v>2</v>
      <v>2</v>
      <v>4</v>
      <v>2</v>
      <v>4</v>
      <v>2</v>
      <v>4</v>
      <v>5</v>
      <v>6</v>
      <v>2</v>
      <v>4</v>
      <v>7</v>
      <v>8</v>
    </spb>
    <spb s="5">
      <v>Ritardato di 15 minuti</v>
      <v xml:space="preserve">dalla chiusura precedente </v>
      <v xml:space="preserve">dalla chiusura precedente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P/U" t="s"/>
    <k n="Apri" t="s"/>
    <k n="Beta" t="s"/>
    <k n="Nome" t="s"/>
    <k n="Minimo" t="s"/>
    <k n="Prezzo" t="s"/>
    <k n="Valuta" t="s"/>
    <k n="Volume" t="s"/>
    <k n="Massimo" t="s"/>
    <k n="Settore" t="s"/>
    <k n="Exchange" t="s"/>
    <k n="Dipendenti" t="s"/>
    <k n="ExchangeID" t="s"/>
    <k n="UniqueName" t="s"/>
    <k n="Variazione" t="s"/>
    <k n="Descrizione" t="s"/>
    <k n="Volume medio" t="s"/>
    <k n="%ProviderInfo" t="s"/>
    <k n="Sede centrale" t="s"/>
    <k n="Nome ufficiale" t="s"/>
    <k n="Tipo strumento" t="s"/>
    <k n="Variazione (%)" t="s"/>
    <k n="LearnMoreOnLink" t="s"/>
    <k n="Simbolo azionario" t="s"/>
    <k n="Chiusura precedente" t="s"/>
    <k n="Simbolo dell'azione" t="s"/>
    <k n="Azioni in circolazione" t="s"/>
    <k n="Orario ultima transazione" t="s"/>
    <k n="Capitalizzazione di mercat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P/U" t="i"/>
    <k n="Apri" t="i"/>
    <k n="Beta" t="i"/>
    <k n="Nome" t="i"/>
    <k n="Minimo" t="i"/>
    <k n="Prezzo" t="i"/>
    <k n="Volume" t="i"/>
    <k n="Massimo" t="i"/>
    <k n="Dipendenti" t="i"/>
    <k n="Variazione" t="i"/>
    <k n="Volume medio" t="i"/>
    <k n="Variazione (%)" t="i"/>
    <k n="`%EntityServiceId" t="i"/>
    <k n="Chiusura precedente" t="i"/>
    <k n="Azioni in circolazione" t="i"/>
    <k n="Orario ultima transazione" t="i"/>
    <k n="Capitalizzazione di mercato" t="i"/>
  </s>
  <s>
    <k n="Prezzo" t="s"/>
    <k n="Variazione" t="s"/>
    <k n="Variazione (%)" t="s"/>
    <k n="Orario ultima transazion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3" formatCode="#,##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4" formatCode="#,##0.00"/>
    </x:dxf>
  </dxfs>
  <richProperties>
    <rPr n="NumberFormat" t="s"/>
    <rPr n="IsTitleField" t="b"/>
  </richProperties>
  <richStyles>
    <rSty dxfid="5">
      <rpv i="0">#,##0.00</rpv>
    </rSty>
    <rSty dxfid="2">
      <rpv i="0">_([$€-x-euro2] * #,##0.00_);_([$€-x-euro2] * (#,##0.00);_([$€-x-euro2] * "-"??_);_(@_)</rpv>
    </rSty>
    <rSty>
      <rpv i="1">1</rpv>
    </rSty>
    <rSty dxfid="1">
      <rpv i="0">#,##0</rpv>
    </rSty>
    <rSty dxfid="4"/>
    <rSty dxfid="0">
      <rpv i="0">0.00</rpv>
    </rSty>
    <rSty dxfid="3"/>
    <rSty dxfid="2">
      <rpv i="0">_([$€-x-euro2] * #,##0_);_([$€-x-euro2] * (#,##0);_([$€-x-euro2] * "-"_);_(@_)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8A0CF-6F64-40CD-8BBD-91947DC4B1B7}" name="Table1" displayName="Table1" ref="A1:G19" totalsRowShown="0" headerRowDxfId="10" headerRowBorderDxfId="9">
  <autoFilter ref="A1:G19" xr:uid="{7F68A0CF-6F64-40CD-8BBD-91947DC4B1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A61A545-83B0-4348-9AB9-7BDEB543ECFC}" name="(thousands of euro)" dataDxfId="8"/>
    <tableColumn id="6" xr3:uid="{B64D4814-B95E-4268-B203-76CEA43ED831}" name="2019" dataDxfId="7"/>
    <tableColumn id="5" xr3:uid="{DC75388F-3B36-4C54-850E-D083A3088F7D}" name="2020" dataDxfId="6"/>
    <tableColumn id="4" xr3:uid="{FFB7C7D8-2563-4878-B86E-54C2610F4C1D}" name="2021" dataDxfId="5"/>
    <tableColumn id="3" xr3:uid="{6BB45C77-A449-43E3-8CA9-6CDE423FC41F}" name="2022" dataDxfId="4"/>
    <tableColumn id="2" xr3:uid="{039EB9D4-DBC4-49DC-8CCD-3133FBBCDEF6}" name="2023" dataDxfId="3"/>
    <tableColumn id="7" xr3:uid="{737B6C0B-8A49-4074-9C18-7D28056B559D}" name="202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DC5-20A4-4624-A7FC-AA74A3379BBC}">
  <dimension ref="A1:F10"/>
  <sheetViews>
    <sheetView showGridLines="0" tabSelected="1" workbookViewId="0">
      <selection activeCell="A11" sqref="A11"/>
    </sheetView>
  </sheetViews>
  <sheetFormatPr defaultRowHeight="14.4" x14ac:dyDescent="0.55000000000000004"/>
  <cols>
    <col min="1" max="1" width="37.15625" customWidth="1"/>
    <col min="2" max="2" width="23.734375" customWidth="1"/>
    <col min="3" max="3" width="18.47265625" bestFit="1" customWidth="1"/>
    <col min="4" max="4" width="7.734375" bestFit="1" customWidth="1"/>
    <col min="5" max="5" width="5.20703125" bestFit="1" customWidth="1"/>
    <col min="6" max="6" width="4.5234375" bestFit="1" customWidth="1"/>
  </cols>
  <sheetData>
    <row r="1" spans="1:6" x14ac:dyDescent="0.55000000000000004">
      <c r="A1" s="85"/>
      <c r="B1" s="86" t="s">
        <v>181</v>
      </c>
      <c r="C1" s="86" t="s">
        <v>182</v>
      </c>
      <c r="D1" s="87" t="s">
        <v>183</v>
      </c>
      <c r="E1" s="88" t="s">
        <v>187</v>
      </c>
      <c r="F1" s="89" t="s">
        <v>184</v>
      </c>
    </row>
    <row r="2" spans="1:6" ht="14.7" thickBot="1" x14ac:dyDescent="0.6">
      <c r="A2" s="90" t="e" vm="1">
        <v>#VALUE!</v>
      </c>
      <c r="B2" s="91" cm="1">
        <f t="array" aca="1" ref="B2" ca="1">_FV(A2,"Azioni in circolazione",TRUE)</f>
        <v>192626100</v>
      </c>
      <c r="C2" s="92" cm="1">
        <f t="array" aca="1" ref="C2" ca="1">_FV(A2,"Capitalizzazione di mercato",TRUE)</f>
        <v>9011052000</v>
      </c>
      <c r="D2" s="92" cm="1">
        <f t="array" aca="1" ref="D2" ca="1">_FV(A2,"Prezzo")</f>
        <v>45.78</v>
      </c>
      <c r="E2" s="93" cm="1">
        <f t="array" aca="1" ref="E2" ca="1">_FV(A2,"P/U",TRUE)</f>
        <v>8.8549000000000007</v>
      </c>
      <c r="F2" s="94" cm="1">
        <f t="array" aca="1" ref="F2" ca="1">_FV(A2,"Beta")</f>
        <v>0.96540000000000004</v>
      </c>
    </row>
    <row r="3" spans="1:6" x14ac:dyDescent="0.55000000000000004">
      <c r="A3" t="s">
        <v>196</v>
      </c>
      <c r="B3" s="78">
        <v>7.5999999999999998E-2</v>
      </c>
    </row>
    <row r="4" spans="1:6" x14ac:dyDescent="0.55000000000000004">
      <c r="A4" t="s">
        <v>204</v>
      </c>
      <c r="B4" s="50">
        <v>0.05</v>
      </c>
    </row>
    <row r="5" spans="1:6" x14ac:dyDescent="0.55000000000000004">
      <c r="A5" t="s">
        <v>172</v>
      </c>
      <c r="B5" s="50">
        <v>0.1</v>
      </c>
    </row>
    <row r="7" spans="1:6" x14ac:dyDescent="0.55000000000000004">
      <c r="A7" s="4" t="s">
        <v>203</v>
      </c>
    </row>
    <row r="8" spans="1:6" x14ac:dyDescent="0.55000000000000004">
      <c r="A8" t="s">
        <v>202</v>
      </c>
    </row>
    <row r="9" spans="1:6" x14ac:dyDescent="0.55000000000000004">
      <c r="A9" t="s">
        <v>207</v>
      </c>
    </row>
    <row r="10" spans="1:6" x14ac:dyDescent="0.55000000000000004">
      <c r="A1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7210-359B-40D0-B5CA-83EFA2834E49}">
  <dimension ref="A1:K50"/>
  <sheetViews>
    <sheetView showGridLines="0" topLeftCell="A26" workbookViewId="0">
      <selection activeCell="E33" sqref="E33"/>
    </sheetView>
  </sheetViews>
  <sheetFormatPr defaultRowHeight="20.05" customHeight="1" x14ac:dyDescent="0.55000000000000004"/>
  <cols>
    <col min="1" max="1" width="22.41796875" customWidth="1"/>
    <col min="2" max="2" width="12.83984375" bestFit="1" customWidth="1"/>
    <col min="3" max="7" width="12.5234375" bestFit="1" customWidth="1"/>
    <col min="8" max="8" width="10.26171875" bestFit="1" customWidth="1"/>
    <col min="9" max="9" width="11.20703125" bestFit="1" customWidth="1"/>
    <col min="10" max="10" width="16.9453125" bestFit="1" customWidth="1"/>
    <col min="11" max="11" width="17.89453125" bestFit="1" customWidth="1"/>
  </cols>
  <sheetData>
    <row r="1" spans="1:11" ht="20.05" customHeight="1" thickBot="1" x14ac:dyDescent="0.6">
      <c r="A1" s="57" t="s">
        <v>157</v>
      </c>
      <c r="B1" s="57">
        <v>2023</v>
      </c>
      <c r="C1" s="67" t="s">
        <v>130</v>
      </c>
      <c r="D1" s="67" t="s">
        <v>131</v>
      </c>
      <c r="E1" s="67" t="s">
        <v>132</v>
      </c>
      <c r="F1" s="67" t="s">
        <v>133</v>
      </c>
      <c r="G1" s="67" t="s">
        <v>134</v>
      </c>
      <c r="H1" s="67" t="s">
        <v>163</v>
      </c>
      <c r="I1" s="95" t="s">
        <v>194</v>
      </c>
      <c r="J1" s="95" t="s">
        <v>205</v>
      </c>
      <c r="K1" s="95" t="s">
        <v>206</v>
      </c>
    </row>
    <row r="2" spans="1:11" ht="20.05" customHeight="1" x14ac:dyDescent="0.55000000000000004">
      <c r="A2" s="4" t="s">
        <v>121</v>
      </c>
      <c r="B2" s="14">
        <f>Table1[[#This Row],[2023]]</f>
        <v>4317489</v>
      </c>
      <c r="C2" s="14">
        <f>B2*(1+C3)</f>
        <v>4645435.5256781038</v>
      </c>
      <c r="D2" s="14">
        <f t="shared" ref="D2:G2" si="0">C2*(1+D3)</f>
        <v>4951837.7592644598</v>
      </c>
      <c r="E2" s="14">
        <f t="shared" si="0"/>
        <v>5278449.5788471699</v>
      </c>
      <c r="F2" s="14">
        <f t="shared" si="0"/>
        <v>5626603.9621965438</v>
      </c>
      <c r="G2" s="14">
        <f t="shared" si="0"/>
        <v>5997721.8072281368</v>
      </c>
      <c r="H2" s="66">
        <f>highlights!B2</f>
        <v>7.5957698022647735E-2</v>
      </c>
      <c r="I2" s="66">
        <f>(G2/B2)^(1/5)-1</f>
        <v>6.7950235002587789E-2</v>
      </c>
    </row>
    <row r="3" spans="1:11" ht="20.05" customHeight="1" x14ac:dyDescent="0.55000000000000004">
      <c r="A3" s="69" t="s">
        <v>195</v>
      </c>
      <c r="B3" s="14"/>
      <c r="C3" s="98">
        <f>$H$2</f>
        <v>7.5957698022647735E-2</v>
      </c>
      <c r="D3" s="98">
        <f>$H$2-assumptions!$B$4/5</f>
        <v>6.595769802264774E-2</v>
      </c>
      <c r="E3" s="98">
        <f>$H$2-assumptions!$B$4/5</f>
        <v>6.595769802264774E-2</v>
      </c>
      <c r="F3" s="98">
        <f>$H$2-assumptions!$B$4/5</f>
        <v>6.595769802264774E-2</v>
      </c>
      <c r="G3" s="98">
        <f>$H$2-assumptions!$B$4/5</f>
        <v>6.595769802264774E-2</v>
      </c>
      <c r="H3" s="66"/>
      <c r="I3" s="66"/>
    </row>
    <row r="4" spans="1:11" ht="20.05" customHeight="1" x14ac:dyDescent="0.55000000000000004">
      <c r="A4" s="4" t="s">
        <v>118</v>
      </c>
      <c r="B4" s="14">
        <f>income_statement!F9</f>
        <v>1243215</v>
      </c>
      <c r="C4" s="68">
        <f>C2*C5</f>
        <v>1337646.7495472261</v>
      </c>
      <c r="D4" s="68">
        <f t="shared" ref="D4:G4" si="1">D2*D5</f>
        <v>1391211.9855999872</v>
      </c>
      <c r="E4" s="68">
        <f t="shared" si="1"/>
        <v>1446023.9785797491</v>
      </c>
      <c r="F4" s="68">
        <f t="shared" si="1"/>
        <v>1502014.1637570441</v>
      </c>
      <c r="G4" s="68">
        <f t="shared" si="1"/>
        <v>1559099.5077452739</v>
      </c>
      <c r="H4" s="66"/>
      <c r="I4" s="66">
        <f>(G4/B4)^(1/5)-1</f>
        <v>4.6322389542504006E-2</v>
      </c>
    </row>
    <row r="5" spans="1:11" ht="20.05" customHeight="1" x14ac:dyDescent="0.55000000000000004">
      <c r="A5" s="69" t="s">
        <v>167</v>
      </c>
      <c r="B5" s="70">
        <f>ABS(B4)/$B$2</f>
        <v>0.28794862013545375</v>
      </c>
      <c r="C5" s="70">
        <f>B5</f>
        <v>0.28794862013545375</v>
      </c>
      <c r="D5" s="70">
        <f>C5-0.007</f>
        <v>0.28094862013545374</v>
      </c>
      <c r="E5" s="70">
        <f t="shared" ref="E5:G5" si="2">D5-0.007</f>
        <v>0.27394862013545374</v>
      </c>
      <c r="F5" s="70">
        <f t="shared" si="2"/>
        <v>0.26694862013545373</v>
      </c>
      <c r="G5" s="70">
        <f t="shared" si="2"/>
        <v>0.25994862013545372</v>
      </c>
      <c r="H5" s="64"/>
      <c r="I5" s="64"/>
      <c r="J5" s="70">
        <f>highlights!H12</f>
        <v>0.24161314227219205</v>
      </c>
      <c r="K5" s="70">
        <f>AVERAGE(C5:G5)</f>
        <v>0.27394862013545374</v>
      </c>
    </row>
    <row r="6" spans="1:11" ht="20.05" customHeight="1" x14ac:dyDescent="0.55000000000000004">
      <c r="A6" s="4" t="s">
        <v>161</v>
      </c>
      <c r="B6" s="14">
        <f>income_statement!F12</f>
        <v>984790</v>
      </c>
      <c r="C6" s="68">
        <f>C2*C7</f>
        <v>1059592.3814357233</v>
      </c>
      <c r="D6" s="68">
        <f t="shared" ref="D6:G6" si="3">D2*D7</f>
        <v>1094817.7914427076</v>
      </c>
      <c r="E6" s="68">
        <f t="shared" si="3"/>
        <v>1130080.3056685778</v>
      </c>
      <c r="F6" s="68">
        <f t="shared" si="3"/>
        <v>1165231.5734758314</v>
      </c>
      <c r="G6" s="68">
        <f t="shared" si="3"/>
        <v>1200103.5130750081</v>
      </c>
      <c r="H6" s="66">
        <f>(highlights!F15/highlights!B15)^(1/4)-1</f>
        <v>0.20425717756209383</v>
      </c>
      <c r="I6" s="66">
        <f>(G6/B6)^(1/5)-1</f>
        <v>4.0339325540836635E-2</v>
      </c>
    </row>
    <row r="7" spans="1:11" ht="20.05" customHeight="1" x14ac:dyDescent="0.55000000000000004">
      <c r="A7" s="69" t="s">
        <v>167</v>
      </c>
      <c r="B7" s="70">
        <f>dcf!B6/dcf!B2</f>
        <v>0.2280932273365375</v>
      </c>
      <c r="C7" s="70">
        <f>B7</f>
        <v>0.2280932273365375</v>
      </c>
      <c r="D7" s="70">
        <f>C7-0.007</f>
        <v>0.2210932273365375</v>
      </c>
      <c r="E7" s="70">
        <f t="shared" ref="E7:G7" si="4">D7-0.007</f>
        <v>0.21409322733653749</v>
      </c>
      <c r="F7" s="70">
        <f t="shared" si="4"/>
        <v>0.20709322733653748</v>
      </c>
      <c r="G7" s="70">
        <f t="shared" si="4"/>
        <v>0.20009322733653748</v>
      </c>
      <c r="H7" s="66"/>
      <c r="I7" s="66"/>
      <c r="J7" s="102">
        <f>highlights!H16</f>
        <v>0.16364026743188359</v>
      </c>
      <c r="K7" s="70">
        <f>AVERAGE(C7:G7)</f>
        <v>0.21409322733653752</v>
      </c>
    </row>
    <row r="8" spans="1:11" ht="20.05" customHeight="1" x14ac:dyDescent="0.55000000000000004">
      <c r="A8" s="4" t="s">
        <v>162</v>
      </c>
      <c r="B8" s="14">
        <f>income_statement!F19</f>
        <v>966813</v>
      </c>
      <c r="C8" s="68">
        <f>C9*C2</f>
        <v>3612623.2846992877</v>
      </c>
      <c r="D8" s="68">
        <f t="shared" ref="D8:G8" si="5">D9*D2</f>
        <v>3816240.7360662175</v>
      </c>
      <c r="E8" s="68">
        <f t="shared" si="5"/>
        <v>4031002.0430654702</v>
      </c>
      <c r="F8" s="68">
        <f t="shared" si="5"/>
        <v>4257491.4308152823</v>
      </c>
      <c r="G8" s="68">
        <f>G9*G2</f>
        <v>4496321.7122924104</v>
      </c>
      <c r="H8" s="66">
        <f>(highlights!F20/highlights!B20)^(1/4)-1</f>
        <v>0.25809695791895071</v>
      </c>
      <c r="I8" s="66">
        <f>(G8/B8)^(1/5)-1</f>
        <v>0.35988749194612102</v>
      </c>
    </row>
    <row r="9" spans="1:11" ht="20.05" customHeight="1" thickBot="1" x14ac:dyDescent="0.6">
      <c r="A9" s="79" t="s">
        <v>200</v>
      </c>
      <c r="B9" s="80">
        <f>B8/B4</f>
        <v>0.77767160145268521</v>
      </c>
      <c r="C9" s="80">
        <f>B9</f>
        <v>0.77767160145268521</v>
      </c>
      <c r="D9" s="80">
        <f>C9-0.007</f>
        <v>0.77067160145268521</v>
      </c>
      <c r="E9" s="80">
        <f t="shared" ref="E9:G9" si="6">D9-0.007</f>
        <v>0.7636716014526852</v>
      </c>
      <c r="F9" s="80">
        <f t="shared" si="6"/>
        <v>0.75667160145268519</v>
      </c>
      <c r="G9" s="80">
        <f t="shared" si="6"/>
        <v>0.74967160145268519</v>
      </c>
      <c r="H9" s="103"/>
      <c r="I9" s="103"/>
      <c r="J9" s="103">
        <f>highlights!H21</f>
        <v>0.64542475153627743</v>
      </c>
      <c r="K9" s="80">
        <f>AVERAGE(C9:G9)</f>
        <v>0.7636716014526852</v>
      </c>
    </row>
    <row r="10" spans="1:11" ht="20.05" customHeight="1" thickBot="1" x14ac:dyDescent="0.6">
      <c r="A10" s="8" t="s">
        <v>174</v>
      </c>
      <c r="B10" s="57">
        <v>0</v>
      </c>
      <c r="C10" s="57">
        <v>1</v>
      </c>
      <c r="D10" s="57">
        <v>2</v>
      </c>
      <c r="E10" s="57">
        <v>3</v>
      </c>
      <c r="F10" s="57">
        <v>4</v>
      </c>
      <c r="G10" s="57">
        <v>5</v>
      </c>
      <c r="H10" s="67" t="s">
        <v>163</v>
      </c>
      <c r="I10" s="67" t="s">
        <v>164</v>
      </c>
      <c r="J10" s="95" t="s">
        <v>205</v>
      </c>
      <c r="K10" s="95" t="s">
        <v>206</v>
      </c>
    </row>
    <row r="11" spans="1:11" ht="20.05" customHeight="1" x14ac:dyDescent="0.55000000000000004">
      <c r="A11" s="4" t="s">
        <v>155</v>
      </c>
      <c r="B11" s="14">
        <f>ABS(income_statement!F5)</f>
        <v>1620437</v>
      </c>
      <c r="C11" s="68">
        <f>C2*C12</f>
        <v>1743521.6643107254</v>
      </c>
      <c r="D11" s="68">
        <f t="shared" ref="D11:G11" si="7">D2*D12</f>
        <v>1858520.3397412763</v>
      </c>
      <c r="E11" s="68">
        <f t="shared" si="7"/>
        <v>1981104.0630788803</v>
      </c>
      <c r="F11" s="68">
        <f t="shared" si="7"/>
        <v>2111773.1266228775</v>
      </c>
      <c r="G11" s="68">
        <f t="shared" si="7"/>
        <v>2251060.8208010118</v>
      </c>
      <c r="H11" s="66">
        <f>(highlights!F7/highlights!B7)^(1/4)-1</f>
        <v>7.7037581366453667E-2</v>
      </c>
      <c r="I11" s="66">
        <f>(G11/B11)^(1/5)-1</f>
        <v>6.7950235002587789E-2</v>
      </c>
      <c r="J11" s="102"/>
      <c r="K11" s="64"/>
    </row>
    <row r="12" spans="1:11" ht="20.05" customHeight="1" x14ac:dyDescent="0.55000000000000004">
      <c r="A12" s="69" t="s">
        <v>159</v>
      </c>
      <c r="B12" s="70">
        <f>B11/B2</f>
        <v>0.37531931175736638</v>
      </c>
      <c r="C12" s="70">
        <f>B12</f>
        <v>0.37531931175736638</v>
      </c>
      <c r="D12" s="70">
        <f>C12</f>
        <v>0.37531931175736638</v>
      </c>
      <c r="E12" s="70">
        <f t="shared" ref="E12:G12" si="8">D12</f>
        <v>0.37531931175736638</v>
      </c>
      <c r="F12" s="70">
        <f t="shared" si="8"/>
        <v>0.37531931175736638</v>
      </c>
      <c r="G12" s="70">
        <f t="shared" si="8"/>
        <v>0.37531931175736638</v>
      </c>
      <c r="H12" s="70"/>
      <c r="I12" s="66"/>
      <c r="J12" s="102">
        <f>highlights!H8</f>
        <v>0.38401157670826447</v>
      </c>
      <c r="K12" s="64"/>
    </row>
    <row r="13" spans="1:11" ht="20.05" customHeight="1" x14ac:dyDescent="0.55000000000000004">
      <c r="A13" s="4" t="s">
        <v>158</v>
      </c>
      <c r="B13" s="14">
        <f>ABS(SUM(income_statement!F6:F8))</f>
        <v>1561676</v>
      </c>
      <c r="C13" s="68">
        <f>C2*C14</f>
        <v>1680297.3140172164</v>
      </c>
      <c r="D13" s="68">
        <f t="shared" ref="D13:G13" si="9">D2*D14</f>
        <v>1791125.8568434301</v>
      </c>
      <c r="E13" s="68">
        <f t="shared" si="9"/>
        <v>1909264.3952296653</v>
      </c>
      <c r="F13" s="68">
        <f t="shared" si="9"/>
        <v>2035195.0796556168</v>
      </c>
      <c r="G13" s="68">
        <f t="shared" si="9"/>
        <v>2169431.8621367207</v>
      </c>
      <c r="H13" s="66">
        <f>(highlights!F9/highlights!B9)^(1/4)-1</f>
        <v>3.6418542769312889E-2</v>
      </c>
      <c r="I13" s="66">
        <f>(G13/B13)^(1/5)-1</f>
        <v>6.7950235002587789E-2</v>
      </c>
      <c r="J13" s="102"/>
      <c r="K13" s="64"/>
    </row>
    <row r="14" spans="1:11" ht="20.05" customHeight="1" x14ac:dyDescent="0.55000000000000004">
      <c r="A14" s="69" t="s">
        <v>159</v>
      </c>
      <c r="B14" s="70">
        <f>B13/B2</f>
        <v>0.36170931761493774</v>
      </c>
      <c r="C14" s="70">
        <f>B14</f>
        <v>0.36170931761493774</v>
      </c>
      <c r="D14" s="70">
        <f t="shared" ref="D14:G14" si="10">C14</f>
        <v>0.36170931761493774</v>
      </c>
      <c r="E14" s="70">
        <f t="shared" si="10"/>
        <v>0.36170931761493774</v>
      </c>
      <c r="F14" s="70">
        <f t="shared" si="10"/>
        <v>0.36170931761493774</v>
      </c>
      <c r="G14" s="70">
        <f t="shared" si="10"/>
        <v>0.36170931761493774</v>
      </c>
      <c r="H14" s="66"/>
      <c r="I14" s="66"/>
      <c r="J14" s="102">
        <f>highlights!H10</f>
        <v>0.39432857870850252</v>
      </c>
      <c r="K14" s="64"/>
    </row>
    <row r="15" spans="1:11" ht="20.05" customHeight="1" x14ac:dyDescent="0.55000000000000004">
      <c r="A15" s="4" t="s">
        <v>141</v>
      </c>
      <c r="B15" s="14">
        <f>B6*(1-highlights!$B$1)</f>
        <v>787832</v>
      </c>
      <c r="C15" s="14">
        <f>C6*(1-highlights!$B$1)</f>
        <v>847673.90514857869</v>
      </c>
      <c r="D15" s="14">
        <f>D6*(1-highlights!$B$1)</f>
        <v>875854.23315416614</v>
      </c>
      <c r="E15" s="14">
        <f>E6*(1-highlights!$B$1)</f>
        <v>904064.24453486223</v>
      </c>
      <c r="F15" s="14">
        <f>F6*(1-highlights!$B$1)</f>
        <v>932185.25878066523</v>
      </c>
      <c r="G15" s="14">
        <f>G6*(1-highlights!$B$1)</f>
        <v>960082.81046000647</v>
      </c>
      <c r="H15" s="64"/>
      <c r="I15" s="64"/>
      <c r="J15" s="64"/>
      <c r="K15" s="64"/>
    </row>
    <row r="16" spans="1:11" ht="19.8" customHeight="1" x14ac:dyDescent="0.55000000000000004">
      <c r="A16" s="69" t="s">
        <v>159</v>
      </c>
      <c r="B16" s="70">
        <f>B15/B2</f>
        <v>0.18247458186923002</v>
      </c>
      <c r="C16" s="70">
        <f>C15/C2</f>
        <v>0.18247458186923002</v>
      </c>
      <c r="D16" s="70">
        <f>D15/D2</f>
        <v>0.17687458186923</v>
      </c>
      <c r="E16" s="70">
        <f>E15/E2</f>
        <v>0.17127458186923</v>
      </c>
      <c r="F16" s="70">
        <f>F15/F2</f>
        <v>0.16567458186923001</v>
      </c>
      <c r="G16" s="70">
        <f>G15/G2</f>
        <v>0.16007458186922999</v>
      </c>
      <c r="H16" s="64"/>
      <c r="I16" s="64"/>
      <c r="J16" s="64"/>
      <c r="K16" s="64"/>
    </row>
    <row r="17" spans="1:11" ht="20.05" customHeight="1" x14ac:dyDescent="0.55000000000000004">
      <c r="A17" s="4" t="s">
        <v>160</v>
      </c>
      <c r="B17" s="14">
        <f>ABS(highlights!F13)</f>
        <v>258425</v>
      </c>
      <c r="C17" s="68">
        <f>C4*C18</f>
        <v>278054.36811150273</v>
      </c>
      <c r="D17" s="68">
        <f t="shared" ref="D17:G17" si="11">D4*D18</f>
        <v>323969.1828007375</v>
      </c>
      <c r="E17" s="68">
        <f t="shared" si="11"/>
        <v>372883.75839333725</v>
      </c>
      <c r="F17" s="68">
        <f t="shared" si="11"/>
        <v>424872.20686973305</v>
      </c>
      <c r="G17" s="68">
        <f t="shared" si="11"/>
        <v>479997.32929640211</v>
      </c>
      <c r="H17" s="66">
        <f>highlights!G13</f>
        <v>-1.3891834624155663E-3</v>
      </c>
      <c r="I17" s="64"/>
      <c r="J17" s="64"/>
      <c r="K17" s="64"/>
    </row>
    <row r="18" spans="1:11" ht="20.05" customHeight="1" x14ac:dyDescent="0.55000000000000004">
      <c r="A18" s="69" t="s">
        <v>167</v>
      </c>
      <c r="B18" s="70">
        <f>ABS(B17)/B4</f>
        <v>0.2078683091822412</v>
      </c>
      <c r="C18" s="70">
        <f>B18</f>
        <v>0.2078683091822412</v>
      </c>
      <c r="D18" s="70">
        <f>C18+0.025</f>
        <v>0.23286830918224119</v>
      </c>
      <c r="E18" s="70">
        <f t="shared" ref="E18:G18" si="12">D18+0.025</f>
        <v>0.25786830918224118</v>
      </c>
      <c r="F18" s="70">
        <f t="shared" si="12"/>
        <v>0.28286830918224121</v>
      </c>
      <c r="G18" s="70">
        <f t="shared" si="12"/>
        <v>0.30786830918224123</v>
      </c>
      <c r="H18" s="64"/>
      <c r="I18" s="64"/>
      <c r="J18" s="66">
        <f>highlights!H14</f>
        <v>0.32946259858537613</v>
      </c>
      <c r="K18" s="102">
        <f>AVERAGE(B18:G18)</f>
        <v>0.24953497584890785</v>
      </c>
    </row>
    <row r="19" spans="1:11" ht="20.05" customHeight="1" x14ac:dyDescent="0.55000000000000004">
      <c r="A19" s="4" t="s">
        <v>22</v>
      </c>
      <c r="B19" s="14">
        <f>SUM(income_statement!F13:F16)</f>
        <v>156079</v>
      </c>
      <c r="C19" s="68">
        <f>B19*(1+$H$19)</f>
        <v>162719.02739330876</v>
      </c>
      <c r="D19" s="68">
        <f>C19*(1+$H$19)</f>
        <v>169641.53970633054</v>
      </c>
      <c r="E19" s="68">
        <f>D19*(1+$H$19)</f>
        <v>176858.55461988784</v>
      </c>
      <c r="F19" s="68">
        <f>E19*(1+$H$19)</f>
        <v>184382.60107980267</v>
      </c>
      <c r="G19" s="68">
        <f>F19*(1+$H$19)</f>
        <v>192226.74104750756</v>
      </c>
      <c r="H19" s="66">
        <f>(ABS(highlights!F23)/ABS(highlights!B23))^(1/4)-1</f>
        <v>4.2542734085359024E-2</v>
      </c>
      <c r="I19" s="66">
        <f>(G19/B19)^(1/5)-1</f>
        <v>4.2542734085359024E-2</v>
      </c>
      <c r="J19" s="102"/>
      <c r="K19" s="64"/>
    </row>
    <row r="20" spans="1:11" ht="20.05" customHeight="1" x14ac:dyDescent="0.55000000000000004">
      <c r="A20" s="69" t="s">
        <v>159</v>
      </c>
      <c r="B20" s="70">
        <f>B19/B2</f>
        <v>3.615041057429446E-2</v>
      </c>
      <c r="C20" s="70">
        <f>C19/C2</f>
        <v>3.5027722695506858E-2</v>
      </c>
      <c r="D20" s="70">
        <f>D19/D2</f>
        <v>3.4258299232228659E-2</v>
      </c>
      <c r="E20" s="70">
        <f>E19/E2</f>
        <v>3.3505777023736263E-2</v>
      </c>
      <c r="F20" s="70">
        <f>F19/F2</f>
        <v>3.2769784814892573E-2</v>
      </c>
      <c r="G20" s="70">
        <f>G19/G2</f>
        <v>3.2049959505598621E-2</v>
      </c>
      <c r="H20" s="66"/>
      <c r="I20" s="66"/>
      <c r="J20" s="102"/>
      <c r="K20" s="64"/>
    </row>
    <row r="21" spans="1:11" ht="20.05" customHeight="1" x14ac:dyDescent="0.55000000000000004">
      <c r="A21" s="4" t="s">
        <v>150</v>
      </c>
      <c r="B21" s="73">
        <f>ABS(highlights!F23)</f>
        <v>303704</v>
      </c>
      <c r="C21" s="74">
        <f>C22*C2</f>
        <v>303545.47909187974</v>
      </c>
      <c r="D21" s="74">
        <f t="shared" ref="D21:G21" si="13">D22*D2</f>
        <v>298807.45134163956</v>
      </c>
      <c r="E21" s="74">
        <f t="shared" si="13"/>
        <v>292123.8550899126</v>
      </c>
      <c r="F21" s="74">
        <f t="shared" si="13"/>
        <v>283258.65229816205</v>
      </c>
      <c r="G21" s="74">
        <f t="shared" si="13"/>
        <v>271953.13191260578</v>
      </c>
      <c r="H21" s="66">
        <f>highlights!G23</f>
        <v>4.2542734085359024E-2</v>
      </c>
      <c r="I21" s="66">
        <f>(G21/B21)^(1/5)-1</f>
        <v>-2.1842677185442416E-2</v>
      </c>
      <c r="J21" s="64"/>
      <c r="K21" s="64"/>
    </row>
    <row r="22" spans="1:11" ht="20.05" customHeight="1" x14ac:dyDescent="0.55000000000000004">
      <c r="A22" s="69" t="s">
        <v>159</v>
      </c>
      <c r="B22" s="70">
        <f>B21/B2</f>
        <v>7.0342738568644883E-2</v>
      </c>
      <c r="C22" s="70">
        <f>B22-0.005</f>
        <v>6.5342738568644879E-2</v>
      </c>
      <c r="D22" s="70">
        <f t="shared" ref="D22:G22" si="14">C22-0.005</f>
        <v>6.0342738568644881E-2</v>
      </c>
      <c r="E22" s="70">
        <f t="shared" si="14"/>
        <v>5.5342738568644884E-2</v>
      </c>
      <c r="F22" s="70">
        <f t="shared" si="14"/>
        <v>5.0342738568644886E-2</v>
      </c>
      <c r="G22" s="70">
        <f t="shared" si="14"/>
        <v>4.5342738568644889E-2</v>
      </c>
      <c r="H22" s="64"/>
      <c r="I22" s="64"/>
      <c r="J22" s="64"/>
      <c r="K22" s="64"/>
    </row>
    <row r="23" spans="1:11" ht="19.8" customHeight="1" x14ac:dyDescent="0.55000000000000004">
      <c r="A23" s="4" t="s">
        <v>166</v>
      </c>
      <c r="B23" s="14">
        <f>highlights!F43</f>
        <v>1014099</v>
      </c>
      <c r="C23" s="68">
        <f>C24*C2</f>
        <v>1067900.4479786786</v>
      </c>
      <c r="D23" s="68">
        <f t="shared" ref="D23:G23" si="15">D24*D2</f>
        <v>1113577.5144483843</v>
      </c>
      <c r="E23" s="68">
        <f t="shared" si="15"/>
        <v>1160634.2759769456</v>
      </c>
      <c r="F23" s="68">
        <f t="shared" si="15"/>
        <v>1209054.0212555847</v>
      </c>
      <c r="G23" s="68">
        <f t="shared" si="15"/>
        <v>1258811.8322464877</v>
      </c>
      <c r="H23" s="66">
        <f>highlights!G43</f>
        <v>0.18183669139552849</v>
      </c>
      <c r="I23" s="66">
        <f>(G23/B23)^(1/5)-1</f>
        <v>4.4181735488849849E-2</v>
      </c>
      <c r="J23" s="64"/>
      <c r="K23" s="64"/>
    </row>
    <row r="24" spans="1:11" ht="19.8" customHeight="1" x14ac:dyDescent="0.55000000000000004">
      <c r="A24" s="69" t="s">
        <v>159</v>
      </c>
      <c r="B24" s="75">
        <f>B23/B2</f>
        <v>0.2348816638560052</v>
      </c>
      <c r="C24" s="75">
        <f>B24-0.005</f>
        <v>0.2298816638560052</v>
      </c>
      <c r="D24" s="75">
        <f t="shared" ref="D24:G24" si="16">C24-0.005</f>
        <v>0.22488166385600519</v>
      </c>
      <c r="E24" s="75">
        <f t="shared" si="16"/>
        <v>0.21988166385600519</v>
      </c>
      <c r="F24" s="75">
        <f t="shared" si="16"/>
        <v>0.21488166385600518</v>
      </c>
      <c r="G24" s="75">
        <f t="shared" si="16"/>
        <v>0.20988166385600518</v>
      </c>
      <c r="H24" s="66"/>
      <c r="I24" s="64"/>
      <c r="J24" s="66">
        <f>highlights!H44</f>
        <v>0.16938979430298501</v>
      </c>
      <c r="K24" s="64"/>
    </row>
    <row r="25" spans="1:11" ht="19.8" customHeight="1" thickBot="1" x14ac:dyDescent="0.6">
      <c r="A25" s="6" t="s">
        <v>152</v>
      </c>
      <c r="B25" s="104">
        <f>highlights!F45</f>
        <v>214468</v>
      </c>
      <c r="C25" s="104">
        <f>C23-B23</f>
        <v>53801.447978678625</v>
      </c>
      <c r="D25" s="104">
        <f t="shared" ref="D25:G25" si="17">D23-C23</f>
        <v>45677.066469705664</v>
      </c>
      <c r="E25" s="104">
        <f t="shared" si="17"/>
        <v>47056.761528561357</v>
      </c>
      <c r="F25" s="104">
        <f t="shared" si="17"/>
        <v>48419.74527863902</v>
      </c>
      <c r="G25" s="104">
        <f t="shared" si="17"/>
        <v>49757.810990903061</v>
      </c>
      <c r="H25" s="12">
        <f>AVERAGE(highlights!D45:F45)</f>
        <v>226619.66666666666</v>
      </c>
      <c r="I25" s="8"/>
      <c r="J25" s="8"/>
      <c r="K25" s="8"/>
    </row>
    <row r="26" spans="1:11" ht="20.05" customHeight="1" x14ac:dyDescent="0.55000000000000004">
      <c r="A26" s="4" t="s">
        <v>168</v>
      </c>
      <c r="B26" s="14">
        <f>B15+B17-B21-B25</f>
        <v>528085</v>
      </c>
      <c r="C26" s="14">
        <f t="shared" ref="C26:G26" si="18">C15+C17-C21-C25</f>
        <v>768381.34618952312</v>
      </c>
      <c r="D26" s="14">
        <f t="shared" si="18"/>
        <v>855338.89814355853</v>
      </c>
      <c r="E26" s="14">
        <f t="shared" si="18"/>
        <v>937767.38630972547</v>
      </c>
      <c r="F26" s="14">
        <f t="shared" si="18"/>
        <v>1025379.0680735973</v>
      </c>
      <c r="G26" s="14">
        <f t="shared" si="18"/>
        <v>1118369.1968528996</v>
      </c>
    </row>
    <row r="27" spans="1:11" ht="20.05" customHeight="1" thickBot="1" x14ac:dyDescent="0.6">
      <c r="A27" s="79" t="s">
        <v>159</v>
      </c>
      <c r="B27" s="105">
        <f>B26/B2</f>
        <v>0.12231299257508242</v>
      </c>
      <c r="C27" s="105">
        <f>C26/C2</f>
        <v>0.1654056636761439</v>
      </c>
      <c r="D27" s="105">
        <f>D26/D2</f>
        <v>0.17273160788503086</v>
      </c>
      <c r="E27" s="105">
        <f>E26/E2</f>
        <v>0.17765962756710404</v>
      </c>
      <c r="F27" s="105">
        <f>F26/F2</f>
        <v>0.18223764724917732</v>
      </c>
      <c r="G27" s="105">
        <f>G26/G2</f>
        <v>0.1864656669312505</v>
      </c>
      <c r="H27" s="8"/>
      <c r="I27" s="8"/>
      <c r="J27" s="8"/>
      <c r="K27" s="8"/>
    </row>
    <row r="28" spans="1:11" ht="20.05" customHeight="1" x14ac:dyDescent="0.55000000000000004">
      <c r="A28" t="s">
        <v>175</v>
      </c>
      <c r="B28" s="11" t="s">
        <v>178</v>
      </c>
      <c r="C28" s="11">
        <f>C26/(1+assumptions!$B$5)^C10</f>
        <v>698528.49653593008</v>
      </c>
      <c r="D28" s="11">
        <f>D26/(1+assumptions!$B$5)^D10</f>
        <v>706891.65135831269</v>
      </c>
      <c r="E28" s="11">
        <f>E26/(1+assumptions!$B$5)^E10</f>
        <v>704558.51713728416</v>
      </c>
      <c r="F28" s="11">
        <f>F26/(1+assumptions!$B$5)^F10</f>
        <v>700347.70034396357</v>
      </c>
      <c r="G28" s="11">
        <f>G26/(1+assumptions!$B$5)^G10</f>
        <v>694419.28137850692</v>
      </c>
      <c r="H28" s="56"/>
    </row>
    <row r="29" spans="1:11" ht="20.05" customHeight="1" x14ac:dyDescent="0.55000000000000004">
      <c r="A29" t="s">
        <v>170</v>
      </c>
      <c r="B29" s="62">
        <f>B26/B4</f>
        <v>0.42477367148884143</v>
      </c>
      <c r="C29" s="62">
        <f>C26/C4</f>
        <v>0.5744277003249243</v>
      </c>
      <c r="D29" s="62">
        <f>D26/D4</f>
        <v>0.61481564779265252</v>
      </c>
      <c r="E29" s="62">
        <f>E26/E4</f>
        <v>0.64851440930514759</v>
      </c>
      <c r="F29" s="62">
        <f>F26/F4</f>
        <v>0.6826693734423771</v>
      </c>
      <c r="G29" s="62">
        <f>G26/G4</f>
        <v>0.71731739462239574</v>
      </c>
    </row>
    <row r="30" spans="1:11" ht="20.05" customHeight="1" x14ac:dyDescent="0.55000000000000004">
      <c r="A30" t="s">
        <v>171</v>
      </c>
      <c r="B30" s="62">
        <f>B26/B6</f>
        <v>0.53624122909452776</v>
      </c>
      <c r="C30" s="62">
        <f>C26/C6</f>
        <v>0.72516692234836955</v>
      </c>
      <c r="D30" s="62">
        <f>D26/D6</f>
        <v>0.78126141612699473</v>
      </c>
      <c r="E30" s="62">
        <f>E26/E6</f>
        <v>0.82982366970365329</v>
      </c>
      <c r="F30" s="62">
        <f>F26/F6</f>
        <v>0.87997878826346887</v>
      </c>
      <c r="G30" s="62">
        <f>G26/G6</f>
        <v>0.93189394470425158</v>
      </c>
    </row>
    <row r="31" spans="1:11" ht="20.05" customHeight="1" x14ac:dyDescent="0.55000000000000004">
      <c r="A31" s="76" t="s">
        <v>135</v>
      </c>
      <c r="B31" s="77">
        <f>highlights!F32</f>
        <v>5120204</v>
      </c>
      <c r="C31" s="77">
        <f>B31*(1+$H$31)</f>
        <v>5403095.9493718129</v>
      </c>
      <c r="D31" s="77">
        <f>C31*(1+$H$31)</f>
        <v>5701617.7164265513</v>
      </c>
      <c r="E31" s="77">
        <f>D31*(1+$H$31)</f>
        <v>6016632.8506619781</v>
      </c>
      <c r="F31" s="77">
        <f>E31*(1+$H$31)</f>
        <v>6349052.6128000207</v>
      </c>
      <c r="G31" s="77">
        <f>F31*(1+$H$31)</f>
        <v>6699838.6108382242</v>
      </c>
      <c r="H31" s="62">
        <f>(highlights!F32/highlights!B32)^(1/4)-1</f>
        <v>5.5250132489215842E-2</v>
      </c>
    </row>
    <row r="32" spans="1:11" ht="20.05" customHeight="1" thickBot="1" x14ac:dyDescent="0.6">
      <c r="A32" s="6" t="s">
        <v>169</v>
      </c>
      <c r="B32" s="82">
        <f>B15/B31</f>
        <v>0.15386730684949271</v>
      </c>
      <c r="C32" s="82">
        <f t="shared" ref="C32:G32" si="19">C15/C31</f>
        <v>0.15688670219656806</v>
      </c>
      <c r="D32" s="82">
        <f t="shared" si="19"/>
        <v>0.15361503992644066</v>
      </c>
      <c r="E32" s="82">
        <f t="shared" si="19"/>
        <v>0.15026082976550462</v>
      </c>
      <c r="F32" s="82">
        <f t="shared" si="19"/>
        <v>0.14682273334785906</v>
      </c>
      <c r="G32" s="82">
        <f t="shared" si="19"/>
        <v>0.14329939364612387</v>
      </c>
      <c r="H32" s="8"/>
      <c r="I32" s="8"/>
      <c r="J32" s="83">
        <f>AVERAGE(highlights!B50:F50)</f>
        <v>0.10889795982966539</v>
      </c>
      <c r="K32" s="84">
        <f>AVERAGE(B32:G32)</f>
        <v>0.15079200095533149</v>
      </c>
    </row>
    <row r="34" spans="1:3" ht="20.05" customHeight="1" x14ac:dyDescent="0.55000000000000004">
      <c r="A34" t="s">
        <v>188</v>
      </c>
      <c r="B34" s="78">
        <v>2.7E-2</v>
      </c>
      <c r="C34" t="s">
        <v>201</v>
      </c>
    </row>
    <row r="35" spans="1:3" ht="20.05" customHeight="1" x14ac:dyDescent="0.55000000000000004">
      <c r="A35" t="s">
        <v>189</v>
      </c>
      <c r="B35" s="50">
        <v>0.12</v>
      </c>
    </row>
    <row r="36" spans="1:3" ht="20.05" customHeight="1" x14ac:dyDescent="0.55000000000000004">
      <c r="A36" t="s">
        <v>190</v>
      </c>
      <c r="B36" s="62">
        <f ca="1">B34+assumptions!F2*(dcf!B35-dcf!B34)</f>
        <v>0.1167822</v>
      </c>
    </row>
    <row r="37" spans="1:3" ht="20.05" customHeight="1" x14ac:dyDescent="0.55000000000000004">
      <c r="A37" t="s">
        <v>191</v>
      </c>
      <c r="B37" s="62">
        <f>ABS(income_statement!F16)/highlights!F28</f>
        <v>0.16996393425391862</v>
      </c>
    </row>
    <row r="38" spans="1:3" ht="20.05" customHeight="1" x14ac:dyDescent="0.55000000000000004">
      <c r="A38" t="s">
        <v>99</v>
      </c>
      <c r="B38" s="56">
        <f>highlights!F34</f>
        <v>966545</v>
      </c>
    </row>
    <row r="39" spans="1:3" ht="20.05" customHeight="1" x14ac:dyDescent="0.55000000000000004">
      <c r="A39" t="s">
        <v>136</v>
      </c>
      <c r="B39" s="11">
        <f>IF(highlights!F30&lt;0,highlights!F28,highlights!F30)</f>
        <v>608888</v>
      </c>
    </row>
    <row r="40" spans="1:3" ht="20.05" customHeight="1" x14ac:dyDescent="0.55000000000000004">
      <c r="A40" t="s">
        <v>192</v>
      </c>
      <c r="B40" s="96">
        <f>B38/(B38+B39)</f>
        <v>0.61351069832865002</v>
      </c>
    </row>
    <row r="41" spans="1:3" ht="20.05" customHeight="1" x14ac:dyDescent="0.55000000000000004">
      <c r="A41" s="10" t="s">
        <v>193</v>
      </c>
      <c r="B41" s="97">
        <f>B39/(B38+B39)</f>
        <v>0.38648930167135004</v>
      </c>
    </row>
    <row r="42" spans="1:3" ht="20.05" customHeight="1" x14ac:dyDescent="0.55000000000000004">
      <c r="A42" s="4" t="s">
        <v>116</v>
      </c>
      <c r="B42" s="65">
        <f ca="1">B40*B36+B41*B37*(1-highlights!B1)</f>
        <v>0.12419852288164587</v>
      </c>
    </row>
    <row r="44" spans="1:3" ht="20.05" customHeight="1" x14ac:dyDescent="0.55000000000000004">
      <c r="A44" s="4" t="s">
        <v>173</v>
      </c>
      <c r="B44" s="11">
        <f ca="1">(G26*(1+0.02))/(B42-assumptions!B4)</f>
        <v>15374114.422864558</v>
      </c>
    </row>
    <row r="45" spans="1:3" ht="20.05" customHeight="1" x14ac:dyDescent="0.55000000000000004">
      <c r="A45" s="4" t="s">
        <v>176</v>
      </c>
      <c r="B45" s="11">
        <f ca="1">B44/(1+B42)^5</f>
        <v>8561996.7251677532</v>
      </c>
    </row>
    <row r="46" spans="1:3" ht="20.05" customHeight="1" x14ac:dyDescent="0.55000000000000004">
      <c r="A46" s="4" t="s">
        <v>177</v>
      </c>
      <c r="B46" s="11">
        <f ca="1">SUM(C28:G28,B45)</f>
        <v>12066742.371921752</v>
      </c>
    </row>
    <row r="47" spans="1:3" ht="20.05" customHeight="1" x14ac:dyDescent="0.55000000000000004">
      <c r="A47" s="4" t="s">
        <v>179</v>
      </c>
      <c r="B47" s="11">
        <f ca="1">B46-highlights!F30</f>
        <v>12578566.371921752</v>
      </c>
    </row>
    <row r="48" spans="1:3" ht="20.05" customHeight="1" x14ac:dyDescent="0.55000000000000004">
      <c r="A48" s="4" t="s">
        <v>180</v>
      </c>
      <c r="B48" s="81">
        <f ca="1">B47/highlights!F36 * 1000</f>
        <v>67.943831313994465</v>
      </c>
    </row>
    <row r="49" spans="1:2" ht="20.05" customHeight="1" x14ac:dyDescent="0.55000000000000004">
      <c r="A49" s="4" t="s">
        <v>185</v>
      </c>
      <c r="B49" s="72">
        <f ca="1">assumptions!D2</f>
        <v>45.78</v>
      </c>
    </row>
    <row r="50" spans="1:2" ht="20.05" customHeight="1" x14ac:dyDescent="0.55000000000000004">
      <c r="A50" s="4" t="s">
        <v>186</v>
      </c>
      <c r="B50" s="62">
        <f ca="1">B48/B49-1</f>
        <v>0.48413786181726648</v>
      </c>
    </row>
  </sheetData>
  <conditionalFormatting sqref="B50">
    <cfRule type="cellIs" dxfId="1" priority="1" operator="greaterThan">
      <formula>0</formula>
    </cfRule>
    <cfRule type="cellIs" dxfId="0" priority="2" operator="lessThanOr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E1FA-E967-47B0-B93E-C43E58801B3E}">
  <dimension ref="A1:L56"/>
  <sheetViews>
    <sheetView showGridLines="0" topLeftCell="A25" workbookViewId="0">
      <selection activeCell="F42" sqref="F42"/>
    </sheetView>
  </sheetViews>
  <sheetFormatPr defaultRowHeight="14.4" x14ac:dyDescent="0.55000000000000004"/>
  <cols>
    <col min="1" max="1" width="35.734375" customWidth="1"/>
    <col min="2" max="3" width="11.05078125" bestFit="1" customWidth="1"/>
    <col min="4" max="4" width="15.20703125" bestFit="1" customWidth="1"/>
    <col min="5" max="6" width="11.05078125" bestFit="1" customWidth="1"/>
    <col min="7" max="7" width="12" customWidth="1"/>
    <col min="8" max="12" width="11.5234375" bestFit="1" customWidth="1"/>
  </cols>
  <sheetData>
    <row r="1" spans="1:12" x14ac:dyDescent="0.55000000000000004">
      <c r="A1" s="4" t="s">
        <v>140</v>
      </c>
      <c r="B1" s="51">
        <v>0.2</v>
      </c>
      <c r="D1" t="s">
        <v>143</v>
      </c>
    </row>
    <row r="2" spans="1:12" x14ac:dyDescent="0.55000000000000004">
      <c r="A2" t="s">
        <v>156</v>
      </c>
      <c r="B2" s="62">
        <f>(F6/B6)^(1/(F5-B5))-1</f>
        <v>7.5957698022647735E-2</v>
      </c>
    </row>
    <row r="3" spans="1:12" x14ac:dyDescent="0.55000000000000004">
      <c r="B3" s="62"/>
    </row>
    <row r="5" spans="1:12" ht="14.7" thickBot="1" x14ac:dyDescent="0.6">
      <c r="A5" s="57" t="s">
        <v>122</v>
      </c>
      <c r="B5" s="57">
        <v>2019</v>
      </c>
      <c r="C5" s="57">
        <v>2020</v>
      </c>
      <c r="D5" s="57">
        <v>2021</v>
      </c>
      <c r="E5" s="57">
        <v>2022</v>
      </c>
      <c r="F5" s="57">
        <v>2023</v>
      </c>
      <c r="G5" s="57" t="s">
        <v>163</v>
      </c>
      <c r="H5" s="57" t="s">
        <v>198</v>
      </c>
      <c r="I5" s="57" t="s">
        <v>131</v>
      </c>
      <c r="J5" s="57" t="s">
        <v>132</v>
      </c>
      <c r="K5" s="57" t="s">
        <v>133</v>
      </c>
      <c r="L5" s="57" t="s">
        <v>134</v>
      </c>
    </row>
    <row r="6" spans="1:12" x14ac:dyDescent="0.55000000000000004">
      <c r="A6" t="s">
        <v>121</v>
      </c>
      <c r="B6" s="11">
        <f>income_statement!B2</f>
        <v>3221443</v>
      </c>
      <c r="C6" s="11">
        <f>income_statement!C2</f>
        <v>3222411</v>
      </c>
      <c r="D6" s="11">
        <f>income_statement!D2</f>
        <v>3445551</v>
      </c>
      <c r="E6" s="11">
        <f>income_statement!E2</f>
        <v>3995519</v>
      </c>
      <c r="F6" s="11">
        <f>income_statement!F2</f>
        <v>4317489</v>
      </c>
      <c r="G6" s="62">
        <f>(F6/B6)^(1/4)-1</f>
        <v>7.5957698022647735E-2</v>
      </c>
      <c r="H6" s="63">
        <f>F6*(1+$B$2)</f>
        <v>4645435.5256781038</v>
      </c>
      <c r="I6" s="63">
        <f t="shared" ref="I6:L6" si="0">H6*(1+$B$2)</f>
        <v>4998292.1145212408</v>
      </c>
      <c r="J6" s="63">
        <f t="shared" si="0"/>
        <v>5377950.8775850264</v>
      </c>
      <c r="K6" s="63">
        <f t="shared" si="0"/>
        <v>5786447.6463252632</v>
      </c>
      <c r="L6" s="63">
        <f t="shared" si="0"/>
        <v>6225972.8892686982</v>
      </c>
    </row>
    <row r="7" spans="1:12" x14ac:dyDescent="0.55000000000000004">
      <c r="A7" t="s">
        <v>155</v>
      </c>
      <c r="B7" s="11">
        <f>ABS(income_statement!B5)</f>
        <v>1204228</v>
      </c>
      <c r="C7" s="11">
        <f>ABS(income_statement!C5)</f>
        <v>1154951</v>
      </c>
      <c r="D7" s="11">
        <f>ABS(income_statement!D5)</f>
        <v>1334977</v>
      </c>
      <c r="E7" s="11">
        <f>ABS(income_statement!E5)</f>
        <v>1698338</v>
      </c>
      <c r="F7" s="11">
        <f>ABS(income_statement!F5)</f>
        <v>1620437</v>
      </c>
      <c r="G7" s="62">
        <f t="shared" ref="G7:G46" si="1">(F7/B7)^(1/4)-1</f>
        <v>7.7037581366453667E-2</v>
      </c>
      <c r="H7" s="63"/>
      <c r="I7" s="63"/>
      <c r="J7" s="63"/>
      <c r="K7" s="63"/>
      <c r="L7" s="63"/>
    </row>
    <row r="8" spans="1:12" x14ac:dyDescent="0.55000000000000004">
      <c r="A8" s="64" t="s">
        <v>167</v>
      </c>
      <c r="B8" s="101">
        <f>B7/B6</f>
        <v>0.37381633013528409</v>
      </c>
      <c r="C8" s="101">
        <f t="shared" ref="C8:F8" si="2">C7/C6</f>
        <v>0.35841207096177363</v>
      </c>
      <c r="D8" s="101">
        <f t="shared" si="2"/>
        <v>0.38744949646660287</v>
      </c>
      <c r="E8" s="101">
        <f t="shared" si="2"/>
        <v>0.42506067422029531</v>
      </c>
      <c r="F8" s="101">
        <f t="shared" si="2"/>
        <v>0.37531931175736638</v>
      </c>
      <c r="G8" s="62"/>
      <c r="H8" s="66">
        <f>AVERAGE(B8:F8)</f>
        <v>0.38401157670826447</v>
      </c>
      <c r="I8" s="63"/>
      <c r="J8" s="63"/>
      <c r="K8" s="63"/>
      <c r="L8" s="63"/>
    </row>
    <row r="9" spans="1:12" x14ac:dyDescent="0.55000000000000004">
      <c r="A9" t="s">
        <v>158</v>
      </c>
      <c r="B9" s="11">
        <f>ABS(SUM(income_statement!B6:B8))</f>
        <v>1353475</v>
      </c>
      <c r="C9" s="11">
        <f>ABS(SUM(income_statement!C6:C8))</f>
        <v>1317980</v>
      </c>
      <c r="D9" s="11">
        <f>ABS(SUM(income_statement!D6:D8))</f>
        <v>1368440</v>
      </c>
      <c r="E9" s="11">
        <f>ABS(SUM(income_statement!E6:E8))</f>
        <v>1532770</v>
      </c>
      <c r="F9" s="11">
        <f>ABS(SUM(income_statement!F6:F8))</f>
        <v>1561676</v>
      </c>
      <c r="G9" s="62">
        <f t="shared" si="1"/>
        <v>3.6418542769312889E-2</v>
      </c>
      <c r="H9" s="62"/>
      <c r="I9" s="63"/>
      <c r="J9" s="63"/>
      <c r="K9" s="63"/>
      <c r="L9" s="63"/>
    </row>
    <row r="10" spans="1:12" x14ac:dyDescent="0.55000000000000004">
      <c r="A10" t="s">
        <v>167</v>
      </c>
      <c r="B10" s="101">
        <f>B9/B6</f>
        <v>0.42014556830588029</v>
      </c>
      <c r="C10" s="101">
        <f t="shared" ref="C10:F10" si="3">C9/C6</f>
        <v>0.40900431385071612</v>
      </c>
      <c r="D10" s="101">
        <f t="shared" si="3"/>
        <v>0.39716144094224698</v>
      </c>
      <c r="E10" s="101">
        <f t="shared" si="3"/>
        <v>0.38362225282873141</v>
      </c>
      <c r="F10" s="101">
        <f t="shared" si="3"/>
        <v>0.36170931761493774</v>
      </c>
      <c r="G10" s="62"/>
      <c r="H10" s="66">
        <f t="shared" ref="H10:H17" si="4">AVERAGE(B10:F10)</f>
        <v>0.39432857870850252</v>
      </c>
      <c r="I10" s="63"/>
      <c r="J10" s="63"/>
      <c r="K10" s="63"/>
      <c r="L10" s="63"/>
    </row>
    <row r="11" spans="1:12" x14ac:dyDescent="0.55000000000000004">
      <c r="A11" t="s">
        <v>118</v>
      </c>
      <c r="B11" s="11">
        <f>income_statement!B9</f>
        <v>728104</v>
      </c>
      <c r="C11" s="11">
        <f>income_statement!C9</f>
        <v>780801</v>
      </c>
      <c r="D11" s="11">
        <f>income_statement!D9</f>
        <v>794644</v>
      </c>
      <c r="E11" s="11">
        <f>income_statement!E9</f>
        <v>883676</v>
      </c>
      <c r="F11" s="11">
        <f>income_statement!F9</f>
        <v>1243215</v>
      </c>
      <c r="G11" s="62"/>
      <c r="H11" s="62"/>
    </row>
    <row r="12" spans="1:12" x14ac:dyDescent="0.55000000000000004">
      <c r="A12" s="64" t="s">
        <v>167</v>
      </c>
      <c r="B12" s="66">
        <f>B11/B6</f>
        <v>0.22601796772440177</v>
      </c>
      <c r="C12" s="66">
        <f t="shared" ref="C12:F12" si="5">C11/C6</f>
        <v>0.24230335608958634</v>
      </c>
      <c r="D12" s="66">
        <f t="shared" si="5"/>
        <v>0.23062900534631472</v>
      </c>
      <c r="E12" s="66">
        <f t="shared" si="5"/>
        <v>0.22116676206520355</v>
      </c>
      <c r="F12" s="66">
        <f t="shared" si="5"/>
        <v>0.28794862013545375</v>
      </c>
      <c r="G12" s="66"/>
      <c r="H12" s="66">
        <f t="shared" si="4"/>
        <v>0.24161314227219205</v>
      </c>
    </row>
    <row r="13" spans="1:12" x14ac:dyDescent="0.55000000000000004">
      <c r="A13" t="s">
        <v>160</v>
      </c>
      <c r="B13" s="11">
        <f>SUM(income_statement!B10:B11)</f>
        <v>-259866</v>
      </c>
      <c r="C13" s="11">
        <f>SUM(income_statement!C10:C11)</f>
        <v>-256911</v>
      </c>
      <c r="D13" s="11">
        <f>SUM(income_statement!D10:D11)</f>
        <v>-249048</v>
      </c>
      <c r="E13" s="11">
        <f>SUM(income_statement!E10:E11)</f>
        <v>-388900</v>
      </c>
      <c r="F13" s="11">
        <f>SUM(income_statement!F10:F11)</f>
        <v>-258425</v>
      </c>
      <c r="G13" s="62">
        <f t="shared" si="1"/>
        <v>-1.3891834624155663E-3</v>
      </c>
      <c r="H13" s="66"/>
    </row>
    <row r="14" spans="1:12" x14ac:dyDescent="0.55000000000000004">
      <c r="A14" s="64" t="s">
        <v>199</v>
      </c>
      <c r="B14" s="66">
        <f>ABS(B13)/B11</f>
        <v>0.35690780437959413</v>
      </c>
      <c r="C14" s="66">
        <f t="shared" ref="C14:F14" si="6">ABS(C13)/C11</f>
        <v>0.32903518310043151</v>
      </c>
      <c r="D14" s="66">
        <f t="shared" si="6"/>
        <v>0.31340826835664776</v>
      </c>
      <c r="E14" s="66">
        <f t="shared" si="6"/>
        <v>0.44009342790796629</v>
      </c>
      <c r="F14" s="66">
        <f t="shared" si="6"/>
        <v>0.2078683091822412</v>
      </c>
      <c r="G14" s="66"/>
      <c r="H14" s="66">
        <f>AVERAGE(B14:F14)</f>
        <v>0.32946259858537613</v>
      </c>
    </row>
    <row r="15" spans="1:12" x14ac:dyDescent="0.55000000000000004">
      <c r="A15" t="s">
        <v>117</v>
      </c>
      <c r="B15" s="11">
        <f>income_statement!B12</f>
        <v>468238</v>
      </c>
      <c r="C15" s="11">
        <f>income_statement!C12</f>
        <v>523890</v>
      </c>
      <c r="D15" s="11">
        <f>income_statement!D12</f>
        <v>545596</v>
      </c>
      <c r="E15" s="11">
        <f>income_statement!E12</f>
        <v>494776</v>
      </c>
      <c r="F15" s="11">
        <f>income_statement!F12</f>
        <v>984790</v>
      </c>
      <c r="G15" s="62">
        <f t="shared" si="1"/>
        <v>0.20425717756209383</v>
      </c>
    </row>
    <row r="16" spans="1:12" x14ac:dyDescent="0.55000000000000004">
      <c r="A16" s="64" t="s">
        <v>167</v>
      </c>
      <c r="B16" s="66">
        <f>B15/B6</f>
        <v>0.14535039111354756</v>
      </c>
      <c r="C16" s="66">
        <f t="shared" ref="C16:F16" si="7">C15/C6</f>
        <v>0.16257702695280024</v>
      </c>
      <c r="D16" s="66">
        <f t="shared" si="7"/>
        <v>0.15834796814791016</v>
      </c>
      <c r="E16" s="66">
        <f t="shared" si="7"/>
        <v>0.12383272360862256</v>
      </c>
      <c r="F16" s="66">
        <f t="shared" si="7"/>
        <v>0.2280932273365375</v>
      </c>
      <c r="G16" s="62"/>
      <c r="H16" s="66">
        <f t="shared" si="4"/>
        <v>0.16364026743188359</v>
      </c>
    </row>
    <row r="17" spans="1:8" x14ac:dyDescent="0.55000000000000004">
      <c r="A17" s="64" t="s">
        <v>199</v>
      </c>
      <c r="B17" s="66">
        <f>B15/B11</f>
        <v>0.64309219562040587</v>
      </c>
      <c r="C17" s="66">
        <f t="shared" ref="C17:F17" si="8">C15/C11</f>
        <v>0.67096481689956855</v>
      </c>
      <c r="D17" s="66">
        <f t="shared" si="8"/>
        <v>0.6865917316433523</v>
      </c>
      <c r="E17" s="66">
        <f t="shared" si="8"/>
        <v>0.55990657209203376</v>
      </c>
      <c r="F17" s="66">
        <f t="shared" si="8"/>
        <v>0.7921316908177588</v>
      </c>
      <c r="G17" s="62"/>
      <c r="H17" s="66">
        <f t="shared" si="4"/>
        <v>0.67053740141462392</v>
      </c>
    </row>
    <row r="18" spans="1:8" x14ac:dyDescent="0.55000000000000004">
      <c r="A18" t="s">
        <v>141</v>
      </c>
      <c r="B18" s="11">
        <f>B15*(1-$B$1)</f>
        <v>374590.4</v>
      </c>
      <c r="C18" s="11">
        <f>C15*(1-$B$1)</f>
        <v>419112</v>
      </c>
      <c r="D18" s="11">
        <f>D15*(1-$B$1)</f>
        <v>436476.80000000005</v>
      </c>
      <c r="E18" s="11">
        <f>E15*(1-$B$1)</f>
        <v>395820.80000000005</v>
      </c>
      <c r="F18" s="11">
        <f>F15*(1-$B$1)</f>
        <v>787832</v>
      </c>
      <c r="G18" s="62">
        <f t="shared" si="1"/>
        <v>0.20425717756209383</v>
      </c>
    </row>
    <row r="19" spans="1:8" x14ac:dyDescent="0.55000000000000004">
      <c r="A19" s="64" t="s">
        <v>167</v>
      </c>
      <c r="B19" s="66">
        <f>B18/B6</f>
        <v>0.11628031289083805</v>
      </c>
      <c r="C19" s="66">
        <f>C18/C6</f>
        <v>0.13006162156224019</v>
      </c>
      <c r="D19" s="66">
        <f>D18/D6</f>
        <v>0.12667837451832814</v>
      </c>
      <c r="E19" s="66">
        <f>E18/E6</f>
        <v>9.906617888689806E-2</v>
      </c>
      <c r="F19" s="66">
        <f>F18/F6</f>
        <v>0.18247458186923002</v>
      </c>
      <c r="G19" s="62"/>
      <c r="H19" s="102">
        <f>AVERAGE(B19:F19)</f>
        <v>0.13091221394550689</v>
      </c>
    </row>
    <row r="20" spans="1:8" x14ac:dyDescent="0.55000000000000004">
      <c r="A20" t="s">
        <v>145</v>
      </c>
      <c r="B20" s="11">
        <f>income_statement!B19</f>
        <v>385910</v>
      </c>
      <c r="C20" s="11">
        <f>income_statement!C19</f>
        <v>560472</v>
      </c>
      <c r="D20" s="11">
        <f>income_statement!D19</f>
        <v>542300</v>
      </c>
      <c r="E20" s="11">
        <f>income_statement!E19</f>
        <v>458779</v>
      </c>
      <c r="F20" s="11">
        <f>income_statement!F19</f>
        <v>966813</v>
      </c>
      <c r="G20" s="62">
        <f t="shared" si="1"/>
        <v>0.25809695791895071</v>
      </c>
    </row>
    <row r="21" spans="1:8" x14ac:dyDescent="0.55000000000000004">
      <c r="A21" s="64" t="s">
        <v>199</v>
      </c>
      <c r="B21" s="66">
        <f>B20/B11</f>
        <v>0.53002043664091947</v>
      </c>
      <c r="C21" s="66">
        <f>C20/C11</f>
        <v>0.71781670361590211</v>
      </c>
      <c r="D21" s="66">
        <f>D20/D11</f>
        <v>0.68244396232778448</v>
      </c>
      <c r="E21" s="66">
        <f>E20/E11</f>
        <v>0.51917105364409577</v>
      </c>
      <c r="F21" s="66">
        <f>F20/F11</f>
        <v>0.77767160145268521</v>
      </c>
      <c r="G21" s="62"/>
      <c r="H21" s="102">
        <f>AVERAGE(B21:F21)</f>
        <v>0.64542475153627743</v>
      </c>
    </row>
    <row r="22" spans="1:8" x14ac:dyDescent="0.55000000000000004">
      <c r="A22" t="s">
        <v>151</v>
      </c>
      <c r="B22" s="11">
        <f>cash_flow_statement!B7</f>
        <v>575479</v>
      </c>
      <c r="C22" s="11">
        <f>cash_flow_statement!C7</f>
        <v>588810</v>
      </c>
      <c r="D22" s="11">
        <f>cash_flow_statement!D7</f>
        <v>591657</v>
      </c>
      <c r="E22" s="11">
        <f>cash_flow_statement!E7</f>
        <v>394715</v>
      </c>
      <c r="F22" s="11">
        <f>cash_flow_statement!F7</f>
        <v>818804</v>
      </c>
      <c r="G22" s="62">
        <f t="shared" si="1"/>
        <v>9.2163400593102907E-2</v>
      </c>
    </row>
    <row r="23" spans="1:8" x14ac:dyDescent="0.55000000000000004">
      <c r="A23" t="s">
        <v>150</v>
      </c>
      <c r="B23" s="11">
        <f>SUM(cash_flow_statement!B10,cash_flow_statement!B11)</f>
        <v>-257084</v>
      </c>
      <c r="C23" s="11">
        <f>SUM(cash_flow_statement!C10,cash_flow_statement!C11)</f>
        <v>-228139</v>
      </c>
      <c r="D23" s="11">
        <f>SUM(cash_flow_statement!D10,cash_flow_statement!D11)</f>
        <v>-214447</v>
      </c>
      <c r="E23" s="11">
        <f>SUM(cash_flow_statement!E10,cash_flow_statement!E11)</f>
        <v>-266738</v>
      </c>
      <c r="F23" s="11">
        <f>SUM(cash_flow_statement!F10,cash_flow_statement!F11)</f>
        <v>-303704</v>
      </c>
      <c r="G23" s="62">
        <f t="shared" si="1"/>
        <v>4.2542734085359024E-2</v>
      </c>
    </row>
    <row r="24" spans="1:8" x14ac:dyDescent="0.55000000000000004">
      <c r="A24" s="71" t="s">
        <v>159</v>
      </c>
      <c r="B24" s="66">
        <f>ABS(B23)/B6</f>
        <v>7.9803988461071632E-2</v>
      </c>
      <c r="C24" s="66">
        <f>ABS(C23)/C6</f>
        <v>7.0797610857212187E-2</v>
      </c>
      <c r="D24" s="66">
        <f>ABS(D23)/D6</f>
        <v>6.2238811731418285E-2</v>
      </c>
      <c r="E24" s="66">
        <f>ABS(E23)/E6</f>
        <v>6.6759287091364097E-2</v>
      </c>
      <c r="F24" s="66">
        <f>ABS(F23)/F6</f>
        <v>7.0342738568644883E-2</v>
      </c>
      <c r="G24" s="62"/>
    </row>
    <row r="25" spans="1:8" x14ac:dyDescent="0.55000000000000004">
      <c r="A25" s="10" t="s">
        <v>154</v>
      </c>
      <c r="B25" s="13">
        <f>SUM(cash_flow_statement!B22,cash_flow_statement!B23,cash_flow_statement!B24)</f>
        <v>98267</v>
      </c>
      <c r="C25" s="13">
        <f>SUM(cash_flow_statement!C22,cash_flow_statement!C23,cash_flow_statement!C24)</f>
        <v>-27250</v>
      </c>
      <c r="D25" s="13">
        <f>SUM(cash_flow_statement!D22,cash_flow_statement!D23,cash_flow_statement!D24)</f>
        <v>-112410</v>
      </c>
      <c r="E25" s="13">
        <f>SUM(cash_flow_statement!E22,cash_flow_statement!E23,cash_flow_statement!E24)</f>
        <v>63421</v>
      </c>
      <c r="F25" s="13">
        <f>SUM(cash_flow_statement!F22,cash_flow_statement!F23,cash_flow_statement!F24)</f>
        <v>-595465</v>
      </c>
      <c r="G25" s="62" t="e">
        <f>(F25/B25)^(1/4)-1</f>
        <v>#NUM!</v>
      </c>
    </row>
    <row r="26" spans="1:8" x14ac:dyDescent="0.55000000000000004">
      <c r="A26" s="4" t="s">
        <v>144</v>
      </c>
      <c r="B26" s="14">
        <f>SUM(B22:B25)</f>
        <v>416662.07980398845</v>
      </c>
      <c r="C26" s="14">
        <f t="shared" ref="C26:F26" si="9">SUM(C22:C25)</f>
        <v>333421.07079761085</v>
      </c>
      <c r="D26" s="14">
        <f t="shared" si="9"/>
        <v>264800.06223881175</v>
      </c>
      <c r="E26" s="14">
        <f t="shared" si="9"/>
        <v>191398.06675928709</v>
      </c>
      <c r="F26" s="14">
        <f t="shared" si="9"/>
        <v>-80364.929657261411</v>
      </c>
      <c r="G26" s="62" t="e">
        <f t="shared" si="1"/>
        <v>#NUM!</v>
      </c>
    </row>
    <row r="27" spans="1:8" x14ac:dyDescent="0.55000000000000004">
      <c r="G27" s="62"/>
    </row>
    <row r="28" spans="1:8" x14ac:dyDescent="0.55000000000000004">
      <c r="A28" t="s">
        <v>137</v>
      </c>
      <c r="B28" s="11">
        <f>SUM(balance_sheet!B30,balance_sheet!B40,balance_sheet!B41)</f>
        <v>1275779</v>
      </c>
      <c r="C28" s="11">
        <f>SUM(balance_sheet!C30,balance_sheet!C40,balance_sheet!C41)</f>
        <v>1232168</v>
      </c>
      <c r="D28" s="11">
        <f>SUM(balance_sheet!D30,balance_sheet!D40,balance_sheet!D41)</f>
        <v>1137062</v>
      </c>
      <c r="E28" s="11">
        <f>SUM(balance_sheet!E30,balance_sheet!E40,balance_sheet!E41)</f>
        <v>1214722</v>
      </c>
      <c r="F28" s="11">
        <f>SUM(balance_sheet!F30,balance_sheet!F40,balance_sheet!F41)</f>
        <v>608888</v>
      </c>
      <c r="G28" s="62">
        <f t="shared" si="1"/>
        <v>-0.16882879058056532</v>
      </c>
    </row>
    <row r="29" spans="1:8" x14ac:dyDescent="0.55000000000000004">
      <c r="A29" s="10" t="s">
        <v>138</v>
      </c>
      <c r="B29" s="13">
        <f>balance_sheet!B22</f>
        <v>837403</v>
      </c>
      <c r="C29" s="13">
        <f>balance_sheet!C22</f>
        <v>1218279</v>
      </c>
      <c r="D29" s="13">
        <f>balance_sheet!D22</f>
        <v>1203611</v>
      </c>
      <c r="E29" s="13">
        <f>balance_sheet!E22</f>
        <v>1341488</v>
      </c>
      <c r="F29" s="13">
        <f>balance_sheet!F22</f>
        <v>1120712</v>
      </c>
      <c r="G29" s="62">
        <f t="shared" si="1"/>
        <v>7.5572964823968469E-2</v>
      </c>
    </row>
    <row r="30" spans="1:8" x14ac:dyDescent="0.55000000000000004">
      <c r="A30" s="4" t="s">
        <v>136</v>
      </c>
      <c r="B30" s="14">
        <f>B28-B29</f>
        <v>438376</v>
      </c>
      <c r="C30" s="14">
        <f t="shared" ref="C30:F30" si="10">C28-C29</f>
        <v>13889</v>
      </c>
      <c r="D30" s="14">
        <f t="shared" si="10"/>
        <v>-66549</v>
      </c>
      <c r="E30" s="14">
        <f t="shared" si="10"/>
        <v>-126766</v>
      </c>
      <c r="F30" s="14">
        <f t="shared" si="10"/>
        <v>-511824</v>
      </c>
      <c r="G30" s="62" t="e">
        <f t="shared" si="1"/>
        <v>#NUM!</v>
      </c>
    </row>
    <row r="31" spans="1:8" x14ac:dyDescent="0.55000000000000004">
      <c r="A31" s="10" t="s">
        <v>99</v>
      </c>
      <c r="B31" s="13">
        <f>balance_sheet!B61</f>
        <v>3690821</v>
      </c>
      <c r="C31" s="13">
        <f>balance_sheet!C61</f>
        <v>3603007</v>
      </c>
      <c r="D31" s="13">
        <f>balance_sheet!D61</f>
        <v>4375204</v>
      </c>
      <c r="E31" s="13">
        <f>balance_sheet!E61</f>
        <v>4911457</v>
      </c>
      <c r="F31" s="13">
        <f>balance_sheet!F61</f>
        <v>5632028</v>
      </c>
      <c r="G31" s="62">
        <f t="shared" si="1"/>
        <v>0.11143854859117819</v>
      </c>
    </row>
    <row r="32" spans="1:8" x14ac:dyDescent="0.55000000000000004">
      <c r="A32" s="4" t="s">
        <v>135</v>
      </c>
      <c r="B32" s="14">
        <f>SUM(B30:B31)</f>
        <v>4129197</v>
      </c>
      <c r="C32" s="14">
        <f t="shared" ref="C32:F32" si="11">SUM(C30:C31)</f>
        <v>3616896</v>
      </c>
      <c r="D32" s="14">
        <f t="shared" si="11"/>
        <v>4308655</v>
      </c>
      <c r="E32" s="14">
        <f t="shared" si="11"/>
        <v>4784691</v>
      </c>
      <c r="F32" s="14">
        <f t="shared" si="11"/>
        <v>5120204</v>
      </c>
      <c r="G32" s="62">
        <f t="shared" si="1"/>
        <v>5.5250132489215842E-2</v>
      </c>
    </row>
    <row r="33" spans="1:12" x14ac:dyDescent="0.55000000000000004">
      <c r="G33" s="62"/>
    </row>
    <row r="34" spans="1:12" x14ac:dyDescent="0.55000000000000004">
      <c r="A34" t="s">
        <v>139</v>
      </c>
      <c r="B34" s="56">
        <v>385671</v>
      </c>
      <c r="C34" s="56">
        <v>560246</v>
      </c>
      <c r="D34" s="56">
        <v>541903</v>
      </c>
      <c r="E34" s="56">
        <v>458786</v>
      </c>
      <c r="F34" s="56">
        <v>966545</v>
      </c>
      <c r="G34" s="62">
        <f t="shared" si="1"/>
        <v>0.25820461454614518</v>
      </c>
    </row>
    <row r="35" spans="1:12" x14ac:dyDescent="0.55000000000000004">
      <c r="A35" t="s">
        <v>149</v>
      </c>
      <c r="B35" s="55">
        <v>17.899999999999999</v>
      </c>
      <c r="C35" s="55">
        <v>17.489999999999998</v>
      </c>
      <c r="D35" s="55">
        <v>22.71</v>
      </c>
      <c r="E35" s="55">
        <v>25.5</v>
      </c>
      <c r="F35" s="55">
        <v>29.24</v>
      </c>
      <c r="G35" s="62">
        <f t="shared" si="1"/>
        <v>0.13052737852370599</v>
      </c>
    </row>
    <row r="36" spans="1:12" x14ac:dyDescent="0.55000000000000004">
      <c r="A36" s="10" t="s">
        <v>142</v>
      </c>
      <c r="B36" s="61">
        <v>191409874</v>
      </c>
      <c r="C36" s="61">
        <v>192288607</v>
      </c>
      <c r="D36" s="61">
        <v>192131838</v>
      </c>
      <c r="E36" s="61">
        <v>186377503</v>
      </c>
      <c r="F36" s="61">
        <v>185131838</v>
      </c>
      <c r="G36" s="62">
        <f t="shared" si="1"/>
        <v>-8.3025560326389636E-3</v>
      </c>
    </row>
    <row r="37" spans="1:12" x14ac:dyDescent="0.55000000000000004">
      <c r="A37" s="4" t="s">
        <v>119</v>
      </c>
      <c r="B37" s="58">
        <v>1.8779999999999999</v>
      </c>
      <c r="C37" s="58">
        <v>2.7490000000000001</v>
      </c>
      <c r="D37" s="58">
        <f>D34/D36 *1000</f>
        <v>2.8204747617102379</v>
      </c>
      <c r="E37" s="58">
        <f>E34/E36 *1000</f>
        <v>2.4615953782791045</v>
      </c>
      <c r="F37" s="58">
        <f>F34/F36 *1000</f>
        <v>5.2208469944537574</v>
      </c>
      <c r="G37" s="62">
        <f t="shared" si="1"/>
        <v>0.29125300268040122</v>
      </c>
    </row>
    <row r="38" spans="1:12" x14ac:dyDescent="0.55000000000000004">
      <c r="B38" s="54"/>
      <c r="C38" s="54"/>
      <c r="D38" s="54"/>
      <c r="E38" s="54"/>
      <c r="F38" s="54"/>
      <c r="G38" s="62"/>
    </row>
    <row r="39" spans="1:12" x14ac:dyDescent="0.55000000000000004">
      <c r="A39" s="10" t="s">
        <v>147</v>
      </c>
      <c r="B39" s="60">
        <v>26559</v>
      </c>
      <c r="C39" s="60">
        <v>31802</v>
      </c>
      <c r="D39" s="60">
        <v>48033</v>
      </c>
      <c r="E39" s="60">
        <v>74053</v>
      </c>
      <c r="F39" s="60">
        <v>83309</v>
      </c>
      <c r="G39" s="62">
        <f t="shared" si="1"/>
        <v>0.33082224204857358</v>
      </c>
    </row>
    <row r="40" spans="1:12" x14ac:dyDescent="0.55000000000000004">
      <c r="A40" s="4" t="s">
        <v>148</v>
      </c>
      <c r="B40" s="59">
        <f>B39/B36*1000</f>
        <v>0.13875459737254725</v>
      </c>
      <c r="C40" s="59">
        <v>0.25</v>
      </c>
      <c r="D40" s="59">
        <v>0.4</v>
      </c>
      <c r="E40" s="59">
        <v>0.45</v>
      </c>
      <c r="F40" s="59">
        <v>0.6</v>
      </c>
      <c r="G40" s="62">
        <f t="shared" si="1"/>
        <v>0.44203555059449395</v>
      </c>
    </row>
    <row r="41" spans="1:12" x14ac:dyDescent="0.55000000000000004">
      <c r="B41" s="54"/>
      <c r="C41" s="54"/>
      <c r="D41" s="54"/>
      <c r="E41" s="54"/>
      <c r="F41" s="54"/>
      <c r="G41" s="62"/>
    </row>
    <row r="42" spans="1:12" x14ac:dyDescent="0.55000000000000004">
      <c r="B42" s="54"/>
      <c r="C42" s="54"/>
      <c r="D42" s="54"/>
      <c r="E42" s="54"/>
      <c r="F42" s="54"/>
      <c r="G42" s="62"/>
    </row>
    <row r="43" spans="1:12" x14ac:dyDescent="0.55000000000000004">
      <c r="A43" t="s">
        <v>153</v>
      </c>
      <c r="B43" s="11">
        <f>(balance_sheet!B23-balance_sheet!B22)-(balance_sheet!B47-balance_sheet!B41-balance_sheet!B40)</f>
        <v>519817</v>
      </c>
      <c r="C43" s="11">
        <f>(balance_sheet!C23-balance_sheet!C22)-(balance_sheet!C47-balance_sheet!C41-balance_sheet!C40)</f>
        <v>334240</v>
      </c>
      <c r="D43" s="11">
        <f>(balance_sheet!D23-balance_sheet!D22)-(balance_sheet!D47-balance_sheet!D41-balance_sheet!D40)</f>
        <v>505980</v>
      </c>
      <c r="E43" s="11">
        <f>(balance_sheet!E23-balance_sheet!E22)-(balance_sheet!E47-balance_sheet!E41-balance_sheet!E40)</f>
        <v>799631</v>
      </c>
      <c r="F43" s="11">
        <f>(balance_sheet!F23-balance_sheet!F22)-(balance_sheet!F47-balance_sheet!F41-balance_sheet!F40)</f>
        <v>1014099</v>
      </c>
      <c r="G43" s="62">
        <f t="shared" si="1"/>
        <v>0.18183669139552849</v>
      </c>
    </row>
    <row r="44" spans="1:12" x14ac:dyDescent="0.55000000000000004">
      <c r="A44" s="64" t="s">
        <v>167</v>
      </c>
      <c r="B44" s="66">
        <f>B43/B6</f>
        <v>0.16136153891284125</v>
      </c>
      <c r="C44" s="66">
        <f>C43/C6</f>
        <v>0.10372357840138952</v>
      </c>
      <c r="D44" s="66">
        <f>D43/D6</f>
        <v>0.14685024253014975</v>
      </c>
      <c r="E44" s="66">
        <f>E43/E6</f>
        <v>0.20013194781453925</v>
      </c>
      <c r="F44" s="66">
        <f>F43/F6</f>
        <v>0.2348816638560052</v>
      </c>
      <c r="G44" s="62"/>
      <c r="H44" s="98">
        <f>AVERAGE(B44:F44)</f>
        <v>0.16938979430298501</v>
      </c>
    </row>
    <row r="45" spans="1:12" x14ac:dyDescent="0.55000000000000004">
      <c r="A45" t="s">
        <v>152</v>
      </c>
      <c r="B45" s="11">
        <v>0</v>
      </c>
      <c r="C45" s="11">
        <f>C43-B43</f>
        <v>-185577</v>
      </c>
      <c r="D45" s="11">
        <f t="shared" ref="D45:F45" si="12">D43-C43</f>
        <v>171740</v>
      </c>
      <c r="E45" s="11">
        <f t="shared" si="12"/>
        <v>293651</v>
      </c>
      <c r="F45" s="11">
        <f t="shared" si="12"/>
        <v>214468</v>
      </c>
      <c r="G45" s="62"/>
    </row>
    <row r="46" spans="1:12" x14ac:dyDescent="0.55000000000000004">
      <c r="A46" t="s">
        <v>146</v>
      </c>
      <c r="B46" s="56">
        <f>SUM(B34,B30)</f>
        <v>824047</v>
      </c>
      <c r="C46" s="56">
        <f>SUM(C34,C30)</f>
        <v>574135</v>
      </c>
      <c r="D46" s="56">
        <f>SUM(D34,D30)</f>
        <v>475354</v>
      </c>
      <c r="E46" s="56">
        <f>SUM(E34,E30)</f>
        <v>332020</v>
      </c>
      <c r="F46" s="56">
        <f>SUM(F34,F30)</f>
        <v>454721</v>
      </c>
      <c r="G46" s="62">
        <f t="shared" si="1"/>
        <v>-0.13811711409158478</v>
      </c>
    </row>
    <row r="48" spans="1:12" ht="14.7" thickBot="1" x14ac:dyDescent="0.6">
      <c r="A48" s="57" t="s">
        <v>123</v>
      </c>
      <c r="B48" s="57">
        <v>2019</v>
      </c>
      <c r="C48" s="57">
        <v>2020</v>
      </c>
      <c r="D48" s="57">
        <v>2021</v>
      </c>
      <c r="E48" s="57">
        <v>2022</v>
      </c>
      <c r="F48" s="57">
        <v>2023</v>
      </c>
      <c r="G48" s="57"/>
      <c r="H48" s="57" t="s">
        <v>130</v>
      </c>
      <c r="I48" s="57" t="s">
        <v>131</v>
      </c>
      <c r="J48" s="57" t="s">
        <v>132</v>
      </c>
      <c r="K48" s="57" t="s">
        <v>133</v>
      </c>
      <c r="L48" s="57" t="s">
        <v>134</v>
      </c>
    </row>
    <row r="49" spans="1:12" x14ac:dyDescent="0.55000000000000004">
      <c r="A49" t="s">
        <v>124</v>
      </c>
      <c r="B49" s="52">
        <f>B15/B6</f>
        <v>0.14535039111354756</v>
      </c>
      <c r="C49" s="52">
        <f>C15/C6</f>
        <v>0.16257702695280024</v>
      </c>
      <c r="D49" s="52">
        <f>D15/D6</f>
        <v>0.15834796814791016</v>
      </c>
      <c r="E49" s="52">
        <f>E15/E6</f>
        <v>0.12383272360862256</v>
      </c>
      <c r="F49" s="52">
        <f>F15/F6</f>
        <v>0.2280932273365375</v>
      </c>
      <c r="G49" s="52"/>
      <c r="H49" s="52">
        <f>H15/H6</f>
        <v>0</v>
      </c>
      <c r="I49" s="52">
        <f>I15/I6</f>
        <v>0</v>
      </c>
      <c r="J49" s="52">
        <f>J15/J6</f>
        <v>0</v>
      </c>
      <c r="K49" s="52">
        <f>K15/K6</f>
        <v>0</v>
      </c>
      <c r="L49" s="52">
        <f>L15/L6</f>
        <v>0</v>
      </c>
    </row>
    <row r="50" spans="1:12" x14ac:dyDescent="0.55000000000000004">
      <c r="A50" t="s">
        <v>125</v>
      </c>
      <c r="B50" s="52">
        <f>B18/B32</f>
        <v>9.0717493013774839E-2</v>
      </c>
      <c r="C50" s="52">
        <f>C18/C32</f>
        <v>0.11587615458116574</v>
      </c>
      <c r="D50" s="52">
        <f>D18/D32</f>
        <v>0.10130233216630249</v>
      </c>
      <c r="E50" s="52">
        <f>E18/E32</f>
        <v>8.2726512537591251E-2</v>
      </c>
      <c r="F50" s="52">
        <f>F18/F32</f>
        <v>0.15386730684949271</v>
      </c>
      <c r="G50" s="52"/>
      <c r="H50" s="52"/>
      <c r="I50" s="52"/>
      <c r="J50" s="52"/>
      <c r="K50" s="52"/>
      <c r="L50" s="52"/>
    </row>
    <row r="51" spans="1:12" x14ac:dyDescent="0.55000000000000004">
      <c r="A51" t="s">
        <v>165</v>
      </c>
      <c r="B51" s="52">
        <f>B20/B6</f>
        <v>0.11979414194198065</v>
      </c>
      <c r="C51" s="52">
        <f>C20/C6</f>
        <v>0.17392939634329699</v>
      </c>
      <c r="D51" s="52">
        <f>D20/D6</f>
        <v>0.15739137223625482</v>
      </c>
      <c r="E51" s="52">
        <f>E20/E6</f>
        <v>0.11482338089244476</v>
      </c>
      <c r="F51" s="52">
        <f>F20/F6</f>
        <v>0.22392946455682922</v>
      </c>
      <c r="G51" s="52"/>
      <c r="H51" s="52"/>
      <c r="I51" s="52"/>
      <c r="J51" s="52"/>
      <c r="K51" s="52"/>
      <c r="L51" s="52"/>
    </row>
    <row r="52" spans="1:12" x14ac:dyDescent="0.55000000000000004">
      <c r="A52" t="s">
        <v>126</v>
      </c>
      <c r="B52" s="52">
        <f>B46/B11</f>
        <v>1.1317710107347303</v>
      </c>
      <c r="C52" s="52">
        <f>C46/C11</f>
        <v>0.73531540046695631</v>
      </c>
      <c r="D52" s="52">
        <f>D46/D11</f>
        <v>0.59819743180594076</v>
      </c>
      <c r="E52" s="52">
        <f>E46/E11</f>
        <v>0.37572594480329896</v>
      </c>
      <c r="F52" s="52">
        <f>F46/F11</f>
        <v>0.36576215698813158</v>
      </c>
      <c r="G52" s="52"/>
    </row>
    <row r="53" spans="1:12" x14ac:dyDescent="0.55000000000000004">
      <c r="A53" t="s">
        <v>127</v>
      </c>
      <c r="B53" s="53">
        <f>B35/B37</f>
        <v>9.531416400425984</v>
      </c>
      <c r="C53" s="53">
        <f>C35/C37</f>
        <v>6.3623135685703884</v>
      </c>
      <c r="D53" s="53">
        <f>D35/D37</f>
        <v>8.0518359207828709</v>
      </c>
      <c r="E53" s="53">
        <f>E35/E37</f>
        <v>10.359135471657812</v>
      </c>
      <c r="F53" s="53">
        <f>F35/F37</f>
        <v>5.6006238127764361</v>
      </c>
      <c r="G53" s="53"/>
    </row>
    <row r="54" spans="1:12" x14ac:dyDescent="0.55000000000000004">
      <c r="A54" t="s">
        <v>128</v>
      </c>
      <c r="B54" s="52">
        <f>B26/B34</f>
        <v>1.0803562616945233</v>
      </c>
      <c r="C54" s="52">
        <f t="shared" ref="C54:F54" si="13">C26/C34</f>
        <v>0.59513333570897575</v>
      </c>
      <c r="D54" s="52">
        <f t="shared" si="13"/>
        <v>0.48864845228539378</v>
      </c>
      <c r="E54" s="52">
        <f t="shared" si="13"/>
        <v>0.41718375617234854</v>
      </c>
      <c r="F54" s="52">
        <f t="shared" si="13"/>
        <v>-8.3146599131195556E-2</v>
      </c>
      <c r="G54" s="52"/>
    </row>
    <row r="55" spans="1:12" x14ac:dyDescent="0.55000000000000004">
      <c r="A55" t="s">
        <v>129</v>
      </c>
      <c r="B55" s="52">
        <f>B40/B35</f>
        <v>7.7516534844998472E-3</v>
      </c>
      <c r="C55" s="52">
        <f>C40/C35</f>
        <v>1.4293882218410521E-2</v>
      </c>
      <c r="D55" s="52">
        <f>D40/D35</f>
        <v>1.7613386173491855E-2</v>
      </c>
      <c r="E55" s="52">
        <f>E40/E35</f>
        <v>1.7647058823529412E-2</v>
      </c>
      <c r="F55" s="52">
        <f>F40/F35</f>
        <v>2.0519835841313269E-2</v>
      </c>
      <c r="G55" s="52"/>
    </row>
    <row r="56" spans="1:12" x14ac:dyDescent="0.55000000000000004">
      <c r="A56" t="s">
        <v>120</v>
      </c>
      <c r="B56" s="52">
        <f>B30/B29</f>
        <v>0.52349466147123902</v>
      </c>
      <c r="C56" s="52">
        <f>C30/C29</f>
        <v>1.1400508422126622E-2</v>
      </c>
      <c r="D56" s="52">
        <f>D30/D29</f>
        <v>-5.5291119805319158E-2</v>
      </c>
      <c r="E56" s="52">
        <f>E30/E29</f>
        <v>-9.4496559044881509E-2</v>
      </c>
      <c r="F56" s="52">
        <f>F30/F29</f>
        <v>-0.4566953865042937</v>
      </c>
      <c r="G56" s="52"/>
    </row>
  </sheetData>
  <pageMargins left="0.7" right="0.7" top="0.75" bottom="0.75" header="0.3" footer="0.3"/>
  <ignoredErrors>
    <ignoredError sqref="G25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workbookViewId="0">
      <selection activeCell="G3" sqref="G3"/>
    </sheetView>
  </sheetViews>
  <sheetFormatPr defaultRowHeight="14.4" x14ac:dyDescent="0.55000000000000004"/>
  <cols>
    <col min="1" max="1" width="33.20703125" bestFit="1" customWidth="1"/>
    <col min="2" max="2" width="13.89453125" customWidth="1"/>
    <col min="3" max="6" width="13.89453125" bestFit="1" customWidth="1"/>
  </cols>
  <sheetData>
    <row r="1" spans="1:7" ht="14.7" thickBot="1" x14ac:dyDescent="0.6">
      <c r="A1" s="5" t="s">
        <v>24</v>
      </c>
      <c r="B1" s="31" t="s">
        <v>30</v>
      </c>
      <c r="C1" s="31" t="s">
        <v>29</v>
      </c>
      <c r="D1" s="31" t="s">
        <v>28</v>
      </c>
      <c r="E1" s="31" t="s">
        <v>27</v>
      </c>
      <c r="F1" s="30" t="s">
        <v>26</v>
      </c>
      <c r="G1" s="31" t="s">
        <v>197</v>
      </c>
    </row>
    <row r="2" spans="1:7" x14ac:dyDescent="0.55000000000000004">
      <c r="A2" s="32" t="s">
        <v>3</v>
      </c>
      <c r="B2" s="33">
        <v>3221443</v>
      </c>
      <c r="C2" s="33">
        <v>3222411</v>
      </c>
      <c r="D2" s="33">
        <v>3445551</v>
      </c>
      <c r="E2" s="33">
        <v>3995519</v>
      </c>
      <c r="F2" s="33">
        <v>4317489</v>
      </c>
      <c r="G2" s="99"/>
    </row>
    <row r="3" spans="1:7" ht="28.8" x14ac:dyDescent="0.55000000000000004">
      <c r="A3" s="1" t="s">
        <v>4</v>
      </c>
      <c r="B3" s="11">
        <v>12228</v>
      </c>
      <c r="C3" s="11">
        <v>-18868</v>
      </c>
      <c r="D3" s="11">
        <v>-21137</v>
      </c>
      <c r="E3" s="11">
        <v>64521</v>
      </c>
      <c r="F3" s="11">
        <v>50372</v>
      </c>
      <c r="G3" s="99"/>
    </row>
    <row r="4" spans="1:7" x14ac:dyDescent="0.55000000000000004">
      <c r="A4" s="1" t="s">
        <v>0</v>
      </c>
      <c r="B4" s="11">
        <v>52136</v>
      </c>
      <c r="C4" s="11">
        <v>50189</v>
      </c>
      <c r="D4" s="11">
        <v>73647</v>
      </c>
      <c r="E4" s="11">
        <v>54744</v>
      </c>
      <c r="F4" s="11">
        <v>57467</v>
      </c>
      <c r="G4" s="99"/>
    </row>
    <row r="5" spans="1:7" ht="28.8" x14ac:dyDescent="0.55000000000000004">
      <c r="A5" s="1" t="s">
        <v>5</v>
      </c>
      <c r="B5" s="11">
        <v>-1204228</v>
      </c>
      <c r="C5" s="11">
        <v>-1154951</v>
      </c>
      <c r="D5" s="11">
        <v>-1334977</v>
      </c>
      <c r="E5" s="11">
        <v>-1698338</v>
      </c>
      <c r="F5" s="11">
        <v>-1620437</v>
      </c>
      <c r="G5" s="99"/>
    </row>
    <row r="6" spans="1:7" x14ac:dyDescent="0.55000000000000004">
      <c r="A6" s="1" t="s">
        <v>1</v>
      </c>
      <c r="B6" s="11">
        <v>-764710</v>
      </c>
      <c r="C6" s="11">
        <v>-736190</v>
      </c>
      <c r="D6" s="11">
        <v>-781666</v>
      </c>
      <c r="E6" s="11">
        <v>-886784</v>
      </c>
      <c r="F6" s="11">
        <v>-886919</v>
      </c>
      <c r="G6" s="99"/>
    </row>
    <row r="7" spans="1:7" x14ac:dyDescent="0.55000000000000004">
      <c r="A7" s="1" t="s">
        <v>6</v>
      </c>
      <c r="B7" s="11">
        <v>-518379</v>
      </c>
      <c r="C7" s="11">
        <v>-508785</v>
      </c>
      <c r="D7" s="11">
        <v>-513335</v>
      </c>
      <c r="E7" s="11">
        <v>-559985</v>
      </c>
      <c r="F7" s="11">
        <v>-589300</v>
      </c>
      <c r="G7" s="99"/>
    </row>
    <row r="8" spans="1:7" x14ac:dyDescent="0.55000000000000004">
      <c r="A8" s="7" t="s">
        <v>2</v>
      </c>
      <c r="B8" s="13">
        <v>-70386</v>
      </c>
      <c r="C8" s="13">
        <v>-73005</v>
      </c>
      <c r="D8" s="13">
        <v>-73439</v>
      </c>
      <c r="E8" s="13">
        <v>-86001</v>
      </c>
      <c r="F8" s="13">
        <v>-85457</v>
      </c>
      <c r="G8" s="99"/>
    </row>
    <row r="9" spans="1:7" x14ac:dyDescent="0.55000000000000004">
      <c r="A9" s="32" t="s">
        <v>10</v>
      </c>
      <c r="B9" s="33">
        <f>SUM(B2:B8)</f>
        <v>728104</v>
      </c>
      <c r="C9" s="33">
        <f t="shared" ref="C9" si="0">SUM(C2:C8)</f>
        <v>780801</v>
      </c>
      <c r="D9" s="33">
        <f>SUM(D2:D8)</f>
        <v>794644</v>
      </c>
      <c r="E9" s="33">
        <f>SUM(E2:E8)</f>
        <v>883676</v>
      </c>
      <c r="F9" s="33">
        <f>SUM(F2:F8)</f>
        <v>1243215</v>
      </c>
      <c r="G9" s="100"/>
    </row>
    <row r="10" spans="1:7" x14ac:dyDescent="0.55000000000000004">
      <c r="A10" s="1" t="s">
        <v>8</v>
      </c>
      <c r="B10" s="11">
        <v>-259866</v>
      </c>
      <c r="C10" s="11">
        <v>-256911</v>
      </c>
      <c r="D10" s="11">
        <v>-249048</v>
      </c>
      <c r="E10" s="11">
        <v>-259252</v>
      </c>
      <c r="F10" s="11">
        <v>-248237</v>
      </c>
      <c r="G10" s="99"/>
    </row>
    <row r="11" spans="1:7" x14ac:dyDescent="0.55000000000000004">
      <c r="A11" s="7" t="s">
        <v>7</v>
      </c>
      <c r="B11" s="13">
        <v>0</v>
      </c>
      <c r="C11" s="13">
        <v>0</v>
      </c>
      <c r="D11" s="13">
        <v>0</v>
      </c>
      <c r="E11" s="13">
        <v>-129648</v>
      </c>
      <c r="F11" s="13">
        <v>-10188</v>
      </c>
      <c r="G11" s="99"/>
    </row>
    <row r="12" spans="1:7" x14ac:dyDescent="0.55000000000000004">
      <c r="A12" s="32" t="s">
        <v>9</v>
      </c>
      <c r="B12" s="33">
        <f>SUM(B9:B11)</f>
        <v>468238</v>
      </c>
      <c r="C12" s="33">
        <f t="shared" ref="C12" si="1">SUM(C9:C11)</f>
        <v>523890</v>
      </c>
      <c r="D12" s="33">
        <f>SUM(D9:D11)</f>
        <v>545596</v>
      </c>
      <c r="E12" s="33">
        <f>SUM(E9:E11)</f>
        <v>494776</v>
      </c>
      <c r="F12" s="33">
        <f>SUM(F9:F11)</f>
        <v>984790</v>
      </c>
      <c r="G12" s="99"/>
    </row>
    <row r="13" spans="1:7" ht="28.8" x14ac:dyDescent="0.55000000000000004">
      <c r="A13" s="1" t="s">
        <v>11</v>
      </c>
      <c r="B13" s="11">
        <v>73837</v>
      </c>
      <c r="C13" s="11">
        <v>173080</v>
      </c>
      <c r="D13" s="11">
        <v>106056</v>
      </c>
      <c r="E13" s="11">
        <v>117551</v>
      </c>
      <c r="F13" s="11">
        <v>161236</v>
      </c>
      <c r="G13" s="99"/>
    </row>
    <row r="14" spans="1:7" x14ac:dyDescent="0.55000000000000004">
      <c r="A14" s="1" t="s">
        <v>12</v>
      </c>
      <c r="B14" s="11">
        <v>-1495</v>
      </c>
      <c r="C14" s="11">
        <v>3602</v>
      </c>
      <c r="D14" s="11">
        <v>18000</v>
      </c>
      <c r="E14" s="11">
        <v>97</v>
      </c>
      <c r="F14" s="11">
        <v>241</v>
      </c>
      <c r="G14" s="99"/>
    </row>
    <row r="15" spans="1:7" x14ac:dyDescent="0.55000000000000004">
      <c r="A15" s="1" t="s">
        <v>21</v>
      </c>
      <c r="B15" s="11">
        <v>59895</v>
      </c>
      <c r="C15" s="11">
        <v>106742</v>
      </c>
      <c r="D15" s="11">
        <v>63440</v>
      </c>
      <c r="E15" s="11">
        <v>123194</v>
      </c>
      <c r="F15" s="11">
        <v>98091</v>
      </c>
      <c r="G15" s="99"/>
    </row>
    <row r="16" spans="1:7" x14ac:dyDescent="0.55000000000000004">
      <c r="A16" s="7" t="s">
        <v>22</v>
      </c>
      <c r="B16" s="13">
        <v>-118519</v>
      </c>
      <c r="C16" s="13">
        <v>-107055</v>
      </c>
      <c r="D16" s="13">
        <v>-97840</v>
      </c>
      <c r="E16" s="13">
        <v>-146322</v>
      </c>
      <c r="F16" s="13">
        <v>-103489</v>
      </c>
      <c r="G16" s="99"/>
    </row>
    <row r="17" spans="1:7" x14ac:dyDescent="0.55000000000000004">
      <c r="A17" s="32" t="s">
        <v>23</v>
      </c>
      <c r="B17" s="33">
        <f>SUM(B12:B16)</f>
        <v>481956</v>
      </c>
      <c r="C17" s="33">
        <f t="shared" ref="C17" si="2">SUM(C12:C16)</f>
        <v>700259</v>
      </c>
      <c r="D17" s="33">
        <f>SUM(D12:D16)</f>
        <v>635252</v>
      </c>
      <c r="E17" s="33">
        <f>SUM(E12:E16)</f>
        <v>589296</v>
      </c>
      <c r="F17" s="33">
        <f>SUM(F12:F16)</f>
        <v>1140869</v>
      </c>
      <c r="G17" s="99"/>
    </row>
    <row r="18" spans="1:7" ht="14.7" thickBot="1" x14ac:dyDescent="0.6">
      <c r="A18" s="5" t="s">
        <v>13</v>
      </c>
      <c r="B18" s="12">
        <v>-96046</v>
      </c>
      <c r="C18" s="12">
        <v>-139787</v>
      </c>
      <c r="D18" s="12">
        <v>-92952</v>
      </c>
      <c r="E18" s="12">
        <v>-130517</v>
      </c>
      <c r="F18" s="12">
        <v>-174056</v>
      </c>
      <c r="G18" s="99"/>
    </row>
    <row r="19" spans="1:7" x14ac:dyDescent="0.55000000000000004">
      <c r="A19" s="32" t="s">
        <v>14</v>
      </c>
      <c r="B19" s="33">
        <f>SUM(B17:B18)</f>
        <v>385910</v>
      </c>
      <c r="C19" s="33">
        <f t="shared" ref="C19" si="3">SUM(C17:C18)</f>
        <v>560472</v>
      </c>
      <c r="D19" s="33">
        <f>SUM(D17:D18)</f>
        <v>542300</v>
      </c>
      <c r="E19" s="33">
        <f>SUM(E17:E18)</f>
        <v>458779</v>
      </c>
      <c r="F19" s="33">
        <f>SUM(F17:F18)</f>
        <v>966813</v>
      </c>
      <c r="G19" s="99"/>
    </row>
    <row r="20" spans="1:7" x14ac:dyDescent="0.55000000000000004">
      <c r="A20" s="1"/>
      <c r="C20" s="11"/>
      <c r="D20" s="11"/>
      <c r="E20" s="11"/>
      <c r="F20" s="11"/>
      <c r="G20" s="11"/>
    </row>
    <row r="21" spans="1:7" x14ac:dyDescent="0.55000000000000004">
      <c r="A21" s="2" t="s">
        <v>15</v>
      </c>
      <c r="C21" s="11"/>
      <c r="D21" s="11"/>
      <c r="E21" s="11"/>
      <c r="F21" s="11"/>
      <c r="G21" s="11"/>
    </row>
    <row r="22" spans="1:7" x14ac:dyDescent="0.55000000000000004">
      <c r="A22" s="1" t="s">
        <v>19</v>
      </c>
      <c r="B22" s="11">
        <v>385671</v>
      </c>
      <c r="C22" s="11">
        <v>560246</v>
      </c>
      <c r="D22" s="11">
        <v>541903</v>
      </c>
      <c r="E22" s="11">
        <v>458786</v>
      </c>
      <c r="F22" s="11">
        <v>996545</v>
      </c>
    </row>
    <row r="23" spans="1:7" x14ac:dyDescent="0.55000000000000004">
      <c r="A23" s="1" t="s">
        <v>20</v>
      </c>
      <c r="B23" s="11">
        <v>239</v>
      </c>
      <c r="C23" s="11">
        <v>226</v>
      </c>
      <c r="D23" s="11">
        <v>397</v>
      </c>
      <c r="E23" s="11">
        <v>-7</v>
      </c>
      <c r="F23" s="11">
        <v>268</v>
      </c>
    </row>
    <row r="25" spans="1:7" ht="14.7" thickBot="1" x14ac:dyDescent="0.6">
      <c r="A25" s="34" t="s">
        <v>16</v>
      </c>
      <c r="B25" s="8"/>
      <c r="C25" s="8"/>
      <c r="D25" s="8"/>
      <c r="E25" s="8"/>
      <c r="F25" s="8"/>
    </row>
    <row r="26" spans="1:7" x14ac:dyDescent="0.55000000000000004">
      <c r="A26" s="1" t="s">
        <v>17</v>
      </c>
    </row>
    <row r="27" spans="1:7" x14ac:dyDescent="0.55000000000000004">
      <c r="A27" s="3" t="s">
        <v>18</v>
      </c>
      <c r="B27">
        <v>1.8779999999999999</v>
      </c>
      <c r="C27">
        <v>2.7189999999999999</v>
      </c>
      <c r="D27">
        <v>2.82</v>
      </c>
      <c r="E27">
        <v>2.4620000000000002</v>
      </c>
      <c r="F27">
        <v>5.2210000000000001</v>
      </c>
    </row>
    <row r="28" spans="1:7" x14ac:dyDescent="0.55000000000000004">
      <c r="A28" t="s">
        <v>25</v>
      </c>
      <c r="B28">
        <v>1.9019999999999999</v>
      </c>
      <c r="C28">
        <v>2.7429999999999999</v>
      </c>
      <c r="D28">
        <v>0</v>
      </c>
      <c r="E28">
        <v>0</v>
      </c>
      <c r="F28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333B-DB41-45A8-96E2-B2A51EB9876A}">
  <dimension ref="A1:F63"/>
  <sheetViews>
    <sheetView showGridLines="0" topLeftCell="A35" workbookViewId="0">
      <selection activeCell="A72" sqref="A72"/>
    </sheetView>
  </sheetViews>
  <sheetFormatPr defaultColWidth="20" defaultRowHeight="14.4" x14ac:dyDescent="0.55000000000000004"/>
  <cols>
    <col min="1" max="1" width="39.41796875" customWidth="1"/>
    <col min="2" max="4" width="10.05078125" bestFit="1" customWidth="1"/>
    <col min="5" max="5" width="10.15625" bestFit="1" customWidth="1"/>
    <col min="6" max="6" width="10.3671875" bestFit="1" customWidth="1"/>
  </cols>
  <sheetData>
    <row r="1" spans="1:6" ht="14.7" thickBot="1" x14ac:dyDescent="0.6">
      <c r="A1" s="5" t="s">
        <v>24</v>
      </c>
      <c r="B1" s="6">
        <v>2019</v>
      </c>
      <c r="C1" s="6">
        <v>2020</v>
      </c>
      <c r="D1" s="6">
        <v>2021</v>
      </c>
      <c r="E1" s="6">
        <v>2022</v>
      </c>
      <c r="F1" s="6">
        <v>2023</v>
      </c>
    </row>
    <row r="2" spans="1:6" x14ac:dyDescent="0.55000000000000004">
      <c r="B2" s="11"/>
      <c r="C2" s="11"/>
      <c r="D2" s="11"/>
      <c r="E2" s="11"/>
      <c r="F2" s="11"/>
    </row>
    <row r="3" spans="1:6" ht="14.7" thickBot="1" x14ac:dyDescent="0.6">
      <c r="A3" s="25" t="s">
        <v>61</v>
      </c>
      <c r="B3" s="26"/>
      <c r="C3" s="26"/>
      <c r="D3" s="26"/>
      <c r="E3" s="26"/>
      <c r="F3" s="26"/>
    </row>
    <row r="4" spans="1:6" x14ac:dyDescent="0.55000000000000004">
      <c r="A4" s="9" t="s">
        <v>62</v>
      </c>
      <c r="B4" s="13"/>
      <c r="C4" s="13"/>
      <c r="D4" s="13"/>
      <c r="E4" s="13"/>
      <c r="F4" s="13"/>
    </row>
    <row r="5" spans="1:6" x14ac:dyDescent="0.55000000000000004">
      <c r="A5" t="s">
        <v>63</v>
      </c>
      <c r="B5" s="11">
        <v>619002</v>
      </c>
      <c r="C5" s="11">
        <v>603603</v>
      </c>
      <c r="D5" s="11">
        <v>608789</v>
      </c>
      <c r="E5" s="11">
        <v>509484</v>
      </c>
      <c r="F5" s="11">
        <v>508836</v>
      </c>
    </row>
    <row r="6" spans="1:6" x14ac:dyDescent="0.55000000000000004">
      <c r="A6" t="s">
        <v>115</v>
      </c>
      <c r="B6" s="11">
        <v>70814</v>
      </c>
      <c r="C6" s="11">
        <v>60718</v>
      </c>
      <c r="D6" s="11">
        <v>59419</v>
      </c>
      <c r="E6" s="11">
        <v>57503</v>
      </c>
      <c r="F6" s="11">
        <v>51890</v>
      </c>
    </row>
    <row r="7" spans="1:6" x14ac:dyDescent="0.55000000000000004">
      <c r="A7" t="s">
        <v>64</v>
      </c>
      <c r="B7" s="11">
        <v>99247</v>
      </c>
      <c r="C7" s="11">
        <v>87725</v>
      </c>
      <c r="D7" s="11">
        <v>78627</v>
      </c>
      <c r="E7" s="11">
        <v>77626</v>
      </c>
      <c r="F7" s="11">
        <v>74462</v>
      </c>
    </row>
    <row r="8" spans="1:6" x14ac:dyDescent="0.55000000000000004">
      <c r="A8" t="s">
        <v>65</v>
      </c>
      <c r="B8" s="11">
        <v>3149997</v>
      </c>
      <c r="C8" s="11">
        <v>2909405</v>
      </c>
      <c r="D8" s="11">
        <v>3076662</v>
      </c>
      <c r="E8" s="11">
        <v>3240124</v>
      </c>
      <c r="F8" s="11">
        <v>3150538</v>
      </c>
    </row>
    <row r="9" spans="1:6" x14ac:dyDescent="0.55000000000000004">
      <c r="A9" t="s">
        <v>66</v>
      </c>
      <c r="B9" s="11">
        <v>20796</v>
      </c>
      <c r="C9" s="11">
        <v>18762</v>
      </c>
      <c r="D9" s="11">
        <v>17697</v>
      </c>
      <c r="E9" s="11">
        <v>17561</v>
      </c>
      <c r="F9" s="11">
        <v>17524</v>
      </c>
    </row>
    <row r="10" spans="1:6" x14ac:dyDescent="0.55000000000000004">
      <c r="A10" t="s">
        <v>67</v>
      </c>
      <c r="B10" s="11">
        <v>517920</v>
      </c>
      <c r="C10" s="11">
        <v>409210</v>
      </c>
      <c r="D10" s="11">
        <v>462404</v>
      </c>
      <c r="E10" s="11">
        <v>537994</v>
      </c>
      <c r="F10" s="11">
        <v>633603</v>
      </c>
    </row>
    <row r="11" spans="1:6" x14ac:dyDescent="0.55000000000000004">
      <c r="A11" t="s">
        <v>68</v>
      </c>
      <c r="B11" s="11">
        <v>12204</v>
      </c>
      <c r="C11" s="11">
        <v>11402</v>
      </c>
      <c r="D11" s="11">
        <v>12222</v>
      </c>
      <c r="E11" s="11">
        <v>10595</v>
      </c>
      <c r="F11" s="11">
        <v>10726</v>
      </c>
    </row>
    <row r="12" spans="1:6" x14ac:dyDescent="0.55000000000000004">
      <c r="A12" t="s">
        <v>69</v>
      </c>
      <c r="B12" s="11">
        <v>72823</v>
      </c>
      <c r="C12" s="11">
        <v>81961</v>
      </c>
      <c r="D12" s="11">
        <v>81967</v>
      </c>
      <c r="E12" s="11">
        <v>64538</v>
      </c>
      <c r="F12" s="11">
        <v>97571</v>
      </c>
    </row>
    <row r="13" spans="1:6" x14ac:dyDescent="0.55000000000000004">
      <c r="A13" t="s">
        <v>70</v>
      </c>
      <c r="B13" s="11">
        <v>0</v>
      </c>
      <c r="C13" s="11">
        <v>0</v>
      </c>
      <c r="D13" s="11">
        <v>6905</v>
      </c>
      <c r="E13" s="11">
        <v>4435</v>
      </c>
      <c r="F13" s="11">
        <v>3698</v>
      </c>
    </row>
    <row r="14" spans="1:6" x14ac:dyDescent="0.55000000000000004">
      <c r="A14" t="s">
        <v>71</v>
      </c>
      <c r="B14" s="11">
        <v>0</v>
      </c>
      <c r="C14" s="11">
        <v>0</v>
      </c>
      <c r="D14" s="11">
        <v>6948</v>
      </c>
      <c r="E14" s="11">
        <v>11031</v>
      </c>
      <c r="F14" s="11">
        <v>0</v>
      </c>
    </row>
    <row r="15" spans="1:6" ht="14.7" thickBot="1" x14ac:dyDescent="0.6">
      <c r="A15" s="8" t="s">
        <v>72</v>
      </c>
      <c r="B15" s="12">
        <v>21932</v>
      </c>
      <c r="C15" s="12">
        <v>31019</v>
      </c>
      <c r="D15" s="12">
        <v>270305</v>
      </c>
      <c r="E15" s="12">
        <v>262268</v>
      </c>
      <c r="F15" s="12">
        <v>265271</v>
      </c>
    </row>
    <row r="16" spans="1:6" x14ac:dyDescent="0.55000000000000004">
      <c r="A16" s="4" t="s">
        <v>73</v>
      </c>
      <c r="B16" s="14">
        <f>SUM(B5:B15)</f>
        <v>4584735</v>
      </c>
      <c r="C16" s="14">
        <f>SUM(C5:C15)</f>
        <v>4213805</v>
      </c>
      <c r="D16" s="14">
        <f t="shared" ref="D16" si="0">SUM(D5:D15)</f>
        <v>4681945</v>
      </c>
      <c r="E16" s="14">
        <f>SUM(E5:E15)</f>
        <v>4793159</v>
      </c>
      <c r="F16" s="14">
        <f>SUM(F5:F15)</f>
        <v>4814119</v>
      </c>
    </row>
    <row r="17" spans="1:6" x14ac:dyDescent="0.55000000000000004">
      <c r="B17" s="11"/>
      <c r="C17" s="11"/>
      <c r="D17" s="11"/>
      <c r="E17" s="11"/>
      <c r="F17" s="11"/>
    </row>
    <row r="18" spans="1:6" x14ac:dyDescent="0.55000000000000004">
      <c r="A18" s="9" t="s">
        <v>74</v>
      </c>
      <c r="B18" s="13"/>
      <c r="C18" s="13"/>
      <c r="D18" s="13"/>
      <c r="E18" s="13"/>
      <c r="F18" s="13"/>
    </row>
    <row r="19" spans="1:6" x14ac:dyDescent="0.55000000000000004">
      <c r="A19" t="s">
        <v>75</v>
      </c>
      <c r="B19" s="11">
        <v>489299</v>
      </c>
      <c r="C19" s="11">
        <v>469360</v>
      </c>
      <c r="D19" s="11">
        <v>500010</v>
      </c>
      <c r="E19" s="11">
        <v>721023</v>
      </c>
      <c r="F19" s="11">
        <v>754269</v>
      </c>
    </row>
    <row r="20" spans="1:6" x14ac:dyDescent="0.55000000000000004">
      <c r="A20" t="s">
        <v>76</v>
      </c>
      <c r="B20" s="11">
        <v>414468</v>
      </c>
      <c r="C20" s="11">
        <v>399222</v>
      </c>
      <c r="D20" s="11">
        <v>455735</v>
      </c>
      <c r="E20" s="11">
        <v>541675</v>
      </c>
      <c r="F20" s="11">
        <v>565610</v>
      </c>
    </row>
    <row r="21" spans="1:6" x14ac:dyDescent="0.55000000000000004">
      <c r="A21" t="s">
        <v>77</v>
      </c>
      <c r="B21" s="11">
        <v>70514</v>
      </c>
      <c r="C21" s="11">
        <v>72204</v>
      </c>
      <c r="D21" s="11">
        <v>74593</v>
      </c>
      <c r="E21" s="11">
        <v>99348</v>
      </c>
      <c r="F21" s="11">
        <v>255225</v>
      </c>
    </row>
    <row r="22" spans="1:6" ht="14.7" thickBot="1" x14ac:dyDescent="0.6">
      <c r="A22" s="8" t="s">
        <v>78</v>
      </c>
      <c r="B22" s="12">
        <v>837403</v>
      </c>
      <c r="C22" s="12">
        <v>1218279</v>
      </c>
      <c r="D22" s="12">
        <v>1203611</v>
      </c>
      <c r="E22" s="12">
        <v>1341488</v>
      </c>
      <c r="F22" s="12">
        <v>1120712</v>
      </c>
    </row>
    <row r="23" spans="1:6" x14ac:dyDescent="0.55000000000000004">
      <c r="A23" s="4" t="s">
        <v>79</v>
      </c>
      <c r="B23" s="14">
        <f>SUM(B19:B22)</f>
        <v>1811684</v>
      </c>
      <c r="C23" s="14">
        <f>SUM(C19:C22)</f>
        <v>2159065</v>
      </c>
      <c r="D23" s="14">
        <f t="shared" ref="D23" si="1">SUM(D19:D22)</f>
        <v>2233949</v>
      </c>
      <c r="E23" s="14">
        <f>SUM(E19:E22)</f>
        <v>2703534</v>
      </c>
      <c r="F23" s="14">
        <f>SUM(F19:F22)</f>
        <v>2695816</v>
      </c>
    </row>
    <row r="24" spans="1:6" x14ac:dyDescent="0.55000000000000004">
      <c r="B24" s="11"/>
      <c r="C24" s="11"/>
      <c r="D24" s="11"/>
      <c r="E24" s="11"/>
      <c r="F24" s="11"/>
    </row>
    <row r="25" spans="1:6" ht="14.7" thickBot="1" x14ac:dyDescent="0.6">
      <c r="A25" s="8" t="s">
        <v>80</v>
      </c>
      <c r="B25" s="12">
        <v>6145</v>
      </c>
      <c r="C25" s="12">
        <v>13890</v>
      </c>
      <c r="D25" s="12">
        <v>5889</v>
      </c>
      <c r="E25" s="12">
        <v>6395</v>
      </c>
      <c r="F25" s="12">
        <v>105468</v>
      </c>
    </row>
    <row r="26" spans="1:6" ht="14.7" thickBot="1" x14ac:dyDescent="0.6">
      <c r="A26" s="25" t="s">
        <v>109</v>
      </c>
      <c r="B26" s="27">
        <f>SUM(B16,B23,B25)</f>
        <v>6402564</v>
      </c>
      <c r="C26" s="27">
        <f>SUM(C16,C23,C25)</f>
        <v>6386760</v>
      </c>
      <c r="D26" s="27">
        <f t="shared" ref="D26" si="2">SUM(D16,D23,D25)</f>
        <v>6921783</v>
      </c>
      <c r="E26" s="27">
        <f>SUM(E16,E23,E25)</f>
        <v>7503088</v>
      </c>
      <c r="F26" s="27">
        <f>SUM(F16,F23,F25)</f>
        <v>7615403</v>
      </c>
    </row>
    <row r="27" spans="1:6" x14ac:dyDescent="0.55000000000000004">
      <c r="B27" s="11"/>
      <c r="C27" s="11"/>
      <c r="D27" s="11"/>
      <c r="E27" s="11"/>
      <c r="F27" s="11"/>
    </row>
    <row r="28" spans="1:6" ht="14.7" thickBot="1" x14ac:dyDescent="0.6">
      <c r="A28" s="22" t="s">
        <v>81</v>
      </c>
      <c r="B28" s="23"/>
      <c r="C28" s="23"/>
      <c r="D28" s="23"/>
      <c r="E28" s="23"/>
      <c r="F28" s="23"/>
    </row>
    <row r="29" spans="1:6" x14ac:dyDescent="0.55000000000000004">
      <c r="A29" s="17" t="s">
        <v>82</v>
      </c>
      <c r="B29" s="18"/>
      <c r="C29" s="18"/>
      <c r="D29" s="18"/>
      <c r="E29" s="18"/>
      <c r="F29" s="18"/>
    </row>
    <row r="30" spans="1:6" x14ac:dyDescent="0.55000000000000004">
      <c r="A30" t="s">
        <v>83</v>
      </c>
      <c r="B30" s="11">
        <v>1235628</v>
      </c>
      <c r="C30" s="11">
        <v>1166309</v>
      </c>
      <c r="D30" s="11">
        <v>987951</v>
      </c>
      <c r="E30" s="11">
        <v>608150</v>
      </c>
      <c r="F30" s="11">
        <v>338697</v>
      </c>
    </row>
    <row r="31" spans="1:6" x14ac:dyDescent="0.55000000000000004">
      <c r="A31" t="s">
        <v>84</v>
      </c>
      <c r="B31" s="11">
        <v>74665</v>
      </c>
      <c r="C31" s="11">
        <v>64554</v>
      </c>
      <c r="D31" s="11">
        <v>55815</v>
      </c>
      <c r="E31" s="11">
        <v>58132</v>
      </c>
      <c r="F31" s="11">
        <v>56577</v>
      </c>
    </row>
    <row r="32" spans="1:6" x14ac:dyDescent="0.55000000000000004">
      <c r="A32" t="s">
        <v>71</v>
      </c>
      <c r="B32" s="11">
        <v>1412</v>
      </c>
      <c r="C32" s="11">
        <v>4060</v>
      </c>
      <c r="D32" s="11">
        <v>0</v>
      </c>
      <c r="E32" s="11">
        <v>0</v>
      </c>
      <c r="F32" s="11">
        <v>4787</v>
      </c>
    </row>
    <row r="33" spans="1:6" x14ac:dyDescent="0.55000000000000004">
      <c r="A33" t="s">
        <v>85</v>
      </c>
      <c r="B33" s="11">
        <v>442610</v>
      </c>
      <c r="C33" s="11">
        <v>445140</v>
      </c>
      <c r="D33" s="11">
        <v>364845</v>
      </c>
      <c r="E33" s="11">
        <v>268235</v>
      </c>
      <c r="F33" s="11">
        <v>267770</v>
      </c>
    </row>
    <row r="34" spans="1:6" x14ac:dyDescent="0.55000000000000004">
      <c r="A34" t="s">
        <v>86</v>
      </c>
      <c r="B34" s="11">
        <v>87104</v>
      </c>
      <c r="C34" s="11">
        <v>87800</v>
      </c>
      <c r="D34" s="11">
        <v>86416</v>
      </c>
      <c r="E34" s="11">
        <v>78956</v>
      </c>
      <c r="F34" s="11">
        <v>83820</v>
      </c>
    </row>
    <row r="35" spans="1:6" x14ac:dyDescent="0.55000000000000004">
      <c r="A35" t="s">
        <v>87</v>
      </c>
      <c r="B35" s="11">
        <v>366442</v>
      </c>
      <c r="C35" s="11">
        <v>334016</v>
      </c>
      <c r="D35" s="11">
        <v>371131</v>
      </c>
      <c r="E35" s="11">
        <v>401478</v>
      </c>
      <c r="F35" s="11">
        <v>385165</v>
      </c>
    </row>
    <row r="36" spans="1:6" ht="14.7" thickBot="1" x14ac:dyDescent="0.6">
      <c r="A36" s="8" t="s">
        <v>88</v>
      </c>
      <c r="B36" s="12">
        <v>9267</v>
      </c>
      <c r="C36" s="12">
        <v>9469</v>
      </c>
      <c r="D36" s="12">
        <v>6952</v>
      </c>
      <c r="E36" s="12">
        <v>7693</v>
      </c>
      <c r="F36" s="12">
        <v>5009</v>
      </c>
    </row>
    <row r="37" spans="1:6" x14ac:dyDescent="0.55000000000000004">
      <c r="A37" s="4" t="s">
        <v>89</v>
      </c>
      <c r="B37" s="14">
        <f>SUM(B30:B36)</f>
        <v>2217128</v>
      </c>
      <c r="C37" s="14">
        <f>SUM(C30:C36)</f>
        <v>2111348</v>
      </c>
      <c r="D37" s="14">
        <f>SUM(D30:D36)</f>
        <v>1873110</v>
      </c>
      <c r="E37" s="14">
        <f>SUM(E30:E36)</f>
        <v>1422644</v>
      </c>
      <c r="F37" s="14">
        <f>SUM(F30:F36)</f>
        <v>1141825</v>
      </c>
    </row>
    <row r="38" spans="1:6" x14ac:dyDescent="0.55000000000000004">
      <c r="B38" s="11"/>
      <c r="C38" s="11"/>
      <c r="D38" s="11"/>
      <c r="E38" s="11"/>
      <c r="F38" s="11"/>
    </row>
    <row r="39" spans="1:6" x14ac:dyDescent="0.55000000000000004">
      <c r="A39" s="9" t="s">
        <v>90</v>
      </c>
      <c r="B39" s="13"/>
      <c r="C39" s="13"/>
      <c r="D39" s="13"/>
      <c r="E39" s="13"/>
      <c r="F39" s="13"/>
    </row>
    <row r="40" spans="1:6" x14ac:dyDescent="0.55000000000000004">
      <c r="A40" t="s">
        <v>91</v>
      </c>
      <c r="B40" s="11">
        <v>26414</v>
      </c>
      <c r="C40" s="11">
        <v>52958</v>
      </c>
      <c r="D40" s="11">
        <v>136635</v>
      </c>
      <c r="E40" s="11">
        <v>594028</v>
      </c>
      <c r="F40" s="11">
        <v>265226</v>
      </c>
    </row>
    <row r="41" spans="1:6" x14ac:dyDescent="0.55000000000000004">
      <c r="A41" t="s">
        <v>92</v>
      </c>
      <c r="B41" s="11">
        <v>13737</v>
      </c>
      <c r="C41" s="11">
        <v>12901</v>
      </c>
      <c r="D41" s="11">
        <v>12476</v>
      </c>
      <c r="E41" s="11">
        <v>12544</v>
      </c>
      <c r="F41" s="11">
        <v>4965</v>
      </c>
    </row>
    <row r="42" spans="1:6" x14ac:dyDescent="0.55000000000000004">
      <c r="A42" t="s">
        <v>93</v>
      </c>
      <c r="B42" s="11">
        <v>22527</v>
      </c>
      <c r="C42" s="11">
        <v>21443</v>
      </c>
      <c r="D42" s="11">
        <v>22450</v>
      </c>
      <c r="E42" s="11">
        <v>20260</v>
      </c>
      <c r="F42" s="11">
        <v>19651</v>
      </c>
    </row>
    <row r="43" spans="1:6" x14ac:dyDescent="0.55000000000000004">
      <c r="A43" t="s">
        <v>94</v>
      </c>
      <c r="B43" s="11">
        <v>235365</v>
      </c>
      <c r="C43" s="11">
        <v>229247</v>
      </c>
      <c r="D43" s="11">
        <v>294043</v>
      </c>
      <c r="E43" s="11">
        <v>324293</v>
      </c>
      <c r="F43" s="11">
        <v>315729</v>
      </c>
    </row>
    <row r="44" spans="1:6" x14ac:dyDescent="0.55000000000000004">
      <c r="A44" t="s">
        <v>95</v>
      </c>
      <c r="B44" s="11">
        <v>34398</v>
      </c>
      <c r="C44" s="11">
        <v>56056</v>
      </c>
      <c r="D44" s="11">
        <v>32072</v>
      </c>
      <c r="E44" s="11">
        <v>35038</v>
      </c>
      <c r="F44" s="11">
        <v>64056</v>
      </c>
    </row>
    <row r="45" spans="1:6" x14ac:dyDescent="0.55000000000000004">
      <c r="A45" t="s">
        <v>96</v>
      </c>
      <c r="B45" s="11">
        <v>28479</v>
      </c>
      <c r="C45" s="11">
        <v>47986</v>
      </c>
      <c r="D45" s="11">
        <v>64626</v>
      </c>
      <c r="E45" s="11">
        <v>61992</v>
      </c>
      <c r="F45" s="11">
        <v>25225</v>
      </c>
    </row>
    <row r="46" spans="1:6" ht="14.7" thickBot="1" x14ac:dyDescent="0.6">
      <c r="A46" s="8" t="s">
        <v>97</v>
      </c>
      <c r="B46" s="12">
        <v>133695</v>
      </c>
      <c r="C46" s="12">
        <v>251814</v>
      </c>
      <c r="D46" s="12">
        <v>111167</v>
      </c>
      <c r="E46" s="12">
        <v>120832</v>
      </c>
      <c r="F46" s="12">
        <v>136344</v>
      </c>
    </row>
    <row r="47" spans="1:6" x14ac:dyDescent="0.55000000000000004">
      <c r="A47" s="4" t="s">
        <v>98</v>
      </c>
      <c r="B47" s="14">
        <f>SUM(B40:B46)</f>
        <v>494615</v>
      </c>
      <c r="C47" s="14">
        <f>SUM(C40:C46)</f>
        <v>672405</v>
      </c>
      <c r="D47" s="14">
        <f t="shared" ref="D47" si="3">SUM(D40:D46)</f>
        <v>673469</v>
      </c>
      <c r="E47" s="14">
        <f>SUM(E40:E46)</f>
        <v>1168987</v>
      </c>
      <c r="F47" s="14">
        <f>SUM(F40:F46)</f>
        <v>831196</v>
      </c>
    </row>
    <row r="49" spans="1:6" ht="14.7" thickBot="1" x14ac:dyDescent="0.6">
      <c r="A49" s="8" t="s">
        <v>110</v>
      </c>
      <c r="B49" s="12">
        <v>0</v>
      </c>
      <c r="C49" s="12">
        <v>0</v>
      </c>
      <c r="D49" s="12">
        <v>0</v>
      </c>
      <c r="E49" s="12">
        <v>0</v>
      </c>
      <c r="F49" s="12">
        <v>10354</v>
      </c>
    </row>
    <row r="50" spans="1:6" ht="14.7" thickBot="1" x14ac:dyDescent="0.6">
      <c r="A50" s="22" t="s">
        <v>111</v>
      </c>
      <c r="B50" s="24">
        <f>SUM(B37,B47,B49)</f>
        <v>2711743</v>
      </c>
      <c r="C50" s="24">
        <f>SUM(C37,C47,C49)</f>
        <v>2783753</v>
      </c>
      <c r="D50" s="24">
        <f t="shared" ref="D50" si="4">SUM(D37,D47,D49)</f>
        <v>2546579</v>
      </c>
      <c r="E50" s="24">
        <f>SUM(E37,E47,E49)</f>
        <v>2591631</v>
      </c>
      <c r="F50" s="24">
        <f>SUM(F37,F47,F49)</f>
        <v>1983375</v>
      </c>
    </row>
    <row r="51" spans="1:6" x14ac:dyDescent="0.55000000000000004">
      <c r="A51" s="4"/>
      <c r="B51" s="14"/>
      <c r="C51" s="14"/>
      <c r="D51" s="14"/>
      <c r="E51" s="14"/>
      <c r="F51" s="14"/>
    </row>
    <row r="52" spans="1:6" ht="14.7" thickBot="1" x14ac:dyDescent="0.6">
      <c r="A52" s="15" t="s">
        <v>99</v>
      </c>
      <c r="B52" s="16"/>
      <c r="C52" s="16"/>
      <c r="D52" s="16"/>
      <c r="E52" s="16"/>
      <c r="F52" s="16"/>
    </row>
    <row r="53" spans="1:6" x14ac:dyDescent="0.55000000000000004">
      <c r="A53" s="17" t="s">
        <v>100</v>
      </c>
      <c r="B53" s="19"/>
      <c r="C53" s="19"/>
      <c r="D53" s="19"/>
      <c r="E53" s="19"/>
      <c r="F53" s="19"/>
    </row>
    <row r="54" spans="1:6" x14ac:dyDescent="0.55000000000000004">
      <c r="A54" t="s">
        <v>101</v>
      </c>
      <c r="B54" s="11">
        <v>123637</v>
      </c>
      <c r="C54" s="11">
        <v>123637</v>
      </c>
      <c r="D54" s="11">
        <v>123637</v>
      </c>
      <c r="E54" s="11">
        <v>123637</v>
      </c>
      <c r="F54" s="11">
        <v>123637</v>
      </c>
    </row>
    <row r="55" spans="1:6" x14ac:dyDescent="0.55000000000000004">
      <c r="A55" t="s">
        <v>102</v>
      </c>
      <c r="B55" s="11">
        <v>458696</v>
      </c>
      <c r="C55" s="11">
        <v>458696</v>
      </c>
      <c r="D55" s="11">
        <v>458696</v>
      </c>
      <c r="E55" s="11">
        <v>458696</v>
      </c>
      <c r="F55" s="11">
        <v>458696</v>
      </c>
    </row>
    <row r="56" spans="1:6" x14ac:dyDescent="0.55000000000000004">
      <c r="A56" t="s">
        <v>103</v>
      </c>
      <c r="B56" s="11">
        <v>116798</v>
      </c>
      <c r="C56" s="11">
        <v>-314922</v>
      </c>
      <c r="D56" s="11">
        <v>-59094</v>
      </c>
      <c r="E56" s="11">
        <v>183290</v>
      </c>
      <c r="F56" s="11">
        <v>50455</v>
      </c>
    </row>
    <row r="57" spans="1:6" x14ac:dyDescent="0.55000000000000004">
      <c r="A57" t="s">
        <v>104</v>
      </c>
      <c r="B57" s="11">
        <v>2986360</v>
      </c>
      <c r="C57" s="11">
        <v>3337796</v>
      </c>
      <c r="D57" s="11">
        <v>3853886</v>
      </c>
      <c r="E57" s="11">
        <v>4271170</v>
      </c>
      <c r="F57" s="11">
        <v>5124484</v>
      </c>
    </row>
    <row r="58" spans="1:6" x14ac:dyDescent="0.55000000000000004">
      <c r="A58" s="10" t="s">
        <v>105</v>
      </c>
      <c r="B58" s="13">
        <v>-373</v>
      </c>
      <c r="C58" s="13">
        <v>-7699</v>
      </c>
      <c r="D58" s="13">
        <v>-7699</v>
      </c>
      <c r="E58" s="13">
        <v>-130917</v>
      </c>
      <c r="F58" s="13">
        <v>-130917</v>
      </c>
    </row>
    <row r="59" spans="1:6" x14ac:dyDescent="0.55000000000000004">
      <c r="A59" s="4" t="s">
        <v>107</v>
      </c>
      <c r="B59" s="14">
        <f>SUM(B53:B58)</f>
        <v>3685118</v>
      </c>
      <c r="C59" s="14">
        <f>SUM(C53:C58)</f>
        <v>3597508</v>
      </c>
      <c r="D59" s="14">
        <f t="shared" ref="D59" si="5">SUM(D53:D58)</f>
        <v>4369426</v>
      </c>
      <c r="E59" s="14">
        <f>SUM(E53:E58)</f>
        <v>4905876</v>
      </c>
      <c r="F59" s="14">
        <f>SUM(F53:F58)</f>
        <v>5626355</v>
      </c>
    </row>
    <row r="60" spans="1:6" ht="14.7" thickBot="1" x14ac:dyDescent="0.6">
      <c r="A60" s="8" t="s">
        <v>106</v>
      </c>
      <c r="B60" s="12">
        <v>5703</v>
      </c>
      <c r="C60" s="12">
        <v>5499</v>
      </c>
      <c r="D60" s="12">
        <v>5778</v>
      </c>
      <c r="E60" s="12">
        <v>5581</v>
      </c>
      <c r="F60" s="12">
        <v>5673</v>
      </c>
    </row>
    <row r="61" spans="1:6" x14ac:dyDescent="0.55000000000000004">
      <c r="A61" s="20" t="s">
        <v>108</v>
      </c>
      <c r="B61" s="21">
        <f>SUM(B59:B60)</f>
        <v>3690821</v>
      </c>
      <c r="C61" s="21">
        <f>SUM(C59:C60)</f>
        <v>3603007</v>
      </c>
      <c r="D61" s="21">
        <f t="shared" ref="D61" si="6">SUM(D59:D60)</f>
        <v>4375204</v>
      </c>
      <c r="E61" s="21">
        <f>SUM(E59:E60)</f>
        <v>4911457</v>
      </c>
      <c r="F61" s="21">
        <f>SUM(F59:F60)</f>
        <v>5632028</v>
      </c>
    </row>
    <row r="62" spans="1:6" ht="14.7" thickBot="1" x14ac:dyDescent="0.6">
      <c r="A62" s="8"/>
      <c r="B62" s="8"/>
      <c r="C62" s="8"/>
      <c r="D62" s="8"/>
      <c r="E62" s="8"/>
      <c r="F62" s="8"/>
    </row>
    <row r="63" spans="1:6" ht="14.7" thickBot="1" x14ac:dyDescent="0.6">
      <c r="A63" s="28" t="s">
        <v>112</v>
      </c>
      <c r="B63" s="29">
        <f>SUM(B61,B50)</f>
        <v>6402564</v>
      </c>
      <c r="C63" s="29">
        <f>SUM(C61,C50)</f>
        <v>6386760</v>
      </c>
      <c r="D63" s="29">
        <f t="shared" ref="D63" si="7">SUM(D61,D50)</f>
        <v>6921783</v>
      </c>
      <c r="E63" s="29">
        <f>SUM(E61,E50)</f>
        <v>7503088</v>
      </c>
      <c r="F63" s="29">
        <f>SUM(F61,F50)</f>
        <v>7615403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6A6D-CDAA-479D-98EC-AAFD6F7BE32F}">
  <dimension ref="A1:F37"/>
  <sheetViews>
    <sheetView showGridLines="0" workbookViewId="0">
      <selection activeCell="A22" sqref="A22"/>
    </sheetView>
  </sheetViews>
  <sheetFormatPr defaultColWidth="17.41796875" defaultRowHeight="14.4" x14ac:dyDescent="0.55000000000000004"/>
  <cols>
    <col min="1" max="1" width="49.5234375" customWidth="1"/>
    <col min="2" max="2" width="9.20703125" bestFit="1" customWidth="1"/>
    <col min="3" max="6" width="10.15625" bestFit="1" customWidth="1"/>
  </cols>
  <sheetData>
    <row r="1" spans="1:6" ht="14.7" thickBot="1" x14ac:dyDescent="0.6">
      <c r="A1" s="5" t="s">
        <v>24</v>
      </c>
      <c r="B1" s="6">
        <v>2019</v>
      </c>
      <c r="C1" s="6">
        <v>2020</v>
      </c>
      <c r="D1" s="6">
        <v>2021</v>
      </c>
      <c r="E1" s="6">
        <v>2022</v>
      </c>
      <c r="F1" s="6">
        <v>2023</v>
      </c>
    </row>
    <row r="3" spans="1:6" x14ac:dyDescent="0.55000000000000004">
      <c r="A3" s="48" t="s">
        <v>31</v>
      </c>
      <c r="B3" s="49"/>
      <c r="C3" s="49"/>
      <c r="D3" s="49"/>
      <c r="E3" s="49"/>
      <c r="F3" s="49"/>
    </row>
    <row r="4" spans="1:6" x14ac:dyDescent="0.55000000000000004">
      <c r="A4" t="s">
        <v>32</v>
      </c>
      <c r="B4" s="11">
        <v>691452</v>
      </c>
      <c r="C4" s="11">
        <v>743874</v>
      </c>
      <c r="D4" s="11">
        <v>752376</v>
      </c>
      <c r="E4" s="11">
        <v>575435</v>
      </c>
      <c r="F4" s="11">
        <v>1049678</v>
      </c>
    </row>
    <row r="5" spans="1:6" x14ac:dyDescent="0.55000000000000004">
      <c r="A5" t="s">
        <v>33</v>
      </c>
      <c r="B5" s="11">
        <v>-31698</v>
      </c>
      <c r="C5" s="11">
        <v>-29196</v>
      </c>
      <c r="D5" s="11">
        <v>-26345</v>
      </c>
      <c r="E5" s="11">
        <v>-26821</v>
      </c>
      <c r="F5" s="11">
        <v>-35668</v>
      </c>
    </row>
    <row r="6" spans="1:6" ht="14.7" thickBot="1" x14ac:dyDescent="0.6">
      <c r="A6" s="8" t="s">
        <v>34</v>
      </c>
      <c r="B6" s="12">
        <v>-84275</v>
      </c>
      <c r="C6" s="12">
        <v>-125868</v>
      </c>
      <c r="D6" s="12">
        <v>-134374</v>
      </c>
      <c r="E6" s="12">
        <v>-153899</v>
      </c>
      <c r="F6" s="12">
        <v>-195206</v>
      </c>
    </row>
    <row r="7" spans="1:6" x14ac:dyDescent="0.55000000000000004">
      <c r="A7" s="46" t="s">
        <v>35</v>
      </c>
      <c r="B7" s="47">
        <f>SUM(B4:B6)</f>
        <v>575479</v>
      </c>
      <c r="C7" s="47">
        <f>SUM(C4:C6)</f>
        <v>588810</v>
      </c>
      <c r="D7" s="47">
        <f t="shared" ref="D7" si="0">SUM(D4:D6)</f>
        <v>591657</v>
      </c>
      <c r="E7" s="47">
        <f>SUM(E4:E6)</f>
        <v>394715</v>
      </c>
      <c r="F7" s="47">
        <f>SUM(F4:F6)</f>
        <v>818804</v>
      </c>
    </row>
    <row r="8" spans="1:6" x14ac:dyDescent="0.55000000000000004">
      <c r="B8" s="11"/>
      <c r="C8" s="11"/>
      <c r="D8" s="11"/>
      <c r="E8" s="11"/>
      <c r="F8" s="11"/>
    </row>
    <row r="9" spans="1:6" x14ac:dyDescent="0.55000000000000004">
      <c r="A9" s="44" t="s">
        <v>36</v>
      </c>
      <c r="B9" s="45"/>
      <c r="C9" s="45"/>
      <c r="D9" s="45"/>
      <c r="E9" s="45"/>
      <c r="F9" s="45"/>
    </row>
    <row r="10" spans="1:6" x14ac:dyDescent="0.55000000000000004">
      <c r="A10" t="s">
        <v>37</v>
      </c>
      <c r="B10" s="11">
        <v>-7067</v>
      </c>
      <c r="C10" s="11">
        <v>-5239</v>
      </c>
      <c r="D10" s="11">
        <v>-3124</v>
      </c>
      <c r="E10" s="11">
        <v>-1433</v>
      </c>
      <c r="F10" s="11">
        <v>-5692</v>
      </c>
    </row>
    <row r="11" spans="1:6" x14ac:dyDescent="0.55000000000000004">
      <c r="A11" t="s">
        <v>38</v>
      </c>
      <c r="B11" s="11">
        <v>-250017</v>
      </c>
      <c r="C11" s="11">
        <v>-222900</v>
      </c>
      <c r="D11" s="11">
        <v>-211323</v>
      </c>
      <c r="E11" s="11">
        <v>-265305</v>
      </c>
      <c r="F11" s="11">
        <v>-298012</v>
      </c>
    </row>
    <row r="12" spans="1:6" x14ac:dyDescent="0.55000000000000004">
      <c r="A12" t="s">
        <v>113</v>
      </c>
      <c r="B12" s="11">
        <v>-76423</v>
      </c>
      <c r="C12" s="11">
        <v>0</v>
      </c>
      <c r="D12" s="11">
        <v>-639</v>
      </c>
      <c r="E12" s="11">
        <v>0</v>
      </c>
      <c r="F12" s="11">
        <v>0</v>
      </c>
    </row>
    <row r="13" spans="1:6" x14ac:dyDescent="0.55000000000000004">
      <c r="A13" t="s">
        <v>39</v>
      </c>
      <c r="B13" s="11">
        <v>-4161</v>
      </c>
      <c r="C13" s="11">
        <v>-167</v>
      </c>
      <c r="D13" s="11">
        <v>-2605</v>
      </c>
      <c r="E13" s="11">
        <v>-4085</v>
      </c>
      <c r="F13" s="11">
        <v>-5815</v>
      </c>
    </row>
    <row r="14" spans="1:6" x14ac:dyDescent="0.55000000000000004">
      <c r="A14" t="s">
        <v>40</v>
      </c>
      <c r="B14" s="11">
        <v>11976</v>
      </c>
      <c r="C14" s="11">
        <v>8112</v>
      </c>
      <c r="D14" s="11">
        <v>21561</v>
      </c>
      <c r="E14" s="11">
        <v>11694</v>
      </c>
      <c r="F14" s="11">
        <v>20370</v>
      </c>
    </row>
    <row r="15" spans="1:6" x14ac:dyDescent="0.55000000000000004">
      <c r="A15" t="s">
        <v>41</v>
      </c>
      <c r="B15" s="11">
        <v>467</v>
      </c>
      <c r="C15" s="11">
        <v>5982</v>
      </c>
      <c r="D15" s="11">
        <v>18001</v>
      </c>
      <c r="E15" s="11">
        <v>465</v>
      </c>
      <c r="F15" s="11">
        <v>1600</v>
      </c>
    </row>
    <row r="16" spans="1:6" x14ac:dyDescent="0.55000000000000004">
      <c r="A16" t="s">
        <v>42</v>
      </c>
      <c r="B16" s="11">
        <v>7692</v>
      </c>
      <c r="C16" s="11">
        <v>-3042</v>
      </c>
      <c r="D16" s="11">
        <v>-226519</v>
      </c>
      <c r="E16" s="11">
        <v>17762</v>
      </c>
      <c r="F16" s="11">
        <v>-153595</v>
      </c>
    </row>
    <row r="17" spans="1:6" x14ac:dyDescent="0.55000000000000004">
      <c r="A17" t="s">
        <v>43</v>
      </c>
      <c r="B17" s="11">
        <v>84384</v>
      </c>
      <c r="C17" s="11">
        <v>198161</v>
      </c>
      <c r="D17" s="11">
        <v>59823</v>
      </c>
      <c r="E17" s="11">
        <v>75751</v>
      </c>
      <c r="F17" s="11">
        <v>84663</v>
      </c>
    </row>
    <row r="18" spans="1:6" ht="14.7" thickBot="1" x14ac:dyDescent="0.6">
      <c r="A18" s="8" t="s">
        <v>44</v>
      </c>
      <c r="B18" s="12">
        <v>13448</v>
      </c>
      <c r="C18" s="12">
        <v>10454</v>
      </c>
      <c r="D18" s="12">
        <v>10789</v>
      </c>
      <c r="E18" s="12">
        <v>23989</v>
      </c>
      <c r="F18" s="12">
        <v>52371</v>
      </c>
    </row>
    <row r="19" spans="1:6" x14ac:dyDescent="0.55000000000000004">
      <c r="A19" s="42" t="s">
        <v>114</v>
      </c>
      <c r="B19" s="43">
        <f>SUM(B10:B18)</f>
        <v>-219701</v>
      </c>
      <c r="C19" s="43">
        <f>SUM(C10:C18)</f>
        <v>-8639</v>
      </c>
      <c r="D19" s="43">
        <f t="shared" ref="D19" si="1">SUM(D10:D18)</f>
        <v>-334036</v>
      </c>
      <c r="E19" s="43">
        <f>SUM(E10:E18)</f>
        <v>-141162</v>
      </c>
      <c r="F19" s="43">
        <f>SUM(F10:F18)</f>
        <v>-304110</v>
      </c>
    </row>
    <row r="20" spans="1:6" x14ac:dyDescent="0.55000000000000004">
      <c r="B20" s="11"/>
      <c r="C20" s="11"/>
      <c r="D20" s="11"/>
      <c r="E20" s="11"/>
      <c r="F20" s="11"/>
    </row>
    <row r="21" spans="1:6" x14ac:dyDescent="0.55000000000000004">
      <c r="A21" s="38" t="s">
        <v>45</v>
      </c>
      <c r="B21" s="39"/>
      <c r="C21" s="39"/>
      <c r="D21" s="39"/>
      <c r="E21" s="39"/>
      <c r="F21" s="39"/>
    </row>
    <row r="22" spans="1:6" x14ac:dyDescent="0.55000000000000004">
      <c r="A22" t="s">
        <v>46</v>
      </c>
      <c r="B22" s="11">
        <v>249003</v>
      </c>
      <c r="C22" s="11">
        <v>0</v>
      </c>
      <c r="D22" s="11">
        <v>0</v>
      </c>
      <c r="E22" s="11">
        <v>200145</v>
      </c>
      <c r="F22" s="11">
        <v>0</v>
      </c>
    </row>
    <row r="23" spans="1:6" x14ac:dyDescent="0.55000000000000004">
      <c r="A23" t="s">
        <v>47</v>
      </c>
      <c r="B23" s="11">
        <v>-150114</v>
      </c>
      <c r="C23" s="11">
        <v>-26414</v>
      </c>
      <c r="D23" s="11">
        <v>-111985</v>
      </c>
      <c r="E23" s="11">
        <v>-136792</v>
      </c>
      <c r="F23" s="11">
        <v>-595461</v>
      </c>
    </row>
    <row r="24" spans="1:6" x14ac:dyDescent="0.55000000000000004">
      <c r="A24" t="s">
        <v>48</v>
      </c>
      <c r="B24" s="11">
        <v>-622</v>
      </c>
      <c r="C24" s="11">
        <v>-836</v>
      </c>
      <c r="D24" s="11">
        <v>-425</v>
      </c>
      <c r="E24" s="11">
        <v>68</v>
      </c>
      <c r="F24" s="11">
        <v>-4</v>
      </c>
    </row>
    <row r="25" spans="1:6" x14ac:dyDescent="0.55000000000000004">
      <c r="A25" t="s">
        <v>49</v>
      </c>
      <c r="B25" s="11">
        <v>-26896</v>
      </c>
      <c r="C25" s="11">
        <v>-24707</v>
      </c>
      <c r="D25" s="11">
        <v>-23283</v>
      </c>
      <c r="E25" s="11">
        <v>-24525</v>
      </c>
      <c r="F25" s="11">
        <v>-21426</v>
      </c>
    </row>
    <row r="26" spans="1:6" x14ac:dyDescent="0.55000000000000004">
      <c r="A26" t="s">
        <v>50</v>
      </c>
      <c r="B26" s="11">
        <v>-8471</v>
      </c>
      <c r="C26" s="11">
        <v>-13133</v>
      </c>
      <c r="D26" s="11">
        <v>-3938</v>
      </c>
      <c r="E26" s="11">
        <v>5408</v>
      </c>
      <c r="F26" s="11">
        <v>-4226</v>
      </c>
    </row>
    <row r="27" spans="1:6" x14ac:dyDescent="0.55000000000000004">
      <c r="A27" t="s">
        <v>51</v>
      </c>
      <c r="B27" s="11">
        <v>-1663</v>
      </c>
      <c r="C27" s="11">
        <v>-29222</v>
      </c>
      <c r="D27" s="11">
        <v>-1</v>
      </c>
      <c r="E27" s="11">
        <v>-3</v>
      </c>
      <c r="F27" s="11">
        <v>-1586</v>
      </c>
    </row>
    <row r="28" spans="1:6" x14ac:dyDescent="0.55000000000000004">
      <c r="A28" t="s">
        <v>52</v>
      </c>
      <c r="B28" s="11">
        <v>0</v>
      </c>
      <c r="C28" s="11">
        <v>-7326</v>
      </c>
      <c r="D28" s="11">
        <v>0</v>
      </c>
      <c r="E28" s="11">
        <v>-123218</v>
      </c>
      <c r="F28" s="11">
        <v>0</v>
      </c>
    </row>
    <row r="29" spans="1:6" x14ac:dyDescent="0.55000000000000004">
      <c r="A29" t="s">
        <v>53</v>
      </c>
      <c r="B29" s="11">
        <v>-26559</v>
      </c>
      <c r="C29" s="11">
        <v>-31802</v>
      </c>
      <c r="D29" s="11">
        <v>-191880</v>
      </c>
      <c r="E29" s="11">
        <v>-73351</v>
      </c>
      <c r="F29" s="11">
        <v>-83309</v>
      </c>
    </row>
    <row r="30" spans="1:6" ht="14.7" thickBot="1" x14ac:dyDescent="0.6">
      <c r="A30" s="8" t="s">
        <v>54</v>
      </c>
      <c r="B30" s="12">
        <v>-289</v>
      </c>
      <c r="C30" s="12">
        <v>-190</v>
      </c>
      <c r="D30" s="12">
        <v>-59</v>
      </c>
      <c r="E30" s="12">
        <v>-136</v>
      </c>
      <c r="F30" s="12">
        <v>-1</v>
      </c>
    </row>
    <row r="31" spans="1:6" x14ac:dyDescent="0.55000000000000004">
      <c r="A31" s="40" t="s">
        <v>55</v>
      </c>
      <c r="B31" s="41">
        <f>SUM(B22:B30)</f>
        <v>34389</v>
      </c>
      <c r="C31" s="41">
        <f>SUM(C22:C30)</f>
        <v>-133630</v>
      </c>
      <c r="D31" s="41">
        <f t="shared" ref="D31" si="2">SUM(D22:D30)</f>
        <v>-331571</v>
      </c>
      <c r="E31" s="41">
        <f>SUM(E22:E30)</f>
        <v>-152404</v>
      </c>
      <c r="F31" s="41">
        <f>SUM(F22:F30)</f>
        <v>-706013</v>
      </c>
    </row>
    <row r="32" spans="1:6" x14ac:dyDescent="0.55000000000000004">
      <c r="B32" s="11"/>
      <c r="C32" s="11"/>
      <c r="D32" s="11"/>
      <c r="E32" s="11"/>
      <c r="F32" s="11"/>
    </row>
    <row r="33" spans="1:6" x14ac:dyDescent="0.55000000000000004">
      <c r="A33" s="35" t="s">
        <v>56</v>
      </c>
      <c r="B33" s="36">
        <f>SUM(B7,B19,B31)</f>
        <v>390167</v>
      </c>
      <c r="C33" s="36">
        <f>SUM(C7,C19,C31)</f>
        <v>446541</v>
      </c>
      <c r="D33" s="36">
        <f t="shared" ref="D33" si="3">SUM(D7,D19,D31)</f>
        <v>-73950</v>
      </c>
      <c r="E33" s="36">
        <f>SUM(E7,E19,E31)</f>
        <v>101149</v>
      </c>
      <c r="F33" s="36">
        <f>SUM(F7,F19,F31)</f>
        <v>-191319</v>
      </c>
    </row>
    <row r="34" spans="1:6" x14ac:dyDescent="0.55000000000000004">
      <c r="A34" t="s">
        <v>57</v>
      </c>
      <c r="B34" s="11">
        <v>440499</v>
      </c>
      <c r="C34" s="11">
        <v>837403</v>
      </c>
      <c r="D34" s="11">
        <v>1218279</v>
      </c>
      <c r="E34" s="11">
        <v>1203611</v>
      </c>
      <c r="F34" s="11">
        <v>1341488</v>
      </c>
    </row>
    <row r="35" spans="1:6" x14ac:dyDescent="0.55000000000000004">
      <c r="A35" t="s">
        <v>58</v>
      </c>
      <c r="B35" s="11">
        <v>6794</v>
      </c>
      <c r="C35" s="11">
        <v>-65641</v>
      </c>
      <c r="D35" s="11">
        <v>59282</v>
      </c>
      <c r="E35" s="11">
        <v>36728</v>
      </c>
      <c r="F35" s="11">
        <v>-29526</v>
      </c>
    </row>
    <row r="36" spans="1:6" ht="14.7" thickBot="1" x14ac:dyDescent="0.6">
      <c r="A36" s="8" t="s">
        <v>59</v>
      </c>
      <c r="B36" s="12">
        <v>-57</v>
      </c>
      <c r="C36" s="12">
        <v>-24</v>
      </c>
      <c r="D36" s="12">
        <v>0</v>
      </c>
      <c r="E36" s="12">
        <v>0</v>
      </c>
      <c r="F36" s="12">
        <v>69</v>
      </c>
    </row>
    <row r="37" spans="1:6" x14ac:dyDescent="0.55000000000000004">
      <c r="A37" s="37" t="s">
        <v>60</v>
      </c>
      <c r="B37" s="33">
        <f>SUM(B33:B36)</f>
        <v>837403</v>
      </c>
      <c r="C37" s="33">
        <f>SUM(C33:C36)</f>
        <v>1218279</v>
      </c>
      <c r="D37" s="33">
        <f t="shared" ref="D37" si="4">SUM(D33:D36)</f>
        <v>1203611</v>
      </c>
      <c r="E37" s="33">
        <f>SUM(E33:E36)</f>
        <v>1341488</v>
      </c>
      <c r="F37" s="33">
        <f>SUM(F33:F36)</f>
        <v>1120712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dcf</vt:lpstr>
      <vt:lpstr>highlights</vt:lpstr>
      <vt:lpstr>income_statement</vt:lpstr>
      <vt:lpstr>balance_sheet</vt:lpstr>
      <vt:lpstr>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Campus</dc:creator>
  <cp:lastModifiedBy>Daniele Campus</cp:lastModifiedBy>
  <dcterms:created xsi:type="dcterms:W3CDTF">2015-06-05T18:19:34Z</dcterms:created>
  <dcterms:modified xsi:type="dcterms:W3CDTF">2025-03-30T14:10:53Z</dcterms:modified>
</cp:coreProperties>
</file>