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OLO IO\Desktop\"/>
    </mc:Choice>
  </mc:AlternateContent>
  <xr:revisionPtr revIDLastSave="0" documentId="13_ncr:1_{3B28CA0F-2861-4D86-BBFB-BBF8A501C9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perazioni" sheetId="5" r:id="rId1"/>
    <sheet name="Simulazione con Normale" sheetId="6" r:id="rId2"/>
    <sheet name="Stazioni" sheetId="7" r:id="rId3"/>
    <sheet name="Componenti" sheetId="8" r:id="rId4"/>
    <sheet name="Variabili decisionali" sheetId="9" r:id="rId5"/>
  </sheets>
  <definedNames>
    <definedName name="_xlnm._FilterDatabase" localSheetId="3" hidden="1">Componenti!$B$1:$G$68</definedName>
    <definedName name="_xlnm._FilterDatabase" localSheetId="0" hidden="1">Operazioni!$A$5:$AR$44</definedName>
    <definedName name="solver_adj" localSheetId="3" hidden="1">Componenti!$AL$2:$AM$33</definedName>
    <definedName name="solver_cvg" localSheetId="3" hidden="1">0.0001</definedName>
    <definedName name="solver_drv" localSheetId="3" hidden="1">2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Componenti!$AK$2:$AK$33</definedName>
    <definedName name="solver_lhs2" localSheetId="3" hidden="1">Componenti!$AL$2:$AL$33</definedName>
    <definedName name="solver_lhs3" localSheetId="3" hidden="1">Componenti!$AM$2:$AM$33</definedName>
    <definedName name="solver_lhs4" localSheetId="3" hidden="1">Componenti!$AP$2:$AP$33</definedName>
    <definedName name="solver_lhs5" localSheetId="3" hidden="1">Componenti!$AP$2:$AP$33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4</definedName>
    <definedName name="solver_nwt" localSheetId="3" hidden="1">1</definedName>
    <definedName name="solver_opt" localSheetId="3" hidden="1">Componenti!$J$11</definedName>
    <definedName name="solver_pre" localSheetId="3" hidden="1">0.000001</definedName>
    <definedName name="solver_rbv" localSheetId="3" hidden="1">2</definedName>
    <definedName name="solver_rel1" localSheetId="3" hidden="1">1</definedName>
    <definedName name="solver_rel2" localSheetId="3" hidden="1">4</definedName>
    <definedName name="solver_rel3" localSheetId="3" hidden="1">1</definedName>
    <definedName name="solver_rel4" localSheetId="3" hidden="1">2</definedName>
    <definedName name="solver_rel5" localSheetId="3" hidden="1">2</definedName>
    <definedName name="solver_rhs1" localSheetId="3" hidden="1">Componenti!$J$5</definedName>
    <definedName name="solver_rhs2" localSheetId="3" hidden="1">intero</definedName>
    <definedName name="solver_rhs3" localSheetId="3" hidden="1">Componenti!$J$2</definedName>
    <definedName name="solver_rhs4" localSheetId="3" hidden="1">Componenti!$AR$2:$AR$33</definedName>
    <definedName name="solver_rhs5" localSheetId="3" hidden="1">Componenti!$AR$2:$AR$33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33" i="8" l="1"/>
  <c r="AG32" i="8"/>
  <c r="AG31" i="8"/>
  <c r="AG30" i="8"/>
  <c r="AG29" i="8"/>
  <c r="AG28" i="8"/>
  <c r="AG27" i="8"/>
  <c r="AG26" i="8"/>
  <c r="AG25" i="8"/>
  <c r="AG24" i="8"/>
  <c r="AG23" i="8"/>
  <c r="AG22" i="8"/>
  <c r="AG21" i="8"/>
  <c r="AG20" i="8"/>
  <c r="AG19" i="8"/>
  <c r="AG18" i="8"/>
  <c r="AG17" i="8"/>
  <c r="AG16" i="8"/>
  <c r="AG15" i="8"/>
  <c r="AG14" i="8"/>
  <c r="AG13" i="8"/>
  <c r="AG12" i="8"/>
  <c r="AG11" i="8"/>
  <c r="AG10" i="8"/>
  <c r="J10" i="8"/>
  <c r="AG9" i="8"/>
  <c r="AG8" i="8"/>
  <c r="AG7" i="8"/>
  <c r="J7" i="8"/>
  <c r="AG6" i="8"/>
  <c r="AG5" i="8"/>
  <c r="AG4" i="8"/>
  <c r="AG3" i="8"/>
  <c r="AG2" i="8"/>
  <c r="J2" i="8"/>
  <c r="B19" i="7"/>
  <c r="B18" i="7"/>
  <c r="B17" i="7"/>
  <c r="B16" i="7"/>
  <c r="B15" i="7"/>
  <c r="B13" i="7"/>
  <c r="B12" i="7"/>
  <c r="B11" i="7"/>
  <c r="B10" i="7"/>
  <c r="B9" i="7"/>
  <c r="B8" i="7"/>
  <c r="B7" i="7"/>
  <c r="B6" i="7"/>
  <c r="B5" i="7"/>
  <c r="L4" i="7"/>
  <c r="L6" i="7" s="1"/>
  <c r="L9" i="7" s="1"/>
  <c r="H49" i="6"/>
  <c r="C20" i="7" s="1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AA3" i="6"/>
  <c r="Z3" i="6"/>
  <c r="Y3" i="6"/>
  <c r="Y43" i="6" s="1"/>
  <c r="X3" i="6"/>
  <c r="X43" i="6" s="1"/>
  <c r="W3" i="6"/>
  <c r="V3" i="6"/>
  <c r="U3" i="6"/>
  <c r="T3" i="6"/>
  <c r="S3" i="6"/>
  <c r="R3" i="6"/>
  <c r="R43" i="6" s="1"/>
  <c r="Q3" i="6"/>
  <c r="Q43" i="6" s="1"/>
  <c r="P3" i="6"/>
  <c r="P43" i="6" s="1"/>
  <c r="O3" i="6"/>
  <c r="N3" i="6"/>
  <c r="M3" i="6"/>
  <c r="L3" i="6"/>
  <c r="L43" i="6" s="1"/>
  <c r="K3" i="6"/>
  <c r="J3" i="6"/>
  <c r="I3" i="6"/>
  <c r="I43" i="6" s="1"/>
  <c r="H3" i="6"/>
  <c r="Z43" i="6" l="1"/>
  <c r="J43" i="6"/>
  <c r="N43" i="6"/>
  <c r="U43" i="6"/>
  <c r="H43" i="6"/>
  <c r="W43" i="6"/>
  <c r="B20" i="7"/>
  <c r="C19" i="7" s="1"/>
  <c r="V43" i="6"/>
  <c r="T43" i="6"/>
  <c r="K43" i="6"/>
  <c r="M43" i="6"/>
  <c r="O43" i="6"/>
  <c r="AA43" i="6"/>
  <c r="S43" i="6"/>
  <c r="C9" i="7"/>
  <c r="AC32" i="8"/>
  <c r="O32" i="8"/>
  <c r="N31" i="8"/>
  <c r="AE30" i="8"/>
  <c r="AD29" i="8"/>
  <c r="P29" i="8"/>
  <c r="AC28" i="8"/>
  <c r="S28" i="8" s="1"/>
  <c r="X28" i="8" s="1"/>
  <c r="O28" i="8"/>
  <c r="N27" i="8"/>
  <c r="AE26" i="8"/>
  <c r="U26" i="8" s="1"/>
  <c r="Z26" i="8" s="1"/>
  <c r="AD25" i="8"/>
  <c r="T25" i="8" s="1"/>
  <c r="Y25" i="8" s="1"/>
  <c r="P25" i="8"/>
  <c r="AC24" i="8"/>
  <c r="O24" i="8"/>
  <c r="N23" i="8"/>
  <c r="AE22" i="8"/>
  <c r="AD21" i="8"/>
  <c r="T21" i="8" s="1"/>
  <c r="Y21" i="8" s="1"/>
  <c r="P21" i="8"/>
  <c r="AC20" i="8"/>
  <c r="O20" i="8"/>
  <c r="N19" i="8"/>
  <c r="AE18" i="8"/>
  <c r="U18" i="8" s="1"/>
  <c r="Z18" i="8" s="1"/>
  <c r="AE17" i="8"/>
  <c r="AD16" i="8"/>
  <c r="T16" i="8" s="1"/>
  <c r="Y16" i="8" s="1"/>
  <c r="P16" i="8"/>
  <c r="AD15" i="8"/>
  <c r="P15" i="8"/>
  <c r="AD14" i="8"/>
  <c r="T14" i="8" s="1"/>
  <c r="Y14" i="8" s="1"/>
  <c r="P14" i="8"/>
  <c r="AC13" i="8"/>
  <c r="O13" i="8"/>
  <c r="AC12" i="8"/>
  <c r="O12" i="8"/>
  <c r="AC11" i="8"/>
  <c r="O11" i="8"/>
  <c r="AE32" i="8"/>
  <c r="U32" i="8" s="1"/>
  <c r="Z32" i="8" s="1"/>
  <c r="AD31" i="8"/>
  <c r="T31" i="8" s="1"/>
  <c r="Y31" i="8" s="1"/>
  <c r="P31" i="8"/>
  <c r="AC30" i="8"/>
  <c r="S30" i="8" s="1"/>
  <c r="X30" i="8" s="1"/>
  <c r="O30" i="8"/>
  <c r="N29" i="8"/>
  <c r="AE28" i="8"/>
  <c r="U28" i="8" s="1"/>
  <c r="Z28" i="8" s="1"/>
  <c r="AD27" i="8"/>
  <c r="T27" i="8" s="1"/>
  <c r="Y27" i="8" s="1"/>
  <c r="P27" i="8"/>
  <c r="AC26" i="8"/>
  <c r="O26" i="8"/>
  <c r="N25" i="8"/>
  <c r="AE24" i="8"/>
  <c r="U24" i="8" s="1"/>
  <c r="Z24" i="8" s="1"/>
  <c r="AD23" i="8"/>
  <c r="P23" i="8"/>
  <c r="AC22" i="8"/>
  <c r="S22" i="8" s="1"/>
  <c r="X22" i="8" s="1"/>
  <c r="O22" i="8"/>
  <c r="N21" i="8"/>
  <c r="AE20" i="8"/>
  <c r="U20" i="8" s="1"/>
  <c r="Z20" i="8" s="1"/>
  <c r="AD19" i="8"/>
  <c r="P19" i="8"/>
  <c r="AC18" i="8"/>
  <c r="S18" i="8" s="1"/>
  <c r="X18" i="8" s="1"/>
  <c r="O18" i="8"/>
  <c r="AC17" i="8"/>
  <c r="S17" i="8" s="1"/>
  <c r="X17" i="8" s="1"/>
  <c r="O17" i="8"/>
  <c r="N16" i="8"/>
  <c r="N15" i="8"/>
  <c r="AD32" i="8"/>
  <c r="P32" i="8"/>
  <c r="AC31" i="8"/>
  <c r="S31" i="8" s="1"/>
  <c r="X31" i="8" s="1"/>
  <c r="O31" i="8"/>
  <c r="N30" i="8"/>
  <c r="AE29" i="8"/>
  <c r="U29" i="8" s="1"/>
  <c r="Z29" i="8" s="1"/>
  <c r="AD28" i="8"/>
  <c r="P28" i="8"/>
  <c r="AC27" i="8"/>
  <c r="O27" i="8"/>
  <c r="N26" i="8"/>
  <c r="AE25" i="8"/>
  <c r="AD24" i="8"/>
  <c r="P24" i="8"/>
  <c r="AC23" i="8"/>
  <c r="S23" i="8" s="1"/>
  <c r="X23" i="8" s="1"/>
  <c r="O23" i="8"/>
  <c r="N22" i="8"/>
  <c r="AE21" i="8"/>
  <c r="U21" i="8" s="1"/>
  <c r="Z21" i="8" s="1"/>
  <c r="AD20" i="8"/>
  <c r="T20" i="8" s="1"/>
  <c r="Y20" i="8" s="1"/>
  <c r="N32" i="8"/>
  <c r="AC29" i="8"/>
  <c r="S29" i="8" s="1"/>
  <c r="X29" i="8" s="1"/>
  <c r="AE27" i="8"/>
  <c r="U27" i="8" s="1"/>
  <c r="Z27" i="8" s="1"/>
  <c r="O25" i="8"/>
  <c r="N24" i="8"/>
  <c r="AC21" i="8"/>
  <c r="N20" i="8"/>
  <c r="AC19" i="8"/>
  <c r="S19" i="8" s="1"/>
  <c r="X19" i="8" s="1"/>
  <c r="O19" i="8"/>
  <c r="N18" i="8"/>
  <c r="N17" i="8"/>
  <c r="AC16" i="8"/>
  <c r="S16" i="8" s="1"/>
  <c r="X16" i="8" s="1"/>
  <c r="O16" i="8"/>
  <c r="AE15" i="8"/>
  <c r="U15" i="8" s="1"/>
  <c r="Z15" i="8" s="1"/>
  <c r="O14" i="8"/>
  <c r="AE13" i="8"/>
  <c r="N13" i="8"/>
  <c r="AE12" i="8"/>
  <c r="U12" i="8" s="1"/>
  <c r="Z12" i="8" s="1"/>
  <c r="N12" i="8"/>
  <c r="AE11" i="8"/>
  <c r="U11" i="8" s="1"/>
  <c r="Z11" i="8" s="1"/>
  <c r="N11" i="8"/>
  <c r="AE10" i="8"/>
  <c r="AE9" i="8"/>
  <c r="AD8" i="8"/>
  <c r="T8" i="8" s="1"/>
  <c r="Y8" i="8" s="1"/>
  <c r="P8" i="8"/>
  <c r="AC7" i="8"/>
  <c r="S7" i="8" s="1"/>
  <c r="X7" i="8" s="1"/>
  <c r="O7" i="8"/>
  <c r="AC6" i="8"/>
  <c r="S6" i="8" s="1"/>
  <c r="X6" i="8" s="1"/>
  <c r="O6" i="8"/>
  <c r="N5" i="8"/>
  <c r="L11" i="7"/>
  <c r="L12" i="7" s="1"/>
  <c r="P30" i="8"/>
  <c r="AD26" i="8"/>
  <c r="T26" i="8" s="1"/>
  <c r="Y26" i="8" s="1"/>
  <c r="P22" i="8"/>
  <c r="AC15" i="8"/>
  <c r="S15" i="8" s="1"/>
  <c r="X15" i="8" s="1"/>
  <c r="O15" i="8"/>
  <c r="AE14" i="8"/>
  <c r="N14" i="8"/>
  <c r="AD13" i="8"/>
  <c r="T13" i="8" s="1"/>
  <c r="Y13" i="8" s="1"/>
  <c r="AD12" i="8"/>
  <c r="T12" i="8" s="1"/>
  <c r="Y12" i="8" s="1"/>
  <c r="AD11" i="8"/>
  <c r="T11" i="8" s="1"/>
  <c r="Y11" i="8" s="1"/>
  <c r="AD10" i="8"/>
  <c r="T10" i="8" s="1"/>
  <c r="Y10" i="8" s="1"/>
  <c r="P10" i="8"/>
  <c r="AD9" i="8"/>
  <c r="T9" i="8" s="1"/>
  <c r="Y9" i="8" s="1"/>
  <c r="P9" i="8"/>
  <c r="AC8" i="8"/>
  <c r="S8" i="8" s="1"/>
  <c r="X8" i="8" s="1"/>
  <c r="O8" i="8"/>
  <c r="N7" i="8"/>
  <c r="N6" i="8"/>
  <c r="AE5" i="8"/>
  <c r="AE31" i="8"/>
  <c r="O29" i="8"/>
  <c r="N28" i="8"/>
  <c r="AC25" i="8"/>
  <c r="S25" i="8" s="1"/>
  <c r="X25" i="8" s="1"/>
  <c r="AE23" i="8"/>
  <c r="U23" i="8" s="1"/>
  <c r="Z23" i="8" s="1"/>
  <c r="O21" i="8"/>
  <c r="AC14" i="8"/>
  <c r="AC10" i="8"/>
  <c r="S10" i="8" s="1"/>
  <c r="X10" i="8" s="1"/>
  <c r="O10" i="8"/>
  <c r="AC9" i="8"/>
  <c r="S9" i="8" s="1"/>
  <c r="X9" i="8" s="1"/>
  <c r="O9" i="8"/>
  <c r="N8" i="8"/>
  <c r="AE7" i="8"/>
  <c r="AE6" i="8"/>
  <c r="AD5" i="8"/>
  <c r="P5" i="8"/>
  <c r="AD30" i="8"/>
  <c r="T30" i="8" s="1"/>
  <c r="Y30" i="8" s="1"/>
  <c r="P26" i="8"/>
  <c r="AD22" i="8"/>
  <c r="T22" i="8" s="1"/>
  <c r="Y22" i="8" s="1"/>
  <c r="P20" i="8"/>
  <c r="AE19" i="8"/>
  <c r="U19" i="8" s="1"/>
  <c r="Z19" i="8" s="1"/>
  <c r="AD18" i="8"/>
  <c r="P18" i="8"/>
  <c r="AD17" i="8"/>
  <c r="T17" i="8" s="1"/>
  <c r="Y17" i="8" s="1"/>
  <c r="P17" i="8"/>
  <c r="AE16" i="8"/>
  <c r="P13" i="8"/>
  <c r="P12" i="8"/>
  <c r="P11" i="8"/>
  <c r="N10" i="8"/>
  <c r="N9" i="8"/>
  <c r="AE8" i="8"/>
  <c r="AD7" i="8"/>
  <c r="T7" i="8" s="1"/>
  <c r="Y7" i="8" s="1"/>
  <c r="P7" i="8"/>
  <c r="AD6" i="8"/>
  <c r="T6" i="8" s="1"/>
  <c r="Y6" i="8" s="1"/>
  <c r="P6" i="8"/>
  <c r="AC5" i="8"/>
  <c r="O5" i="8"/>
  <c r="L10" i="7"/>
  <c r="L18" i="7" s="1"/>
  <c r="L19" i="7" s="1"/>
  <c r="C17" i="7"/>
  <c r="C12" i="7" l="1"/>
  <c r="C13" i="7"/>
  <c r="C5" i="7"/>
  <c r="C16" i="7"/>
  <c r="C7" i="7"/>
  <c r="C11" i="7"/>
  <c r="C6" i="7"/>
  <c r="C18" i="7"/>
  <c r="G7" i="7" s="1"/>
  <c r="H7" i="7" s="1"/>
  <c r="C10" i="7"/>
  <c r="C15" i="7"/>
  <c r="C14" i="7"/>
  <c r="C8" i="7"/>
  <c r="B25" i="7" s="1"/>
  <c r="C25" i="7" s="1"/>
  <c r="D25" i="7" s="1"/>
  <c r="E25" i="7" s="1"/>
  <c r="O34" i="8"/>
  <c r="AK17" i="8"/>
  <c r="AR17" i="8" s="1"/>
  <c r="AC34" i="8"/>
  <c r="S5" i="8"/>
  <c r="AK4" i="8"/>
  <c r="AR4" i="8" s="1"/>
  <c r="AK31" i="8"/>
  <c r="AR31" i="8" s="1"/>
  <c r="G8" i="7"/>
  <c r="H8" i="7" s="1"/>
  <c r="AK6" i="8"/>
  <c r="AR6" i="8" s="1"/>
  <c r="AK9" i="8"/>
  <c r="AR9" i="8" s="1"/>
  <c r="AK21" i="8"/>
  <c r="AR21" i="8" s="1"/>
  <c r="AK30" i="8"/>
  <c r="AR30" i="8" s="1"/>
  <c r="AK5" i="8"/>
  <c r="AR5" i="8" s="1"/>
  <c r="AE34" i="8"/>
  <c r="AK2" i="8"/>
  <c r="AR2" i="8" s="1"/>
  <c r="N34" i="8"/>
  <c r="AK7" i="8"/>
  <c r="AR7" i="8" s="1"/>
  <c r="AK20" i="8"/>
  <c r="AR20" i="8" s="1"/>
  <c r="AK24" i="8"/>
  <c r="AR24" i="8" s="1"/>
  <c r="AK27" i="8"/>
  <c r="AR27" i="8" s="1"/>
  <c r="AK33" i="8"/>
  <c r="AR33" i="8" s="1"/>
  <c r="AK18" i="8"/>
  <c r="AR18" i="8" s="1"/>
  <c r="AK16" i="8"/>
  <c r="AR16" i="8" s="1"/>
  <c r="AK19" i="8"/>
  <c r="AR19" i="8" s="1"/>
  <c r="L13" i="7"/>
  <c r="P34" i="8"/>
  <c r="AD34" i="8"/>
  <c r="T5" i="8"/>
  <c r="AK12" i="8"/>
  <c r="AR12" i="8" s="1"/>
  <c r="AK13" i="8"/>
  <c r="AR13" i="8" s="1"/>
  <c r="AK25" i="8"/>
  <c r="AR25" i="8" s="1"/>
  <c r="AK8" i="8"/>
  <c r="AR8" i="8" s="1"/>
  <c r="AK10" i="8"/>
  <c r="AR10" i="8" s="1"/>
  <c r="AK14" i="8"/>
  <c r="AR14" i="8" s="1"/>
  <c r="B27" i="7"/>
  <c r="C27" i="7" s="1"/>
  <c r="D27" i="7" s="1"/>
  <c r="E27" i="7" s="1"/>
  <c r="B26" i="7"/>
  <c r="C26" i="7" s="1"/>
  <c r="D26" i="7" s="1"/>
  <c r="E26" i="7" s="1"/>
  <c r="AK15" i="8"/>
  <c r="AR15" i="8" s="1"/>
  <c r="AK3" i="8"/>
  <c r="AR3" i="8" s="1"/>
  <c r="AK11" i="8"/>
  <c r="AR11" i="8" s="1"/>
  <c r="AK28" i="8"/>
  <c r="AR28" i="8" s="1"/>
  <c r="AK22" i="8"/>
  <c r="AR22" i="8" s="1"/>
  <c r="AK26" i="8"/>
  <c r="AR26" i="8" s="1"/>
  <c r="AK23" i="8"/>
  <c r="AR23" i="8" s="1"/>
  <c r="AK29" i="8"/>
  <c r="AR29" i="8" s="1"/>
  <c r="AK32" i="8"/>
  <c r="AR32" i="8" s="1"/>
  <c r="G5" i="7" l="1"/>
  <c r="H5" i="7" s="1"/>
  <c r="G6" i="7"/>
  <c r="H6" i="7" s="1"/>
  <c r="S11" i="8"/>
  <c r="X11" i="8" s="1"/>
  <c r="U14" i="8"/>
  <c r="Z14" i="8" s="1"/>
  <c r="S13" i="8"/>
  <c r="X13" i="8" s="1"/>
  <c r="U25" i="8"/>
  <c r="Z25" i="8" s="1"/>
  <c r="U8" i="8"/>
  <c r="Z8" i="8" s="1"/>
  <c r="T18" i="8"/>
  <c r="Y18" i="8" s="1"/>
  <c r="S14" i="8"/>
  <c r="X14" i="8" s="1"/>
  <c r="T29" i="8"/>
  <c r="Y29" i="8" s="1"/>
  <c r="U30" i="8"/>
  <c r="Z30" i="8" s="1"/>
  <c r="S24" i="8"/>
  <c r="X24" i="8" s="1"/>
  <c r="T28" i="8"/>
  <c r="Y28" i="8" s="1"/>
  <c r="S20" i="8"/>
  <c r="X20" i="8" s="1"/>
  <c r="S27" i="8"/>
  <c r="X27" i="8" s="1"/>
  <c r="U10" i="8"/>
  <c r="Z10" i="8" s="1"/>
  <c r="T23" i="8"/>
  <c r="Y23" i="8" s="1"/>
  <c r="U13" i="8"/>
  <c r="Z13" i="8" s="1"/>
  <c r="U22" i="8"/>
  <c r="Z22" i="8" s="1"/>
  <c r="U16" i="8"/>
  <c r="Z16" i="8" s="1"/>
  <c r="T32" i="8"/>
  <c r="Y32" i="8" s="1"/>
  <c r="T24" i="8"/>
  <c r="Y24" i="8" s="1"/>
  <c r="U31" i="8"/>
  <c r="Z31" i="8" s="1"/>
  <c r="S26" i="8"/>
  <c r="X26" i="8" s="1"/>
  <c r="U6" i="8"/>
  <c r="Z6" i="8" s="1"/>
  <c r="T19" i="8"/>
  <c r="Y19" i="8" s="1"/>
  <c r="U9" i="8"/>
  <c r="Z9" i="8" s="1"/>
  <c r="X5" i="8"/>
  <c r="S32" i="8"/>
  <c r="X32" i="8" s="1"/>
  <c r="F26" i="7"/>
  <c r="F27" i="7"/>
  <c r="F25" i="7"/>
  <c r="U17" i="8"/>
  <c r="Z17" i="8" s="1"/>
  <c r="S12" i="8"/>
  <c r="X12" i="8" s="1"/>
  <c r="Y5" i="8"/>
  <c r="S21" i="8"/>
  <c r="X21" i="8" s="1"/>
  <c r="J15" i="8"/>
  <c r="J16" i="8" s="1"/>
  <c r="G9" i="7"/>
  <c r="T15" i="8"/>
  <c r="Y15" i="8" s="1"/>
  <c r="U5" i="8"/>
  <c r="U7" i="8"/>
  <c r="Z7" i="8" s="1"/>
  <c r="J11" i="8" l="1"/>
  <c r="J12" i="8" s="1"/>
  <c r="J13" i="8" s="1"/>
  <c r="J18" i="8" s="1"/>
  <c r="Y34" i="8"/>
  <c r="H25" i="7"/>
  <c r="G25" i="7"/>
  <c r="X34" i="8"/>
  <c r="T34" i="8"/>
  <c r="G27" i="7"/>
  <c r="H27" i="7"/>
  <c r="U34" i="8"/>
  <c r="Z5" i="8"/>
  <c r="Z34" i="8" s="1"/>
  <c r="H26" i="7"/>
  <c r="G26" i="7"/>
  <c r="S34" i="8"/>
</calcChain>
</file>

<file path=xl/sharedStrings.xml><?xml version="1.0" encoding="utf-8"?>
<sst xmlns="http://schemas.openxmlformats.org/spreadsheetml/2006/main" count="540" uniqueCount="180">
  <si>
    <t>Predecessori</t>
  </si>
  <si>
    <t>Nome fase</t>
  </si>
  <si>
    <t>Inserimento sponda corta 1</t>
  </si>
  <si>
    <t>Inserimento pin legno 1</t>
  </si>
  <si>
    <t>Inserimento sponda corta 2</t>
  </si>
  <si>
    <t>Inserimento pin legno 2</t>
  </si>
  <si>
    <t>Inseriemnto sponda lunga 1</t>
  </si>
  <si>
    <t>Avvitatura vite più rondella</t>
  </si>
  <si>
    <t>Inserimento piano di gioco</t>
  </si>
  <si>
    <t>Inserimento pin legno 3</t>
  </si>
  <si>
    <t>Inserimento pin legno 4</t>
  </si>
  <si>
    <t>Inserimento tiranti</t>
  </si>
  <si>
    <t>Avvitatura tiranti</t>
  </si>
  <si>
    <t>Montaggio gamba 1</t>
  </si>
  <si>
    <t>Montaggio gamba 2</t>
  </si>
  <si>
    <t>Montaggio gamba 3</t>
  </si>
  <si>
    <t>Montaggio gamba 4</t>
  </si>
  <si>
    <t>Inserimento Portiere B</t>
  </si>
  <si>
    <t xml:space="preserve">Inserimento boccole </t>
  </si>
  <si>
    <t>Inserimento Portiere R</t>
  </si>
  <si>
    <t>Inserimento Difensore B</t>
  </si>
  <si>
    <t>Inserimento Difensore R</t>
  </si>
  <si>
    <t>Inserimento Centrocampista B</t>
  </si>
  <si>
    <t>Inserimento Centrocampista R</t>
  </si>
  <si>
    <t>Inserimento Attaccanti B</t>
  </si>
  <si>
    <t>Inserimento Attaccanti R</t>
  </si>
  <si>
    <t>Inserimento porta B</t>
  </si>
  <si>
    <t>Inserimento porta R</t>
  </si>
  <si>
    <t>ID_componente</t>
  </si>
  <si>
    <t>Componente</t>
  </si>
  <si>
    <t>Sponda Corta</t>
  </si>
  <si>
    <t>Pin</t>
  </si>
  <si>
    <t>Sponda Lunga</t>
  </si>
  <si>
    <t>Vite sponda</t>
  </si>
  <si>
    <t>Rondella sponda</t>
  </si>
  <si>
    <t>Piano</t>
  </si>
  <si>
    <t>Tiranti</t>
  </si>
  <si>
    <t xml:space="preserve">Bulloni </t>
  </si>
  <si>
    <t>Gamba</t>
  </si>
  <si>
    <t>Vite</t>
  </si>
  <si>
    <t>Rondella</t>
  </si>
  <si>
    <t>Dado</t>
  </si>
  <si>
    <t>Asta portiere B</t>
  </si>
  <si>
    <t>Boccola interna</t>
  </si>
  <si>
    <t>Boccola esterna</t>
  </si>
  <si>
    <t>Asta portiere R</t>
  </si>
  <si>
    <t>Asta difensore B</t>
  </si>
  <si>
    <t>Asta difensore R</t>
  </si>
  <si>
    <t>Asta centrocampista B</t>
  </si>
  <si>
    <t>Asta centrocampista R</t>
  </si>
  <si>
    <t>Asta attaccante B</t>
  </si>
  <si>
    <t>Asta attaccante R</t>
  </si>
  <si>
    <t>Porta</t>
  </si>
  <si>
    <t>Vite porta</t>
  </si>
  <si>
    <t>Contro vite porta</t>
  </si>
  <si>
    <t>Segna punti</t>
  </si>
  <si>
    <t>Vite segna punti</t>
  </si>
  <si>
    <t>ID_fase</t>
  </si>
  <si>
    <t>Attività</t>
  </si>
  <si>
    <t>Work station 1</t>
  </si>
  <si>
    <t>Work station 2</t>
  </si>
  <si>
    <t># operatori</t>
  </si>
  <si>
    <t>Descrizione operazione</t>
  </si>
  <si>
    <t>ID_operazione</t>
  </si>
  <si>
    <t>Durata media [s]</t>
  </si>
  <si>
    <t>St dev durata [s]</t>
  </si>
  <si>
    <t>Inserimento segna punti B</t>
  </si>
  <si>
    <t>Inserimento segna punti R</t>
  </si>
  <si>
    <t># agv</t>
  </si>
  <si>
    <t># operatori per work station</t>
  </si>
  <si>
    <t># work station</t>
  </si>
  <si>
    <t>Inserimento sponda lunga 1</t>
  </si>
  <si>
    <t>Inserimento sponda lunga 2</t>
  </si>
  <si>
    <t>Contro vite segnapunti</t>
  </si>
  <si>
    <t>Rotazione 180°</t>
  </si>
  <si>
    <t>-</t>
  </si>
  <si>
    <t>Dimensione convogliatore a valle della stazione [WIP]</t>
  </si>
  <si>
    <t>Potenzialità convogliatore a valle della stazione [WIP/h]</t>
  </si>
  <si>
    <r>
      <rPr>
        <b/>
        <sz val="11"/>
        <color theme="9" tint="-0.249977111117893"/>
        <rFont val="Calibri"/>
        <family val="2"/>
        <scheme val="minor"/>
      </rPr>
      <t>Verde</t>
    </r>
    <r>
      <rPr>
        <b/>
        <sz val="11"/>
        <color theme="1"/>
        <rFont val="Calibri"/>
        <family val="2"/>
        <scheme val="minor"/>
      </rPr>
      <t>: 2 operatori</t>
    </r>
  </si>
  <si>
    <t>Nero: 1 operatore</t>
  </si>
  <si>
    <t>Durata simulata</t>
  </si>
  <si>
    <t>#operatori</t>
  </si>
  <si>
    <t>Quando c'è "/" significa che 2 operatori lavorano in parallelo, uno sulle attività di sinistra, l'altro su quelle di destra</t>
  </si>
  <si>
    <t>ALGORITMO DEL MASSIMO GRADO DI SATURAZIONE IMPOSTO</t>
  </si>
  <si>
    <t>PZ/settimana (domanda)</t>
  </si>
  <si>
    <t>Durata simulata [s]</t>
  </si>
  <si>
    <t>Stazioni</t>
  </si>
  <si>
    <t>Stazione</t>
  </si>
  <si>
    <t>Grado sat.</t>
  </si>
  <si>
    <t>Verifica</t>
  </si>
  <si>
    <t>Ore apertura / settimana</t>
  </si>
  <si>
    <t>1+2+8/3+4+9</t>
  </si>
  <si>
    <t>Coefficiente utilizzo tempo</t>
  </si>
  <si>
    <t>Ore effettive / settimana</t>
  </si>
  <si>
    <t>Saturazione massima staz.</t>
  </si>
  <si>
    <t>7+10 (entrambe 2 op)</t>
  </si>
  <si>
    <t>Saturazione media</t>
  </si>
  <si>
    <t>Potenzialità vera [pz/h]</t>
  </si>
  <si>
    <t>Potenzialità [pz/s]</t>
  </si>
  <si>
    <t>Tempo ciclo [h/pz]</t>
  </si>
  <si>
    <t>Tempo ciclo vero [s/pz]</t>
  </si>
  <si>
    <t>15+16/17+18</t>
  </si>
  <si>
    <t># minimo stazioni (teorico)</t>
  </si>
  <si>
    <t>20+21/22+23</t>
  </si>
  <si>
    <t>a [m]</t>
  </si>
  <si>
    <t>24+25/26+27</t>
  </si>
  <si>
    <t>28+29/30+31</t>
  </si>
  <si>
    <t>v [m/s]</t>
  </si>
  <si>
    <t>32+33/34+35</t>
  </si>
  <si>
    <t>L [m]</t>
  </si>
  <si>
    <t>36+38/37+39</t>
  </si>
  <si>
    <t>Tempo Attraversamento [s]</t>
  </si>
  <si>
    <t>PT MAX [pz/s]</t>
  </si>
  <si>
    <t>PE MAX [pz/s]</t>
  </si>
  <si>
    <t>PE MAX [pz/h]</t>
  </si>
  <si>
    <t>PE vera [pz/h]</t>
  </si>
  <si>
    <t>TC vero [s/pz]</t>
  </si>
  <si>
    <t>Saturaz potenzialità</t>
  </si>
  <si>
    <t>Quantità [componente/pz]</t>
  </si>
  <si>
    <t>Peso [kg/componente]</t>
  </si>
  <si>
    <t>Fabbisogno (kg / gg) per ogni stazione di ogni componente</t>
  </si>
  <si>
    <t>Fabbisogno in tempi fissi (s / gg) per ogni stazione di ogni componente</t>
  </si>
  <si>
    <t>Frequenza di rifornimento (numero volte / (gg*stazione))</t>
  </si>
  <si>
    <t>ID_unico</t>
  </si>
  <si>
    <t>Descrizione</t>
  </si>
  <si>
    <t>Lotto di riordino [kg/lotto]</t>
  </si>
  <si>
    <t>Frequenza di rifornimento [lotti/gg]</t>
  </si>
  <si>
    <t>Frequenza di rifornimento [s/lotto]</t>
  </si>
  <si>
    <t>VINCOLO PER RISOLUTORE</t>
  </si>
  <si>
    <t>Fabbisogno [kg/gg]</t>
  </si>
  <si>
    <t>Vincolo</t>
  </si>
  <si>
    <t>Rifornimento [kg/gg]</t>
  </si>
  <si>
    <t>Secondi disponibili al gg</t>
  </si>
  <si>
    <t>s/gg</t>
  </si>
  <si>
    <t>=</t>
  </si>
  <si>
    <t>Tempi fissi</t>
  </si>
  <si>
    <t>s/lotto</t>
  </si>
  <si>
    <t>Velocità AGV</t>
  </si>
  <si>
    <t>m/s</t>
  </si>
  <si>
    <t>Portata max</t>
  </si>
  <si>
    <t>kg/(giro*agv)</t>
  </si>
  <si>
    <t>Coeff di saturazione medio AGV</t>
  </si>
  <si>
    <t>Portata media effettiva</t>
  </si>
  <si>
    <t>Distanza percorsa AGV</t>
  </si>
  <si>
    <t>km/(giro*agv)</t>
  </si>
  <si>
    <t>Tempo necessario per la strada</t>
  </si>
  <si>
    <t>s/(giro*agv)</t>
  </si>
  <si>
    <t>Totale tempi fissi</t>
  </si>
  <si>
    <t>Tempo disponibile per la strada</t>
  </si>
  <si>
    <t>Giri al giorno disponibili</t>
  </si>
  <si>
    <t>giri/(gg*agv)</t>
  </si>
  <si>
    <t>Kg al giorno necessari</t>
  </si>
  <si>
    <t>kg/gg</t>
  </si>
  <si>
    <t>Giri al giorno necessari</t>
  </si>
  <si>
    <t>giri/(gg*flotta)</t>
  </si>
  <si>
    <t>Numero di AGV</t>
  </si>
  <si>
    <t>AGV</t>
  </si>
  <si>
    <t>Somme</t>
  </si>
  <si>
    <t>ID_attività</t>
  </si>
  <si>
    <t>Work station 3</t>
  </si>
  <si>
    <t>X</t>
  </si>
  <si>
    <t>Q [pz]</t>
  </si>
  <si>
    <t>Fabbisogno (kg / unità di tempo di riordino) per ogni stazione di ogni componente</t>
  </si>
  <si>
    <t>Stazione di utilizzo</t>
  </si>
  <si>
    <t>TA simulazione</t>
  </si>
  <si>
    <t>RUN Tempo Attraversamento</t>
  </si>
  <si>
    <t>TA medio</t>
  </si>
  <si>
    <t>STAZIONE n+1</t>
  </si>
  <si>
    <t>TC min [s/pz]</t>
  </si>
  <si>
    <t>2 operatori fanno l'attività n.14, poi uno dei 2 fa la n.(15+16) e l'altro la n.(17+18)</t>
  </si>
  <si>
    <t>per poi tornare insieme a fare la n.19, il tutto sulla stazione 2</t>
  </si>
  <si>
    <t>d [m]</t>
  </si>
  <si>
    <t xml:space="preserve">         STAZIONE n</t>
  </si>
  <si>
    <t>Esempio di convogliatore dimensionato correttamente per visualizzare se 5,8 m di lunghezza sono sufficienti</t>
  </si>
  <si>
    <t>Nel nostro caso (0 WIP in coda) rappresenta la lunghezza del convogliatore</t>
  </si>
  <si>
    <t>Distanza tra 2 pallet successivi</t>
  </si>
  <si>
    <t>AUTORI PROGETTO</t>
  </si>
  <si>
    <t>Di Grandi Daniele, matricola: 887284</t>
  </si>
  <si>
    <t>Di Stefano Giuseppe, matricola: 871815</t>
  </si>
  <si>
    <t>Se intende pezzi in coda allora vale 0, se intende pezzi in movimento sul convogliatore in un certo istante di tempo allora vale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</si>
</sst>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"/>
    <numFmt numFmtId="167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0" xfId="0" applyFont="1" applyFill="1"/>
    <xf numFmtId="0" fontId="0" fillId="3" borderId="0" xfId="0" applyFill="1"/>
    <xf numFmtId="0" fontId="2" fillId="0" borderId="1" xfId="0" applyFont="1" applyBorder="1" applyAlignment="1">
      <alignment horizontal="left"/>
    </xf>
    <xf numFmtId="0" fontId="1" fillId="4" borderId="3" xfId="0" applyFont="1" applyFill="1" applyBorder="1"/>
    <xf numFmtId="0" fontId="1" fillId="4" borderId="4" xfId="0" applyFont="1" applyFill="1" applyBorder="1"/>
    <xf numFmtId="2" fontId="0" fillId="3" borderId="0" xfId="0" applyNumberFormat="1" applyFill="1"/>
    <xf numFmtId="164" fontId="0" fillId="3" borderId="0" xfId="0" applyNumberFormat="1" applyFill="1"/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6" borderId="19" xfId="0" applyFont="1" applyFill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6" borderId="19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6" borderId="28" xfId="0" applyFont="1" applyFill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5" borderId="30" xfId="0" applyFont="1" applyFill="1" applyBorder="1" applyAlignment="1">
      <alignment horizontal="center"/>
    </xf>
    <xf numFmtId="164" fontId="1" fillId="0" borderId="11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20" xfId="0" applyBorder="1" applyAlignment="1">
      <alignment horizontal="left"/>
    </xf>
    <xf numFmtId="0" fontId="1" fillId="6" borderId="31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23" xfId="0" applyBorder="1"/>
    <xf numFmtId="0" fontId="0" fillId="0" borderId="33" xfId="0" applyBorder="1" applyAlignment="1">
      <alignment horizontal="left"/>
    </xf>
    <xf numFmtId="2" fontId="0" fillId="0" borderId="34" xfId="0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2" borderId="36" xfId="0" applyFill="1" applyBorder="1" applyAlignment="1">
      <alignment horizontal="center"/>
    </xf>
    <xf numFmtId="0" fontId="0" fillId="0" borderId="33" xfId="0" applyBorder="1" applyAlignment="1">
      <alignment horizontal="center"/>
    </xf>
    <xf numFmtId="10" fontId="0" fillId="0" borderId="34" xfId="1" applyNumberFormat="1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7" borderId="23" xfId="0" applyFill="1" applyBorder="1"/>
    <xf numFmtId="9" fontId="2" fillId="7" borderId="22" xfId="1" applyFont="1" applyFill="1" applyBorder="1" applyAlignment="1">
      <alignment horizontal="center"/>
    </xf>
    <xf numFmtId="0" fontId="0" fillId="0" borderId="38" xfId="0" applyBorder="1" applyAlignment="1">
      <alignment horizontal="left"/>
    </xf>
    <xf numFmtId="2" fontId="0" fillId="0" borderId="39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0" borderId="38" xfId="0" applyBorder="1" applyAlignment="1">
      <alignment horizontal="center"/>
    </xf>
    <xf numFmtId="10" fontId="0" fillId="0" borderId="39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7" borderId="29" xfId="0" applyFill="1" applyBorder="1"/>
    <xf numFmtId="9" fontId="2" fillId="7" borderId="27" xfId="1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10" fontId="0" fillId="0" borderId="42" xfId="1" applyNumberFormat="1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0" fillId="3" borderId="0" xfId="0" applyFill="1" applyAlignment="1">
      <alignment wrapText="1"/>
    </xf>
    <xf numFmtId="0" fontId="1" fillId="5" borderId="30" xfId="0" applyFont="1" applyFill="1" applyBorder="1" applyAlignment="1">
      <alignment horizontal="left"/>
    </xf>
    <xf numFmtId="10" fontId="1" fillId="0" borderId="43" xfId="1" applyNumberFormat="1" applyFont="1" applyBorder="1" applyAlignment="1">
      <alignment horizontal="center"/>
    </xf>
    <xf numFmtId="0" fontId="0" fillId="3" borderId="0" xfId="0" applyFill="1" applyAlignment="1">
      <alignment horizontal="left"/>
    </xf>
    <xf numFmtId="0" fontId="3" fillId="5" borderId="20" xfId="0" applyFont="1" applyFill="1" applyBorder="1"/>
    <xf numFmtId="2" fontId="6" fillId="5" borderId="18" xfId="0" applyNumberFormat="1" applyFon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0" fontId="1" fillId="5" borderId="23" xfId="0" applyFont="1" applyFill="1" applyBorder="1"/>
    <xf numFmtId="0" fontId="3" fillId="5" borderId="22" xfId="0" applyFont="1" applyFill="1" applyBorder="1" applyAlignment="1">
      <alignment horizontal="center"/>
    </xf>
    <xf numFmtId="0" fontId="1" fillId="5" borderId="29" xfId="0" applyFont="1" applyFill="1" applyBorder="1"/>
    <xf numFmtId="0" fontId="1" fillId="5" borderId="27" xfId="0" applyFont="1" applyFill="1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0" borderId="41" xfId="0" applyBorder="1" applyAlignment="1">
      <alignment horizontal="left"/>
    </xf>
    <xf numFmtId="2" fontId="0" fillId="0" borderId="42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7" fillId="3" borderId="0" xfId="0" applyFont="1" applyFill="1"/>
    <xf numFmtId="10" fontId="0" fillId="3" borderId="0" xfId="1" applyNumberFormat="1" applyFont="1" applyFill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5" fillId="3" borderId="0" xfId="0" applyNumberFormat="1" applyFont="1" applyFill="1" applyAlignment="1">
      <alignment horizontal="left"/>
    </xf>
    <xf numFmtId="2" fontId="1" fillId="3" borderId="0" xfId="0" applyNumberFormat="1" applyFont="1" applyFill="1" applyAlignment="1">
      <alignment horizontal="center"/>
    </xf>
    <xf numFmtId="10" fontId="0" fillId="3" borderId="0" xfId="1" applyNumberFormat="1" applyFont="1" applyFill="1" applyAlignment="1">
      <alignment horizont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2" fontId="0" fillId="0" borderId="37" xfId="0" applyNumberFormat="1" applyBorder="1" applyAlignment="1">
      <alignment horizontal="center" vertical="center"/>
    </xf>
    <xf numFmtId="165" fontId="0" fillId="0" borderId="37" xfId="0" applyNumberFormat="1" applyBorder="1" applyAlignment="1">
      <alignment horizontal="center" vertical="center"/>
    </xf>
    <xf numFmtId="2" fontId="3" fillId="0" borderId="37" xfId="0" applyNumberFormat="1" applyFont="1" applyBorder="1" applyAlignment="1">
      <alignment horizontal="center" vertical="center"/>
    </xf>
    <xf numFmtId="2" fontId="6" fillId="0" borderId="37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10" fontId="0" fillId="0" borderId="35" xfId="1" applyNumberFormat="1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0" fontId="0" fillId="0" borderId="22" xfId="1" applyNumberFormat="1" applyFont="1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165" fontId="0" fillId="0" borderId="26" xfId="0" applyNumberFormat="1" applyBorder="1" applyAlignment="1">
      <alignment horizontal="center" vertical="center"/>
    </xf>
    <xf numFmtId="2" fontId="3" fillId="0" borderId="26" xfId="0" applyNumberFormat="1" applyFont="1" applyBorder="1" applyAlignment="1">
      <alignment horizontal="center" vertical="center"/>
    </xf>
    <xf numFmtId="2" fontId="6" fillId="0" borderId="26" xfId="0" applyNumberFormat="1" applyFont="1" applyBorder="1" applyAlignment="1">
      <alignment horizontal="center" vertical="center"/>
    </xf>
    <xf numFmtId="10" fontId="0" fillId="0" borderId="27" xfId="1" applyNumberFormat="1" applyFont="1" applyBorder="1" applyAlignment="1">
      <alignment horizontal="center"/>
    </xf>
    <xf numFmtId="10" fontId="0" fillId="3" borderId="0" xfId="1" applyNumberFormat="1" applyFont="1" applyFill="1"/>
    <xf numFmtId="0" fontId="1" fillId="6" borderId="30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20" xfId="0" applyBorder="1"/>
    <xf numFmtId="3" fontId="0" fillId="0" borderId="17" xfId="0" applyNumberForma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7" xfId="0" applyBorder="1"/>
    <xf numFmtId="0" fontId="1" fillId="5" borderId="37" xfId="0" applyFont="1" applyFill="1" applyBorder="1" applyAlignment="1">
      <alignment horizontal="center" vertical="center"/>
    </xf>
    <xf numFmtId="4" fontId="1" fillId="5" borderId="35" xfId="0" applyNumberFormat="1" applyFont="1" applyFill="1" applyBorder="1" applyAlignment="1">
      <alignment horizontal="center" vertical="center"/>
    </xf>
    <xf numFmtId="2" fontId="0" fillId="0" borderId="20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4" fontId="1" fillId="5" borderId="22" xfId="0" applyNumberFormat="1" applyFont="1" applyFill="1" applyBorder="1" applyAlignment="1">
      <alignment horizontal="center" vertical="center"/>
    </xf>
    <xf numFmtId="2" fontId="0" fillId="0" borderId="2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166" fontId="0" fillId="3" borderId="0" xfId="0" applyNumberFormat="1" applyFill="1"/>
    <xf numFmtId="9" fontId="0" fillId="7" borderId="1" xfId="1" applyFont="1" applyFill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0" fillId="0" borderId="29" xfId="0" applyBorder="1"/>
    <xf numFmtId="0" fontId="0" fillId="0" borderId="18" xfId="0" applyBorder="1"/>
    <xf numFmtId="3" fontId="1" fillId="5" borderId="1" xfId="0" applyNumberFormat="1" applyFont="1" applyFill="1" applyBorder="1" applyAlignment="1">
      <alignment horizontal="center"/>
    </xf>
    <xf numFmtId="0" fontId="1" fillId="5" borderId="22" xfId="0" applyFont="1" applyFill="1" applyBorder="1"/>
    <xf numFmtId="3" fontId="0" fillId="0" borderId="1" xfId="0" applyNumberFormat="1" applyBorder="1" applyAlignment="1">
      <alignment horizontal="center"/>
    </xf>
    <xf numFmtId="0" fontId="0" fillId="0" borderId="22" xfId="0" applyBorder="1"/>
    <xf numFmtId="0" fontId="0" fillId="0" borderId="27" xfId="0" applyBorder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1" fillId="5" borderId="26" xfId="0" applyFont="1" applyFill="1" applyBorder="1" applyAlignment="1">
      <alignment horizontal="center" vertical="center"/>
    </xf>
    <xf numFmtId="4" fontId="1" fillId="5" borderId="27" xfId="0" applyNumberFormat="1" applyFont="1" applyFill="1" applyBorder="1" applyAlignment="1">
      <alignment horizontal="center" vertical="center"/>
    </xf>
    <xf numFmtId="2" fontId="0" fillId="0" borderId="29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166" fontId="0" fillId="3" borderId="0" xfId="0" applyNumberFormat="1" applyFill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7" fillId="3" borderId="0" xfId="0" applyFont="1" applyFill="1" applyAlignment="1">
      <alignment wrapText="1"/>
    </xf>
    <xf numFmtId="0" fontId="9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0" fillId="0" borderId="26" xfId="0" applyBorder="1" applyAlignment="1">
      <alignment horizontal="left"/>
    </xf>
    <xf numFmtId="10" fontId="1" fillId="3" borderId="0" xfId="0" applyNumberFormat="1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5" fillId="3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0" fontId="5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0" fillId="9" borderId="48" xfId="0" applyFill="1" applyBorder="1"/>
    <xf numFmtId="0" fontId="0" fillId="9" borderId="49" xfId="0" applyFill="1" applyBorder="1"/>
    <xf numFmtId="0" fontId="5" fillId="3" borderId="0" xfId="0" applyFont="1" applyFill="1" applyAlignment="1">
      <alignment vertical="center"/>
    </xf>
    <xf numFmtId="0" fontId="1" fillId="0" borderId="1" xfId="0" applyFont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2" fillId="3" borderId="0" xfId="0" applyFont="1" applyFill="1" applyAlignment="1">
      <alignment horizontal="center" wrapText="1"/>
    </xf>
    <xf numFmtId="0" fontId="8" fillId="6" borderId="12" xfId="0" applyFont="1" applyFill="1" applyBorder="1" applyAlignment="1">
      <alignment horizontal="center" vertical="center" textRotation="90"/>
    </xf>
    <xf numFmtId="0" fontId="8" fillId="6" borderId="13" xfId="0" applyFont="1" applyFill="1" applyBorder="1" applyAlignment="1">
      <alignment horizontal="center" vertical="center" textRotation="90"/>
    </xf>
    <xf numFmtId="0" fontId="8" fillId="6" borderId="47" xfId="0" applyFont="1" applyFill="1" applyBorder="1" applyAlignment="1">
      <alignment horizontal="center" vertical="center" textRotation="90"/>
    </xf>
    <xf numFmtId="0" fontId="1" fillId="3" borderId="0" xfId="0" applyFont="1" applyFill="1" applyAlignment="1">
      <alignment horizont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2" fillId="3" borderId="0" xfId="0" applyFont="1" applyFill="1"/>
    <xf numFmtId="0" fontId="11" fillId="3" borderId="0" xfId="0" applyFont="1" applyFill="1"/>
    <xf numFmtId="0" fontId="3" fillId="5" borderId="50" xfId="0" applyFont="1" applyFill="1" applyBorder="1" applyAlignment="1">
      <alignment horizontal="left"/>
    </xf>
    <xf numFmtId="2" fontId="3" fillId="5" borderId="51" xfId="0" applyNumberFormat="1" applyFont="1" applyFill="1" applyBorder="1" applyAlignment="1">
      <alignment horizontal="center"/>
    </xf>
    <xf numFmtId="0" fontId="5" fillId="3" borderId="0" xfId="0" applyFont="1" applyFill="1" applyBorder="1" applyAlignment="1"/>
    <xf numFmtId="2" fontId="1" fillId="5" borderId="27" xfId="0" applyNumberFormat="1" applyFont="1" applyFill="1" applyBorder="1" applyAlignment="1">
      <alignment horizontal="center"/>
    </xf>
    <xf numFmtId="0" fontId="0" fillId="11" borderId="0" xfId="0" applyFill="1" applyBorder="1"/>
    <xf numFmtId="0" fontId="0" fillId="10" borderId="0" xfId="0" applyFill="1" applyBorder="1"/>
    <xf numFmtId="0" fontId="0" fillId="9" borderId="0" xfId="0" applyFill="1" applyBorder="1"/>
    <xf numFmtId="0" fontId="0" fillId="11" borderId="12" xfId="0" applyFill="1" applyBorder="1"/>
    <xf numFmtId="0" fontId="0" fillId="10" borderId="52" xfId="0" applyFill="1" applyBorder="1"/>
    <xf numFmtId="0" fontId="0" fillId="10" borderId="53" xfId="0" applyFill="1" applyBorder="1"/>
    <xf numFmtId="0" fontId="10" fillId="10" borderId="13" xfId="0" applyFont="1" applyFill="1" applyBorder="1" applyAlignment="1">
      <alignment vertical="center"/>
    </xf>
    <xf numFmtId="0" fontId="0" fillId="10" borderId="14" xfId="0" applyFill="1" applyBorder="1"/>
    <xf numFmtId="0" fontId="0" fillId="10" borderId="14" xfId="0" applyFill="1" applyBorder="1" applyAlignment="1">
      <alignment horizontal="left"/>
    </xf>
    <xf numFmtId="0" fontId="0" fillId="11" borderId="14" xfId="0" applyFill="1" applyBorder="1"/>
    <xf numFmtId="0" fontId="10" fillId="10" borderId="13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10" fillId="10" borderId="47" xfId="0" applyFont="1" applyFill="1" applyBorder="1" applyAlignment="1">
      <alignment vertical="center"/>
    </xf>
    <xf numFmtId="0" fontId="0" fillId="10" borderId="54" xfId="0" applyFill="1" applyBorder="1"/>
    <xf numFmtId="0" fontId="0" fillId="10" borderId="43" xfId="0" applyFill="1" applyBorder="1"/>
    <xf numFmtId="0" fontId="0" fillId="10" borderId="12" xfId="0" applyFill="1" applyBorder="1"/>
    <xf numFmtId="0" fontId="0" fillId="11" borderId="52" xfId="0" applyFill="1" applyBorder="1"/>
    <xf numFmtId="0" fontId="10" fillId="10" borderId="52" xfId="0" applyFont="1" applyFill="1" applyBorder="1" applyAlignment="1">
      <alignment horizontal="center" vertical="center"/>
    </xf>
    <xf numFmtId="0" fontId="10" fillId="10" borderId="53" xfId="0" applyFont="1" applyFill="1" applyBorder="1" applyAlignment="1">
      <alignment horizontal="center" vertical="center"/>
    </xf>
    <xf numFmtId="0" fontId="0" fillId="10" borderId="13" xfId="0" applyFill="1" applyBorder="1"/>
    <xf numFmtId="0" fontId="10" fillId="10" borderId="0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0" fontId="0" fillId="10" borderId="13" xfId="0" applyNumberFormat="1" applyFill="1" applyBorder="1" applyAlignment="1">
      <alignment horizontal="center"/>
    </xf>
    <xf numFmtId="10" fontId="0" fillId="10" borderId="0" xfId="0" applyNumberFormat="1" applyFill="1" applyBorder="1" applyAlignment="1">
      <alignment horizontal="center"/>
    </xf>
    <xf numFmtId="0" fontId="0" fillId="11" borderId="13" xfId="0" applyFill="1" applyBorder="1"/>
    <xf numFmtId="0" fontId="0" fillId="10" borderId="47" xfId="0" applyFill="1" applyBorder="1"/>
    <xf numFmtId="0" fontId="10" fillId="10" borderId="54" xfId="0" applyFont="1" applyFill="1" applyBorder="1" applyAlignment="1">
      <alignment horizontal="center" vertical="center"/>
    </xf>
    <xf numFmtId="0" fontId="10" fillId="10" borderId="43" xfId="0" applyFont="1" applyFill="1" applyBorder="1" applyAlignment="1">
      <alignment horizontal="center" vertical="center"/>
    </xf>
    <xf numFmtId="0" fontId="1" fillId="3" borderId="46" xfId="0" applyFont="1" applyFill="1" applyBorder="1"/>
    <xf numFmtId="0" fontId="0" fillId="3" borderId="0" xfId="0" applyFill="1" applyBorder="1"/>
    <xf numFmtId="0" fontId="0" fillId="4" borderId="53" xfId="0" applyFill="1" applyBorder="1"/>
    <xf numFmtId="0" fontId="0" fillId="4" borderId="47" xfId="0" applyFill="1" applyBorder="1"/>
    <xf numFmtId="0" fontId="0" fillId="4" borderId="43" xfId="0" applyFill="1" applyBorder="1"/>
    <xf numFmtId="0" fontId="0" fillId="4" borderId="13" xfId="0" applyFill="1" applyBorder="1"/>
    <xf numFmtId="0" fontId="0" fillId="4" borderId="14" xfId="0" applyFill="1" applyBorder="1"/>
    <xf numFmtId="0" fontId="1" fillId="4" borderId="12" xfId="0" applyFont="1" applyFill="1" applyBorder="1"/>
    <xf numFmtId="0" fontId="2" fillId="0" borderId="0" xfId="0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312965</xdr:colOff>
      <xdr:row>61</xdr:row>
      <xdr:rowOff>93889</xdr:rowOff>
    </xdr:from>
    <xdr:to>
      <xdr:col>0</xdr:col>
      <xdr:colOff>874940</xdr:colOff>
      <xdr:row>64</xdr:row>
      <xdr:rowOff>46264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63DABBC-7471-4E02-82D1-9228C5ACD69F}"/>
            </a:ext>
          </a:extLst>
        </xdr:cNvPr>
        <xdr:cNvSpPr/>
      </xdr:nvSpPr>
      <xdr:spPr>
        <a:xfrm>
          <a:off x="312965" y="11161939"/>
          <a:ext cx="561975" cy="52387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/>
            <a:t>1</a:t>
          </a:r>
        </a:p>
      </xdr:txBody>
    </xdr:sp>
    <xdr:clientData/>
  </xdr:twoCellAnchor>
  <xdr:twoCellAnchor>
    <xdr:from>
      <xdr:col>1</xdr:col>
      <xdr:colOff>283621</xdr:colOff>
      <xdr:row>58</xdr:row>
      <xdr:rowOff>138437</xdr:rowOff>
    </xdr:from>
    <xdr:to>
      <xdr:col>1</xdr:col>
      <xdr:colOff>845596</xdr:colOff>
      <xdr:row>61</xdr:row>
      <xdr:rowOff>95782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D51B694D-C613-4E44-BA0E-5638BC62475D}"/>
            </a:ext>
            <a:ext uri="{147F2762-F138-4A5C-976F-8EAC2B608ADB}">
              <a16:predDERef xmlns:a16="http://schemas.microsoft.com/office/drawing/2014/main" pred="{9ED78AB0-0F96-467E-845F-F80CBC2D3517}"/>
            </a:ext>
          </a:extLst>
        </xdr:cNvPr>
        <xdr:cNvSpPr/>
      </xdr:nvSpPr>
      <xdr:spPr>
        <a:xfrm>
          <a:off x="1217071" y="10634987"/>
          <a:ext cx="561975" cy="52884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2</a:t>
          </a:r>
        </a:p>
      </xdr:txBody>
    </xdr:sp>
    <xdr:clientData/>
  </xdr:twoCellAnchor>
  <xdr:twoCellAnchor>
    <xdr:from>
      <xdr:col>1</xdr:col>
      <xdr:colOff>344632</xdr:colOff>
      <xdr:row>55</xdr:row>
      <xdr:rowOff>20782</xdr:rowOff>
    </xdr:from>
    <xdr:to>
      <xdr:col>1</xdr:col>
      <xdr:colOff>906607</xdr:colOff>
      <xdr:row>57</xdr:row>
      <xdr:rowOff>158215</xdr:rowOff>
    </xdr:to>
    <xdr:sp macro="" textlink="">
      <xdr:nvSpPr>
        <xdr:cNvPr id="4" name="Oval 1">
          <a:extLst>
            <a:ext uri="{FF2B5EF4-FFF2-40B4-BE49-F238E27FC236}">
              <a16:creationId xmlns:a16="http://schemas.microsoft.com/office/drawing/2014/main" id="{9CE181F4-0358-4A36-8882-53ED6DEB0B76}"/>
            </a:ext>
            <a:ext uri="{147F2762-F138-4A5C-976F-8EAC2B608ADB}">
              <a16:predDERef xmlns:a16="http://schemas.microsoft.com/office/drawing/2014/main" pred="{B912E21A-8CEF-4395-87B5-400A9AD1F233}"/>
            </a:ext>
          </a:extLst>
        </xdr:cNvPr>
        <xdr:cNvSpPr/>
      </xdr:nvSpPr>
      <xdr:spPr>
        <a:xfrm>
          <a:off x="1278082" y="9945832"/>
          <a:ext cx="561975" cy="518433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9</a:t>
          </a:r>
        </a:p>
      </xdr:txBody>
    </xdr:sp>
    <xdr:clientData/>
  </xdr:twoCellAnchor>
  <xdr:twoCellAnchor>
    <xdr:from>
      <xdr:col>3</xdr:col>
      <xdr:colOff>298239</xdr:colOff>
      <xdr:row>65</xdr:row>
      <xdr:rowOff>78851</xdr:rowOff>
    </xdr:from>
    <xdr:to>
      <xdr:col>3</xdr:col>
      <xdr:colOff>864173</xdr:colOff>
      <xdr:row>68</xdr:row>
      <xdr:rowOff>41617</xdr:rowOff>
    </xdr:to>
    <xdr:sp macro="" textlink="">
      <xdr:nvSpPr>
        <xdr:cNvPr id="5" name="Oval 1">
          <a:extLst>
            <a:ext uri="{FF2B5EF4-FFF2-40B4-BE49-F238E27FC236}">
              <a16:creationId xmlns:a16="http://schemas.microsoft.com/office/drawing/2014/main" id="{2EA8AA05-5B23-4C53-B67E-5EA01B6E81D7}"/>
            </a:ext>
            <a:ext uri="{147F2762-F138-4A5C-976F-8EAC2B608ADB}">
              <a16:predDERef xmlns:a16="http://schemas.microsoft.com/office/drawing/2014/main" pred="{B824C682-A141-47A7-A118-B6FB94F5C576}"/>
            </a:ext>
          </a:extLst>
        </xdr:cNvPr>
        <xdr:cNvSpPr/>
      </xdr:nvSpPr>
      <xdr:spPr>
        <a:xfrm>
          <a:off x="4022514" y="11908901"/>
          <a:ext cx="565934" cy="53426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10</a:t>
          </a:r>
        </a:p>
      </xdr:txBody>
    </xdr:sp>
    <xdr:clientData/>
  </xdr:twoCellAnchor>
  <xdr:twoCellAnchor>
    <xdr:from>
      <xdr:col>1</xdr:col>
      <xdr:colOff>169594</xdr:colOff>
      <xdr:row>66</xdr:row>
      <xdr:rowOff>83250</xdr:rowOff>
    </xdr:from>
    <xdr:to>
      <xdr:col>1</xdr:col>
      <xdr:colOff>731569</xdr:colOff>
      <xdr:row>69</xdr:row>
      <xdr:rowOff>35625</xdr:rowOff>
    </xdr:to>
    <xdr:sp macro="" textlink="">
      <xdr:nvSpPr>
        <xdr:cNvPr id="6" name="Oval 1">
          <a:extLst>
            <a:ext uri="{FF2B5EF4-FFF2-40B4-BE49-F238E27FC236}">
              <a16:creationId xmlns:a16="http://schemas.microsoft.com/office/drawing/2014/main" id="{30AF4001-D366-458F-B9A3-8947B3AE8B93}"/>
            </a:ext>
            <a:ext uri="{147F2762-F138-4A5C-976F-8EAC2B608ADB}">
              <a16:predDERef xmlns:a16="http://schemas.microsoft.com/office/drawing/2014/main" pred="{A3C93155-8E8B-4088-8DFD-369F278B913C}"/>
            </a:ext>
          </a:extLst>
        </xdr:cNvPr>
        <xdr:cNvSpPr/>
      </xdr:nvSpPr>
      <xdr:spPr>
        <a:xfrm>
          <a:off x="1103044" y="12103800"/>
          <a:ext cx="561975" cy="52387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8</a:t>
          </a:r>
        </a:p>
      </xdr:txBody>
    </xdr:sp>
    <xdr:clientData/>
  </xdr:twoCellAnchor>
  <xdr:twoCellAnchor>
    <xdr:from>
      <xdr:col>0</xdr:col>
      <xdr:colOff>243213</xdr:colOff>
      <xdr:row>52</xdr:row>
      <xdr:rowOff>78806</xdr:rowOff>
    </xdr:from>
    <xdr:to>
      <xdr:col>0</xdr:col>
      <xdr:colOff>805188</xdr:colOff>
      <xdr:row>55</xdr:row>
      <xdr:rowOff>31180</xdr:rowOff>
    </xdr:to>
    <xdr:sp macro="" textlink="">
      <xdr:nvSpPr>
        <xdr:cNvPr id="7" name="Oval 1">
          <a:extLst>
            <a:ext uri="{FF2B5EF4-FFF2-40B4-BE49-F238E27FC236}">
              <a16:creationId xmlns:a16="http://schemas.microsoft.com/office/drawing/2014/main" id="{077C669D-2639-4EBC-BCA9-130930DA3F84}"/>
            </a:ext>
            <a:ext uri="{147F2762-F138-4A5C-976F-8EAC2B608ADB}">
              <a16:predDERef xmlns:a16="http://schemas.microsoft.com/office/drawing/2014/main" pred="{34FF1235-3931-4A3D-9B8C-5FD93ECFBFD8}"/>
            </a:ext>
          </a:extLst>
        </xdr:cNvPr>
        <xdr:cNvSpPr/>
      </xdr:nvSpPr>
      <xdr:spPr>
        <a:xfrm>
          <a:off x="243213" y="9432356"/>
          <a:ext cx="561975" cy="523874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3</a:t>
          </a:r>
        </a:p>
      </xdr:txBody>
    </xdr:sp>
    <xdr:clientData/>
  </xdr:twoCellAnchor>
  <xdr:twoCellAnchor>
    <xdr:from>
      <xdr:col>17</xdr:col>
      <xdr:colOff>90055</xdr:colOff>
      <xdr:row>51</xdr:row>
      <xdr:rowOff>78797</xdr:rowOff>
    </xdr:from>
    <xdr:to>
      <xdr:col>19</xdr:col>
      <xdr:colOff>174048</xdr:colOff>
      <xdr:row>54</xdr:row>
      <xdr:rowOff>31173</xdr:rowOff>
    </xdr:to>
    <xdr:sp macro="" textlink="">
      <xdr:nvSpPr>
        <xdr:cNvPr id="8" name="Oval 1">
          <a:extLst>
            <a:ext uri="{FF2B5EF4-FFF2-40B4-BE49-F238E27FC236}">
              <a16:creationId xmlns:a16="http://schemas.microsoft.com/office/drawing/2014/main" id="{1DEBB60F-0B61-4FAD-A6D6-A9FF7E48A44E}"/>
            </a:ext>
            <a:ext uri="{147F2762-F138-4A5C-976F-8EAC2B608ADB}">
              <a16:predDERef xmlns:a16="http://schemas.microsoft.com/office/drawing/2014/main" pred="{37DF6304-6302-4037-8627-DBB314C2684A}"/>
            </a:ext>
          </a:extLst>
        </xdr:cNvPr>
        <xdr:cNvSpPr/>
      </xdr:nvSpPr>
      <xdr:spPr>
        <a:xfrm>
          <a:off x="7795780" y="9241847"/>
          <a:ext cx="541193" cy="523876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13</a:t>
          </a:r>
        </a:p>
      </xdr:txBody>
    </xdr:sp>
    <xdr:clientData/>
  </xdr:twoCellAnchor>
  <xdr:twoCellAnchor>
    <xdr:from>
      <xdr:col>25</xdr:col>
      <xdr:colOff>32904</xdr:colOff>
      <xdr:row>54</xdr:row>
      <xdr:rowOff>95250</xdr:rowOff>
    </xdr:from>
    <xdr:to>
      <xdr:col>27</xdr:col>
      <xdr:colOff>123825</xdr:colOff>
      <xdr:row>57</xdr:row>
      <xdr:rowOff>47626</xdr:rowOff>
    </xdr:to>
    <xdr:sp macro="" textlink="">
      <xdr:nvSpPr>
        <xdr:cNvPr id="9" name="Oval 1">
          <a:extLst>
            <a:ext uri="{FF2B5EF4-FFF2-40B4-BE49-F238E27FC236}">
              <a16:creationId xmlns:a16="http://schemas.microsoft.com/office/drawing/2014/main" id="{5D1B9353-C146-4105-932A-23B954282DF8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9567429" y="9829800"/>
          <a:ext cx="548121" cy="523876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17</a:t>
          </a:r>
        </a:p>
      </xdr:txBody>
    </xdr:sp>
    <xdr:clientData/>
  </xdr:twoCellAnchor>
  <xdr:twoCellAnchor>
    <xdr:from>
      <xdr:col>24</xdr:col>
      <xdr:colOff>210415</xdr:colOff>
      <xdr:row>50</xdr:row>
      <xdr:rowOff>183572</xdr:rowOff>
    </xdr:from>
    <xdr:to>
      <xdr:col>27</xdr:col>
      <xdr:colOff>72736</xdr:colOff>
      <xdr:row>53</xdr:row>
      <xdr:rowOff>135947</xdr:rowOff>
    </xdr:to>
    <xdr:sp macro="" textlink="">
      <xdr:nvSpPr>
        <xdr:cNvPr id="10" name="Oval 1">
          <a:extLst>
            <a:ext uri="{FF2B5EF4-FFF2-40B4-BE49-F238E27FC236}">
              <a16:creationId xmlns:a16="http://schemas.microsoft.com/office/drawing/2014/main" id="{A0290303-F534-4C83-BCF9-D1980EF051CF}"/>
            </a:ext>
            <a:ext uri="{147F2762-F138-4A5C-976F-8EAC2B608ADB}">
              <a16:predDERef xmlns:a16="http://schemas.microsoft.com/office/drawing/2014/main" pred="{70594DAD-07E3-4FF0-9F72-10007E2BF205}"/>
            </a:ext>
          </a:extLst>
        </xdr:cNvPr>
        <xdr:cNvSpPr/>
      </xdr:nvSpPr>
      <xdr:spPr>
        <a:xfrm>
          <a:off x="9516340" y="9156122"/>
          <a:ext cx="548121" cy="52387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16</a:t>
          </a:r>
        </a:p>
      </xdr:txBody>
    </xdr:sp>
    <xdr:clientData/>
  </xdr:twoCellAnchor>
  <xdr:twoCellAnchor>
    <xdr:from>
      <xdr:col>24</xdr:col>
      <xdr:colOff>174913</xdr:colOff>
      <xdr:row>47</xdr:row>
      <xdr:rowOff>47625</xdr:rowOff>
    </xdr:from>
    <xdr:to>
      <xdr:col>27</xdr:col>
      <xdr:colOff>37234</xdr:colOff>
      <xdr:row>50</xdr:row>
      <xdr:rowOff>1</xdr:rowOff>
    </xdr:to>
    <xdr:sp macro="" textlink="">
      <xdr:nvSpPr>
        <xdr:cNvPr id="11" name="Oval 1">
          <a:extLst>
            <a:ext uri="{FF2B5EF4-FFF2-40B4-BE49-F238E27FC236}">
              <a16:creationId xmlns:a16="http://schemas.microsoft.com/office/drawing/2014/main" id="{9DF6949B-C875-4371-8B33-6C99116A4B84}"/>
            </a:ext>
            <a:ext uri="{147F2762-F138-4A5C-976F-8EAC2B608ADB}">
              <a16:predDERef xmlns:a16="http://schemas.microsoft.com/office/drawing/2014/main" pred="{91549655-49A9-4337-9619-E9466CCA6881}"/>
            </a:ext>
          </a:extLst>
        </xdr:cNvPr>
        <xdr:cNvSpPr/>
      </xdr:nvSpPr>
      <xdr:spPr>
        <a:xfrm>
          <a:off x="9480838" y="8439150"/>
          <a:ext cx="548121" cy="533401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15</a:t>
          </a:r>
        </a:p>
      </xdr:txBody>
    </xdr:sp>
    <xdr:clientData/>
  </xdr:twoCellAnchor>
  <xdr:twoCellAnchor>
    <xdr:from>
      <xdr:col>21</xdr:col>
      <xdr:colOff>7794</xdr:colOff>
      <xdr:row>51</xdr:row>
      <xdr:rowOff>71005</xdr:rowOff>
    </xdr:from>
    <xdr:to>
      <xdr:col>23</xdr:col>
      <xdr:colOff>98714</xdr:colOff>
      <xdr:row>54</xdr:row>
      <xdr:rowOff>33772</xdr:rowOff>
    </xdr:to>
    <xdr:sp macro="" textlink="">
      <xdr:nvSpPr>
        <xdr:cNvPr id="12" name="Oval 1">
          <a:extLst>
            <a:ext uri="{FF2B5EF4-FFF2-40B4-BE49-F238E27FC236}">
              <a16:creationId xmlns:a16="http://schemas.microsoft.com/office/drawing/2014/main" id="{0DB3C485-0B42-49F4-99B1-899D56D7F71E}"/>
            </a:ext>
            <a:ext uri="{147F2762-F138-4A5C-976F-8EAC2B608ADB}">
              <a16:predDERef xmlns:a16="http://schemas.microsoft.com/office/drawing/2014/main" pred="{7C3740E9-2255-4D94-BB76-A0E35C658482}"/>
            </a:ext>
          </a:extLst>
        </xdr:cNvPr>
        <xdr:cNvSpPr/>
      </xdr:nvSpPr>
      <xdr:spPr>
        <a:xfrm>
          <a:off x="8627919" y="9234055"/>
          <a:ext cx="548120" cy="534267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14</a:t>
          </a:r>
        </a:p>
      </xdr:txBody>
    </xdr:sp>
    <xdr:clientData/>
  </xdr:twoCellAnchor>
  <xdr:twoCellAnchor>
    <xdr:from>
      <xdr:col>13</xdr:col>
      <xdr:colOff>103043</xdr:colOff>
      <xdr:row>51</xdr:row>
      <xdr:rowOff>80528</xdr:rowOff>
    </xdr:from>
    <xdr:to>
      <xdr:col>16</xdr:col>
      <xdr:colOff>55418</xdr:colOff>
      <xdr:row>54</xdr:row>
      <xdr:rowOff>32904</xdr:rowOff>
    </xdr:to>
    <xdr:sp macro="" textlink="">
      <xdr:nvSpPr>
        <xdr:cNvPr id="13" name="Oval 1">
          <a:extLst>
            <a:ext uri="{FF2B5EF4-FFF2-40B4-BE49-F238E27FC236}">
              <a16:creationId xmlns:a16="http://schemas.microsoft.com/office/drawing/2014/main" id="{024345A6-7331-4A5C-BD88-B1CA08BCEDF7}"/>
            </a:ext>
            <a:ext uri="{147F2762-F138-4A5C-976F-8EAC2B608ADB}">
              <a16:predDERef xmlns:a16="http://schemas.microsoft.com/office/drawing/2014/main" pred="{829A7BDA-B065-45F7-842B-50A90CF4157C}"/>
            </a:ext>
          </a:extLst>
        </xdr:cNvPr>
        <xdr:cNvSpPr/>
      </xdr:nvSpPr>
      <xdr:spPr>
        <a:xfrm>
          <a:off x="6989618" y="9243578"/>
          <a:ext cx="542925" cy="52387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12</a:t>
          </a:r>
        </a:p>
      </xdr:txBody>
    </xdr:sp>
    <xdr:clientData/>
  </xdr:twoCellAnchor>
  <xdr:twoCellAnchor>
    <xdr:from>
      <xdr:col>1</xdr:col>
      <xdr:colOff>370250</xdr:colOff>
      <xdr:row>50</xdr:row>
      <xdr:rowOff>15065</xdr:rowOff>
    </xdr:from>
    <xdr:to>
      <xdr:col>1</xdr:col>
      <xdr:colOff>932225</xdr:colOff>
      <xdr:row>52</xdr:row>
      <xdr:rowOff>152497</xdr:rowOff>
    </xdr:to>
    <xdr:sp macro="" textlink="">
      <xdr:nvSpPr>
        <xdr:cNvPr id="14" name="Oval 1">
          <a:extLst>
            <a:ext uri="{FF2B5EF4-FFF2-40B4-BE49-F238E27FC236}">
              <a16:creationId xmlns:a16="http://schemas.microsoft.com/office/drawing/2014/main" id="{1AFD933B-7328-482B-8C38-6B5E2370C10B}"/>
            </a:ext>
            <a:ext uri="{147F2762-F138-4A5C-976F-8EAC2B608ADB}">
              <a16:predDERef xmlns:a16="http://schemas.microsoft.com/office/drawing/2014/main" pred="{A2194D5B-4347-4314-AE63-A5390DEA0022}"/>
            </a:ext>
          </a:extLst>
        </xdr:cNvPr>
        <xdr:cNvSpPr/>
      </xdr:nvSpPr>
      <xdr:spPr>
        <a:xfrm>
          <a:off x="1303700" y="8987615"/>
          <a:ext cx="561975" cy="518432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4</a:t>
          </a:r>
        </a:p>
      </xdr:txBody>
    </xdr:sp>
    <xdr:clientData/>
  </xdr:twoCellAnchor>
  <xdr:twoCellAnchor>
    <xdr:from>
      <xdr:col>1</xdr:col>
      <xdr:colOff>1321436</xdr:colOff>
      <xdr:row>52</xdr:row>
      <xdr:rowOff>1044</xdr:rowOff>
    </xdr:from>
    <xdr:to>
      <xdr:col>2</xdr:col>
      <xdr:colOff>91226</xdr:colOff>
      <xdr:row>54</xdr:row>
      <xdr:rowOff>131219</xdr:rowOff>
    </xdr:to>
    <xdr:sp macro="" textlink="">
      <xdr:nvSpPr>
        <xdr:cNvPr id="15" name="Oval 1">
          <a:extLst>
            <a:ext uri="{FF2B5EF4-FFF2-40B4-BE49-F238E27FC236}">
              <a16:creationId xmlns:a16="http://schemas.microsoft.com/office/drawing/2014/main" id="{DF8A77E7-CA87-432B-B0F7-42282B7FBA9A}"/>
            </a:ext>
            <a:ext uri="{147F2762-F138-4A5C-976F-8EAC2B608ADB}">
              <a16:predDERef xmlns:a16="http://schemas.microsoft.com/office/drawing/2014/main" pred="{562CF401-D7C5-4040-BE4C-FD7003399044}"/>
            </a:ext>
          </a:extLst>
        </xdr:cNvPr>
        <xdr:cNvSpPr/>
      </xdr:nvSpPr>
      <xdr:spPr>
        <a:xfrm>
          <a:off x="2254886" y="9354594"/>
          <a:ext cx="512865" cy="51117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5</a:t>
          </a:r>
        </a:p>
      </xdr:txBody>
    </xdr:sp>
    <xdr:clientData/>
  </xdr:twoCellAnchor>
  <xdr:twoCellAnchor>
    <xdr:from>
      <xdr:col>2</xdr:col>
      <xdr:colOff>445209</xdr:colOff>
      <xdr:row>51</xdr:row>
      <xdr:rowOff>184165</xdr:rowOff>
    </xdr:from>
    <xdr:to>
      <xdr:col>2</xdr:col>
      <xdr:colOff>971550</xdr:colOff>
      <xdr:row>54</xdr:row>
      <xdr:rowOff>141510</xdr:rowOff>
    </xdr:to>
    <xdr:sp macro="" textlink="">
      <xdr:nvSpPr>
        <xdr:cNvPr id="16" name="Oval 1">
          <a:extLst>
            <a:ext uri="{FF2B5EF4-FFF2-40B4-BE49-F238E27FC236}">
              <a16:creationId xmlns:a16="http://schemas.microsoft.com/office/drawing/2014/main" id="{371ED673-1396-4793-8111-294AADDCAC54}"/>
            </a:ext>
            <a:ext uri="{147F2762-F138-4A5C-976F-8EAC2B608ADB}">
              <a16:predDERef xmlns:a16="http://schemas.microsoft.com/office/drawing/2014/main" pred="{1CFCFFD8-1937-4BCB-B6AE-F73C9CB32EC0}"/>
            </a:ext>
          </a:extLst>
        </xdr:cNvPr>
        <xdr:cNvSpPr/>
      </xdr:nvSpPr>
      <xdr:spPr>
        <a:xfrm>
          <a:off x="3121734" y="9347215"/>
          <a:ext cx="526341" cy="52884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6</a:t>
          </a:r>
        </a:p>
      </xdr:txBody>
    </xdr:sp>
    <xdr:clientData/>
  </xdr:twoCellAnchor>
  <xdr:twoCellAnchor>
    <xdr:from>
      <xdr:col>3</xdr:col>
      <xdr:colOff>289173</xdr:colOff>
      <xdr:row>51</xdr:row>
      <xdr:rowOff>186122</xdr:rowOff>
    </xdr:from>
    <xdr:to>
      <xdr:col>3</xdr:col>
      <xdr:colOff>871139</xdr:colOff>
      <xdr:row>54</xdr:row>
      <xdr:rowOff>138497</xdr:rowOff>
    </xdr:to>
    <xdr:sp macro="" textlink="">
      <xdr:nvSpPr>
        <xdr:cNvPr id="17" name="Oval 1">
          <a:extLst>
            <a:ext uri="{FF2B5EF4-FFF2-40B4-BE49-F238E27FC236}">
              <a16:creationId xmlns:a16="http://schemas.microsoft.com/office/drawing/2014/main" id="{14C02B88-BD61-4B82-ACEC-36D5F2E825CC}"/>
            </a:ext>
            <a:ext uri="{147F2762-F138-4A5C-976F-8EAC2B608ADB}">
              <a16:predDERef xmlns:a16="http://schemas.microsoft.com/office/drawing/2014/main" pred="{4124A709-C635-423C-8203-BCAA80750A98}"/>
            </a:ext>
          </a:extLst>
        </xdr:cNvPr>
        <xdr:cNvSpPr/>
      </xdr:nvSpPr>
      <xdr:spPr>
        <a:xfrm>
          <a:off x="4013448" y="9349172"/>
          <a:ext cx="581966" cy="523875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7</a:t>
          </a:r>
        </a:p>
      </xdr:txBody>
    </xdr:sp>
    <xdr:clientData/>
  </xdr:twoCellAnchor>
  <xdr:twoCellAnchor>
    <xdr:from>
      <xdr:col>6</xdr:col>
      <xdr:colOff>56021</xdr:colOff>
      <xdr:row>51</xdr:row>
      <xdr:rowOff>76914</xdr:rowOff>
    </xdr:from>
    <xdr:to>
      <xdr:col>10</xdr:col>
      <xdr:colOff>102176</xdr:colOff>
      <xdr:row>54</xdr:row>
      <xdr:rowOff>29289</xdr:rowOff>
    </xdr:to>
    <xdr:sp macro="" textlink="">
      <xdr:nvSpPr>
        <xdr:cNvPr id="18" name="Oval 1">
          <a:extLst>
            <a:ext uri="{FF2B5EF4-FFF2-40B4-BE49-F238E27FC236}">
              <a16:creationId xmlns:a16="http://schemas.microsoft.com/office/drawing/2014/main" id="{E5DDA795-712C-4382-B5DE-737FDD43E88E}"/>
            </a:ext>
            <a:ext uri="{147F2762-F138-4A5C-976F-8EAC2B608ADB}">
              <a16:predDERef xmlns:a16="http://schemas.microsoft.com/office/drawing/2014/main" pred="{2C3E0C2E-7CFB-48F9-A6FE-9E83FC431260}"/>
            </a:ext>
          </a:extLst>
        </xdr:cNvPr>
        <xdr:cNvSpPr/>
      </xdr:nvSpPr>
      <xdr:spPr>
        <a:xfrm>
          <a:off x="6009146" y="9239964"/>
          <a:ext cx="579555" cy="52387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11</a:t>
          </a:r>
        </a:p>
      </xdr:txBody>
    </xdr:sp>
    <xdr:clientData/>
  </xdr:twoCellAnchor>
  <xdr:twoCellAnchor>
    <xdr:from>
      <xdr:col>1</xdr:col>
      <xdr:colOff>824308</xdr:colOff>
      <xdr:row>57</xdr:row>
      <xdr:rowOff>82292</xdr:rowOff>
    </xdr:from>
    <xdr:to>
      <xdr:col>3</xdr:col>
      <xdr:colOff>381118</xdr:colOff>
      <xdr:row>65</xdr:row>
      <xdr:rowOff>157092</xdr:rowOff>
    </xdr:to>
    <xdr:cxnSp macro="">
      <xdr:nvCxnSpPr>
        <xdr:cNvPr id="19" name="Connettore 2 18">
          <a:extLst>
            <a:ext uri="{FF2B5EF4-FFF2-40B4-BE49-F238E27FC236}">
              <a16:creationId xmlns:a16="http://schemas.microsoft.com/office/drawing/2014/main" id="{0F45D3E8-0FDC-4015-9043-1FE4AD3B15B8}"/>
            </a:ext>
          </a:extLst>
        </xdr:cNvPr>
        <xdr:cNvCxnSpPr>
          <a:stCxn id="4" idx="5"/>
          <a:endCxn id="5" idx="1"/>
        </xdr:cNvCxnSpPr>
      </xdr:nvCxnSpPr>
      <xdr:spPr>
        <a:xfrm>
          <a:off x="1757758" y="10388342"/>
          <a:ext cx="2347635" cy="1598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731569</xdr:colOff>
      <xdr:row>67</xdr:row>
      <xdr:rowOff>153876</xdr:rowOff>
    </xdr:from>
    <xdr:to>
      <xdr:col>3</xdr:col>
      <xdr:colOff>381118</xdr:colOff>
      <xdr:row>67</xdr:row>
      <xdr:rowOff>154688</xdr:rowOff>
    </xdr:to>
    <xdr:cxnSp macro="">
      <xdr:nvCxnSpPr>
        <xdr:cNvPr id="20" name="Connettore 2 19">
          <a:extLst>
            <a:ext uri="{FF2B5EF4-FFF2-40B4-BE49-F238E27FC236}">
              <a16:creationId xmlns:a16="http://schemas.microsoft.com/office/drawing/2014/main" id="{A0597929-1B1C-4E54-9FE7-327338620692}"/>
            </a:ext>
          </a:extLst>
        </xdr:cNvPr>
        <xdr:cNvCxnSpPr>
          <a:stCxn id="6" idx="6"/>
          <a:endCxn id="5" idx="3"/>
        </xdr:cNvCxnSpPr>
      </xdr:nvCxnSpPr>
      <xdr:spPr>
        <a:xfrm flipV="1">
          <a:off x="1665019" y="12364926"/>
          <a:ext cx="2440374" cy="8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580156</xdr:colOff>
      <xdr:row>54</xdr:row>
      <xdr:rowOff>138497</xdr:rowOff>
    </xdr:from>
    <xdr:to>
      <xdr:col>3</xdr:col>
      <xdr:colOff>581206</xdr:colOff>
      <xdr:row>65</xdr:row>
      <xdr:rowOff>78851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226C6099-D8B7-4907-9E86-55B457F4AC1A}"/>
            </a:ext>
          </a:extLst>
        </xdr:cNvPr>
        <xdr:cNvCxnSpPr>
          <a:stCxn id="17" idx="4"/>
          <a:endCxn id="5" idx="0"/>
        </xdr:cNvCxnSpPr>
      </xdr:nvCxnSpPr>
      <xdr:spPr>
        <a:xfrm>
          <a:off x="4304431" y="9873047"/>
          <a:ext cx="1050" cy="20358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60614</xdr:colOff>
      <xdr:row>58</xdr:row>
      <xdr:rowOff>19916</xdr:rowOff>
    </xdr:from>
    <xdr:to>
      <xdr:col>27</xdr:col>
      <xdr:colOff>151535</xdr:colOff>
      <xdr:row>60</xdr:row>
      <xdr:rowOff>162792</xdr:rowOff>
    </xdr:to>
    <xdr:sp macro="" textlink="">
      <xdr:nvSpPr>
        <xdr:cNvPr id="22" name="Oval 1">
          <a:extLst>
            <a:ext uri="{FF2B5EF4-FFF2-40B4-BE49-F238E27FC236}">
              <a16:creationId xmlns:a16="http://schemas.microsoft.com/office/drawing/2014/main" id="{DA129890-B4B8-451E-9F82-4C4AA48B05A4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9595139" y="10516466"/>
          <a:ext cx="548121" cy="523876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18</a:t>
          </a:r>
        </a:p>
      </xdr:txBody>
    </xdr:sp>
    <xdr:clientData/>
  </xdr:twoCellAnchor>
  <xdr:twoCellAnchor>
    <xdr:from>
      <xdr:col>29</xdr:col>
      <xdr:colOff>27708</xdr:colOff>
      <xdr:row>51</xdr:row>
      <xdr:rowOff>99580</xdr:rowOff>
    </xdr:from>
    <xdr:to>
      <xdr:col>31</xdr:col>
      <xdr:colOff>137678</xdr:colOff>
      <xdr:row>54</xdr:row>
      <xdr:rowOff>51956</xdr:rowOff>
    </xdr:to>
    <xdr:sp macro="" textlink="">
      <xdr:nvSpPr>
        <xdr:cNvPr id="23" name="Oval 1">
          <a:extLst>
            <a:ext uri="{FF2B5EF4-FFF2-40B4-BE49-F238E27FC236}">
              <a16:creationId xmlns:a16="http://schemas.microsoft.com/office/drawing/2014/main" id="{25E4A9BA-442F-446A-A424-6D8518663768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10476633" y="9262630"/>
          <a:ext cx="548120" cy="52387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19</a:t>
          </a:r>
        </a:p>
      </xdr:txBody>
    </xdr:sp>
    <xdr:clientData/>
  </xdr:twoCellAnchor>
  <xdr:twoCellAnchor>
    <xdr:from>
      <xdr:col>6</xdr:col>
      <xdr:colOff>71870</xdr:colOff>
      <xdr:row>56</xdr:row>
      <xdr:rowOff>48492</xdr:rowOff>
    </xdr:from>
    <xdr:to>
      <xdr:col>10</xdr:col>
      <xdr:colOff>79663</xdr:colOff>
      <xdr:row>59</xdr:row>
      <xdr:rowOff>867</xdr:rowOff>
    </xdr:to>
    <xdr:sp macro="" textlink="">
      <xdr:nvSpPr>
        <xdr:cNvPr id="24" name="Oval 1">
          <a:extLst>
            <a:ext uri="{FF2B5EF4-FFF2-40B4-BE49-F238E27FC236}">
              <a16:creationId xmlns:a16="http://schemas.microsoft.com/office/drawing/2014/main" id="{510902D0-02D7-47BB-8CB3-946BF6FADEE5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6024995" y="10164042"/>
          <a:ext cx="541193" cy="52387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20</a:t>
          </a:r>
        </a:p>
      </xdr:txBody>
    </xdr:sp>
    <xdr:clientData/>
  </xdr:twoCellAnchor>
  <xdr:twoCellAnchor>
    <xdr:from>
      <xdr:col>14</xdr:col>
      <xdr:colOff>66676</xdr:colOff>
      <xdr:row>59</xdr:row>
      <xdr:rowOff>85725</xdr:rowOff>
    </xdr:from>
    <xdr:to>
      <xdr:col>16</xdr:col>
      <xdr:colOff>148071</xdr:colOff>
      <xdr:row>62</xdr:row>
      <xdr:rowOff>38101</xdr:rowOff>
    </xdr:to>
    <xdr:sp macro="" textlink="">
      <xdr:nvSpPr>
        <xdr:cNvPr id="25" name="Oval 1">
          <a:extLst>
            <a:ext uri="{FF2B5EF4-FFF2-40B4-BE49-F238E27FC236}">
              <a16:creationId xmlns:a16="http://schemas.microsoft.com/office/drawing/2014/main" id="{5146E0F1-2FF2-4CAE-9336-2EA489B76F3C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7086601" y="10772775"/>
          <a:ext cx="538595" cy="523876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23</a:t>
          </a:r>
        </a:p>
      </xdr:txBody>
    </xdr:sp>
    <xdr:clientData/>
  </xdr:twoCellAnchor>
  <xdr:twoCellAnchor>
    <xdr:from>
      <xdr:col>6</xdr:col>
      <xdr:colOff>87456</xdr:colOff>
      <xdr:row>59</xdr:row>
      <xdr:rowOff>86590</xdr:rowOff>
    </xdr:from>
    <xdr:to>
      <xdr:col>10</xdr:col>
      <xdr:colOff>95249</xdr:colOff>
      <xdr:row>62</xdr:row>
      <xdr:rowOff>28575</xdr:rowOff>
    </xdr:to>
    <xdr:sp macro="" textlink="">
      <xdr:nvSpPr>
        <xdr:cNvPr id="26" name="Oval 1">
          <a:extLst>
            <a:ext uri="{FF2B5EF4-FFF2-40B4-BE49-F238E27FC236}">
              <a16:creationId xmlns:a16="http://schemas.microsoft.com/office/drawing/2014/main" id="{2AA10960-CFC4-40D4-93D2-C98BDB4ED657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6040581" y="10773640"/>
          <a:ext cx="541193" cy="51348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22</a:t>
          </a:r>
        </a:p>
      </xdr:txBody>
    </xdr:sp>
    <xdr:clientData/>
  </xdr:twoCellAnchor>
  <xdr:twoCellAnchor>
    <xdr:from>
      <xdr:col>3</xdr:col>
      <xdr:colOff>864173</xdr:colOff>
      <xdr:row>60</xdr:row>
      <xdr:rowOff>152833</xdr:rowOff>
    </xdr:from>
    <xdr:to>
      <xdr:col>6</xdr:col>
      <xdr:colOff>87456</xdr:colOff>
      <xdr:row>66</xdr:row>
      <xdr:rowOff>155484</xdr:rowOff>
    </xdr:to>
    <xdr:cxnSp macro="">
      <xdr:nvCxnSpPr>
        <xdr:cNvPr id="27" name="Connettore 2 26">
          <a:extLst>
            <a:ext uri="{FF2B5EF4-FFF2-40B4-BE49-F238E27FC236}">
              <a16:creationId xmlns:a16="http://schemas.microsoft.com/office/drawing/2014/main" id="{715C9B0A-7664-41F2-B3EF-840B0E20E092}"/>
            </a:ext>
          </a:extLst>
        </xdr:cNvPr>
        <xdr:cNvCxnSpPr>
          <a:stCxn id="5" idx="6"/>
          <a:endCxn id="26" idx="2"/>
        </xdr:cNvCxnSpPr>
      </xdr:nvCxnSpPr>
      <xdr:spPr>
        <a:xfrm flipV="1">
          <a:off x="4588448" y="11030383"/>
          <a:ext cx="1452133" cy="11456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95249</xdr:colOff>
      <xdr:row>60</xdr:row>
      <xdr:rowOff>152833</xdr:rowOff>
    </xdr:from>
    <xdr:to>
      <xdr:col>14</xdr:col>
      <xdr:colOff>66676</xdr:colOff>
      <xdr:row>60</xdr:row>
      <xdr:rowOff>157163</xdr:rowOff>
    </xdr:to>
    <xdr:cxnSp macro="">
      <xdr:nvCxnSpPr>
        <xdr:cNvPr id="28" name="Connettore 2 27">
          <a:extLst>
            <a:ext uri="{FF2B5EF4-FFF2-40B4-BE49-F238E27FC236}">
              <a16:creationId xmlns:a16="http://schemas.microsoft.com/office/drawing/2014/main" id="{65328ED9-6F5B-44C7-A2A0-871149C781DA}"/>
            </a:ext>
          </a:extLst>
        </xdr:cNvPr>
        <xdr:cNvCxnSpPr>
          <a:cxnSpLocks/>
          <a:stCxn id="26" idx="6"/>
          <a:endCxn id="25" idx="2"/>
        </xdr:cNvCxnSpPr>
      </xdr:nvCxnSpPr>
      <xdr:spPr>
        <a:xfrm>
          <a:off x="6581774" y="11030383"/>
          <a:ext cx="504827" cy="43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51954</xdr:colOff>
      <xdr:row>56</xdr:row>
      <xdr:rowOff>51090</xdr:rowOff>
    </xdr:from>
    <xdr:to>
      <xdr:col>16</xdr:col>
      <xdr:colOff>137679</xdr:colOff>
      <xdr:row>59</xdr:row>
      <xdr:rowOff>3465</xdr:rowOff>
    </xdr:to>
    <xdr:sp macro="" textlink="">
      <xdr:nvSpPr>
        <xdr:cNvPr id="29" name="Oval 1">
          <a:extLst>
            <a:ext uri="{FF2B5EF4-FFF2-40B4-BE49-F238E27FC236}">
              <a16:creationId xmlns:a16="http://schemas.microsoft.com/office/drawing/2014/main" id="{DC5135B7-D247-4797-BAC3-119AFBDCB32C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7071879" y="10166640"/>
          <a:ext cx="542925" cy="52387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21</a:t>
          </a:r>
        </a:p>
      </xdr:txBody>
    </xdr:sp>
    <xdr:clientData/>
  </xdr:twoCellAnchor>
  <xdr:twoCellAnchor>
    <xdr:from>
      <xdr:col>6</xdr:col>
      <xdr:colOff>73601</xdr:colOff>
      <xdr:row>62</xdr:row>
      <xdr:rowOff>130752</xdr:rowOff>
    </xdr:from>
    <xdr:to>
      <xdr:col>10</xdr:col>
      <xdr:colOff>81394</xdr:colOff>
      <xdr:row>65</xdr:row>
      <xdr:rowOff>83128</xdr:rowOff>
    </xdr:to>
    <xdr:sp macro="" textlink="">
      <xdr:nvSpPr>
        <xdr:cNvPr id="30" name="Oval 1">
          <a:extLst>
            <a:ext uri="{FF2B5EF4-FFF2-40B4-BE49-F238E27FC236}">
              <a16:creationId xmlns:a16="http://schemas.microsoft.com/office/drawing/2014/main" id="{2F49132A-F0A8-4295-A075-40EC3AA764C9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6026726" y="11389302"/>
          <a:ext cx="541193" cy="523876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24</a:t>
          </a:r>
        </a:p>
      </xdr:txBody>
    </xdr:sp>
    <xdr:clientData/>
  </xdr:twoCellAnchor>
  <xdr:twoCellAnchor>
    <xdr:from>
      <xdr:col>14</xdr:col>
      <xdr:colOff>51089</xdr:colOff>
      <xdr:row>62</xdr:row>
      <xdr:rowOff>135081</xdr:rowOff>
    </xdr:from>
    <xdr:to>
      <xdr:col>16</xdr:col>
      <xdr:colOff>142009</xdr:colOff>
      <xdr:row>65</xdr:row>
      <xdr:rowOff>77066</xdr:rowOff>
    </xdr:to>
    <xdr:sp macro="" textlink="">
      <xdr:nvSpPr>
        <xdr:cNvPr id="31" name="Oval 1">
          <a:extLst>
            <a:ext uri="{FF2B5EF4-FFF2-40B4-BE49-F238E27FC236}">
              <a16:creationId xmlns:a16="http://schemas.microsoft.com/office/drawing/2014/main" id="{69D4C610-D869-418F-8996-25A1293ADC1E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7071014" y="11393631"/>
          <a:ext cx="548120" cy="51348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25</a:t>
          </a:r>
        </a:p>
      </xdr:txBody>
    </xdr:sp>
    <xdr:clientData/>
  </xdr:twoCellAnchor>
  <xdr:twoCellAnchor>
    <xdr:from>
      <xdr:col>6</xdr:col>
      <xdr:colOff>84858</xdr:colOff>
      <xdr:row>66</xdr:row>
      <xdr:rowOff>24246</xdr:rowOff>
    </xdr:from>
    <xdr:to>
      <xdr:col>10</xdr:col>
      <xdr:colOff>92651</xdr:colOff>
      <xdr:row>68</xdr:row>
      <xdr:rowOff>167121</xdr:rowOff>
    </xdr:to>
    <xdr:sp macro="" textlink="">
      <xdr:nvSpPr>
        <xdr:cNvPr id="32" name="Oval 1">
          <a:extLst>
            <a:ext uri="{FF2B5EF4-FFF2-40B4-BE49-F238E27FC236}">
              <a16:creationId xmlns:a16="http://schemas.microsoft.com/office/drawing/2014/main" id="{8CA80EF6-2EE3-4B25-AE37-577F2E237D34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6037983" y="12044796"/>
          <a:ext cx="541193" cy="52387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26</a:t>
          </a:r>
        </a:p>
      </xdr:txBody>
    </xdr:sp>
    <xdr:clientData/>
  </xdr:twoCellAnchor>
  <xdr:twoCellAnchor>
    <xdr:from>
      <xdr:col>14</xdr:col>
      <xdr:colOff>45893</xdr:colOff>
      <xdr:row>66</xdr:row>
      <xdr:rowOff>26843</xdr:rowOff>
    </xdr:from>
    <xdr:to>
      <xdr:col>16</xdr:col>
      <xdr:colOff>136813</xdr:colOff>
      <xdr:row>68</xdr:row>
      <xdr:rowOff>169718</xdr:rowOff>
    </xdr:to>
    <xdr:sp macro="" textlink="">
      <xdr:nvSpPr>
        <xdr:cNvPr id="33" name="Oval 1">
          <a:extLst>
            <a:ext uri="{FF2B5EF4-FFF2-40B4-BE49-F238E27FC236}">
              <a16:creationId xmlns:a16="http://schemas.microsoft.com/office/drawing/2014/main" id="{16ADC18E-402B-4DF0-BE9B-CB2E778C705E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7065818" y="12047393"/>
          <a:ext cx="548120" cy="52387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27</a:t>
          </a:r>
        </a:p>
      </xdr:txBody>
    </xdr:sp>
    <xdr:clientData/>
  </xdr:twoCellAnchor>
  <xdr:twoCellAnchor>
    <xdr:from>
      <xdr:col>14</xdr:col>
      <xdr:colOff>23379</xdr:colOff>
      <xdr:row>76</xdr:row>
      <xdr:rowOff>68405</xdr:rowOff>
    </xdr:from>
    <xdr:to>
      <xdr:col>16</xdr:col>
      <xdr:colOff>109104</xdr:colOff>
      <xdr:row>79</xdr:row>
      <xdr:rowOff>10390</xdr:rowOff>
    </xdr:to>
    <xdr:sp macro="" textlink="">
      <xdr:nvSpPr>
        <xdr:cNvPr id="34" name="Oval 1">
          <a:extLst>
            <a:ext uri="{FF2B5EF4-FFF2-40B4-BE49-F238E27FC236}">
              <a16:creationId xmlns:a16="http://schemas.microsoft.com/office/drawing/2014/main" id="{8B7DD63C-C427-4114-94C2-688041E6865C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7043304" y="13993955"/>
          <a:ext cx="542925" cy="51348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33</a:t>
          </a:r>
        </a:p>
      </xdr:txBody>
    </xdr:sp>
    <xdr:clientData/>
  </xdr:twoCellAnchor>
  <xdr:twoCellAnchor>
    <xdr:from>
      <xdr:col>6</xdr:col>
      <xdr:colOff>95250</xdr:colOff>
      <xdr:row>76</xdr:row>
      <xdr:rowOff>58016</xdr:rowOff>
    </xdr:from>
    <xdr:to>
      <xdr:col>10</xdr:col>
      <xdr:colOff>103043</xdr:colOff>
      <xdr:row>79</xdr:row>
      <xdr:rowOff>10391</xdr:rowOff>
    </xdr:to>
    <xdr:sp macro="" textlink="">
      <xdr:nvSpPr>
        <xdr:cNvPr id="35" name="Oval 1">
          <a:extLst>
            <a:ext uri="{FF2B5EF4-FFF2-40B4-BE49-F238E27FC236}">
              <a16:creationId xmlns:a16="http://schemas.microsoft.com/office/drawing/2014/main" id="{36BAAC34-4A80-431C-A95C-BDD07B6F288A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6048375" y="13983566"/>
          <a:ext cx="541193" cy="52387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32</a:t>
          </a:r>
        </a:p>
      </xdr:txBody>
    </xdr:sp>
    <xdr:clientData/>
  </xdr:twoCellAnchor>
  <xdr:twoCellAnchor>
    <xdr:from>
      <xdr:col>14</xdr:col>
      <xdr:colOff>19916</xdr:colOff>
      <xdr:row>72</xdr:row>
      <xdr:rowOff>181841</xdr:rowOff>
    </xdr:from>
    <xdr:to>
      <xdr:col>16</xdr:col>
      <xdr:colOff>105641</xdr:colOff>
      <xdr:row>75</xdr:row>
      <xdr:rowOff>134217</xdr:rowOff>
    </xdr:to>
    <xdr:sp macro="" textlink="">
      <xdr:nvSpPr>
        <xdr:cNvPr id="36" name="Oval 1">
          <a:extLst>
            <a:ext uri="{FF2B5EF4-FFF2-40B4-BE49-F238E27FC236}">
              <a16:creationId xmlns:a16="http://schemas.microsoft.com/office/drawing/2014/main" id="{8360A372-0143-4294-99DF-70EB5F7A2A92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7039841" y="13345391"/>
          <a:ext cx="542925" cy="523876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31</a:t>
          </a:r>
        </a:p>
      </xdr:txBody>
    </xdr:sp>
    <xdr:clientData/>
  </xdr:twoCellAnchor>
  <xdr:twoCellAnchor>
    <xdr:from>
      <xdr:col>6</xdr:col>
      <xdr:colOff>96116</xdr:colOff>
      <xdr:row>72</xdr:row>
      <xdr:rowOff>174913</xdr:rowOff>
    </xdr:from>
    <xdr:to>
      <xdr:col>10</xdr:col>
      <xdr:colOff>103909</xdr:colOff>
      <xdr:row>75</xdr:row>
      <xdr:rowOff>127289</xdr:rowOff>
    </xdr:to>
    <xdr:sp macro="" textlink="">
      <xdr:nvSpPr>
        <xdr:cNvPr id="37" name="Oval 1">
          <a:extLst>
            <a:ext uri="{FF2B5EF4-FFF2-40B4-BE49-F238E27FC236}">
              <a16:creationId xmlns:a16="http://schemas.microsoft.com/office/drawing/2014/main" id="{39690445-EF8F-406D-842A-7606D82D2947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6049241" y="13338463"/>
          <a:ext cx="541193" cy="523876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30</a:t>
          </a:r>
        </a:p>
      </xdr:txBody>
    </xdr:sp>
    <xdr:clientData/>
  </xdr:twoCellAnchor>
  <xdr:twoCellAnchor>
    <xdr:from>
      <xdr:col>14</xdr:col>
      <xdr:colOff>37234</xdr:colOff>
      <xdr:row>69</xdr:row>
      <xdr:rowOff>113434</xdr:rowOff>
    </xdr:from>
    <xdr:to>
      <xdr:col>16</xdr:col>
      <xdr:colOff>128154</xdr:colOff>
      <xdr:row>72</xdr:row>
      <xdr:rowOff>65810</xdr:rowOff>
    </xdr:to>
    <xdr:sp macro="" textlink="">
      <xdr:nvSpPr>
        <xdr:cNvPr id="38" name="Oval 1">
          <a:extLst>
            <a:ext uri="{FF2B5EF4-FFF2-40B4-BE49-F238E27FC236}">
              <a16:creationId xmlns:a16="http://schemas.microsoft.com/office/drawing/2014/main" id="{23EA20C2-D1FB-48CD-82A2-BA929320D781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7057159" y="12705484"/>
          <a:ext cx="548120" cy="523876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29</a:t>
          </a:r>
        </a:p>
      </xdr:txBody>
    </xdr:sp>
    <xdr:clientData/>
  </xdr:twoCellAnchor>
  <xdr:twoCellAnchor>
    <xdr:from>
      <xdr:col>6</xdr:col>
      <xdr:colOff>101311</xdr:colOff>
      <xdr:row>69</xdr:row>
      <xdr:rowOff>109104</xdr:rowOff>
    </xdr:from>
    <xdr:to>
      <xdr:col>10</xdr:col>
      <xdr:colOff>109104</xdr:colOff>
      <xdr:row>72</xdr:row>
      <xdr:rowOff>61480</xdr:rowOff>
    </xdr:to>
    <xdr:sp macro="" textlink="">
      <xdr:nvSpPr>
        <xdr:cNvPr id="39" name="Oval 1">
          <a:extLst>
            <a:ext uri="{FF2B5EF4-FFF2-40B4-BE49-F238E27FC236}">
              <a16:creationId xmlns:a16="http://schemas.microsoft.com/office/drawing/2014/main" id="{6837CC1C-A74C-4125-9F85-85C2069104B1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6054436" y="12701154"/>
          <a:ext cx="541193" cy="523876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28</a:t>
          </a:r>
        </a:p>
      </xdr:txBody>
    </xdr:sp>
    <xdr:clientData/>
  </xdr:twoCellAnchor>
  <xdr:twoCellAnchor>
    <xdr:from>
      <xdr:col>3</xdr:col>
      <xdr:colOff>864173</xdr:colOff>
      <xdr:row>57</xdr:row>
      <xdr:rowOff>119930</xdr:rowOff>
    </xdr:from>
    <xdr:to>
      <xdr:col>6</xdr:col>
      <xdr:colOff>71870</xdr:colOff>
      <xdr:row>66</xdr:row>
      <xdr:rowOff>155484</xdr:rowOff>
    </xdr:to>
    <xdr:cxnSp macro="">
      <xdr:nvCxnSpPr>
        <xdr:cNvPr id="40" name="Connettore 2 39">
          <a:extLst>
            <a:ext uri="{FF2B5EF4-FFF2-40B4-BE49-F238E27FC236}">
              <a16:creationId xmlns:a16="http://schemas.microsoft.com/office/drawing/2014/main" id="{36BF34B4-C64D-41C7-9AB6-6837F8051540}"/>
            </a:ext>
          </a:extLst>
        </xdr:cNvPr>
        <xdr:cNvCxnSpPr>
          <a:stCxn id="5" idx="6"/>
          <a:endCxn id="24" idx="2"/>
        </xdr:cNvCxnSpPr>
      </xdr:nvCxnSpPr>
      <xdr:spPr>
        <a:xfrm flipV="1">
          <a:off x="4588448" y="10425980"/>
          <a:ext cx="1436547" cy="17500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864173</xdr:colOff>
      <xdr:row>64</xdr:row>
      <xdr:rowOff>11690</xdr:rowOff>
    </xdr:from>
    <xdr:to>
      <xdr:col>6</xdr:col>
      <xdr:colOff>73601</xdr:colOff>
      <xdr:row>66</xdr:row>
      <xdr:rowOff>155484</xdr:rowOff>
    </xdr:to>
    <xdr:cxnSp macro="">
      <xdr:nvCxnSpPr>
        <xdr:cNvPr id="41" name="Connettore 2 40">
          <a:extLst>
            <a:ext uri="{FF2B5EF4-FFF2-40B4-BE49-F238E27FC236}">
              <a16:creationId xmlns:a16="http://schemas.microsoft.com/office/drawing/2014/main" id="{A7E95D44-99FD-4249-8906-6250B33F8C0B}"/>
            </a:ext>
          </a:extLst>
        </xdr:cNvPr>
        <xdr:cNvCxnSpPr>
          <a:stCxn id="5" idx="6"/>
          <a:endCxn id="30" idx="2"/>
        </xdr:cNvCxnSpPr>
      </xdr:nvCxnSpPr>
      <xdr:spPr>
        <a:xfrm flipV="1">
          <a:off x="4588448" y="11651240"/>
          <a:ext cx="1438278" cy="5247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864173</xdr:colOff>
      <xdr:row>66</xdr:row>
      <xdr:rowOff>155484</xdr:rowOff>
    </xdr:from>
    <xdr:to>
      <xdr:col>6</xdr:col>
      <xdr:colOff>84858</xdr:colOff>
      <xdr:row>67</xdr:row>
      <xdr:rowOff>95684</xdr:rowOff>
    </xdr:to>
    <xdr:cxnSp macro="">
      <xdr:nvCxnSpPr>
        <xdr:cNvPr id="42" name="Connettore 2 41">
          <a:extLst>
            <a:ext uri="{FF2B5EF4-FFF2-40B4-BE49-F238E27FC236}">
              <a16:creationId xmlns:a16="http://schemas.microsoft.com/office/drawing/2014/main" id="{DC79EB48-1516-40F6-B1F7-AE0F12731F4D}"/>
            </a:ext>
          </a:extLst>
        </xdr:cNvPr>
        <xdr:cNvCxnSpPr>
          <a:stCxn id="5" idx="6"/>
          <a:endCxn id="32" idx="2"/>
        </xdr:cNvCxnSpPr>
      </xdr:nvCxnSpPr>
      <xdr:spPr>
        <a:xfrm>
          <a:off x="4588448" y="12176034"/>
          <a:ext cx="1449535" cy="130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79663</xdr:colOff>
      <xdr:row>57</xdr:row>
      <xdr:rowOff>119930</xdr:rowOff>
    </xdr:from>
    <xdr:to>
      <xdr:col>14</xdr:col>
      <xdr:colOff>51954</xdr:colOff>
      <xdr:row>57</xdr:row>
      <xdr:rowOff>122528</xdr:rowOff>
    </xdr:to>
    <xdr:cxnSp macro="">
      <xdr:nvCxnSpPr>
        <xdr:cNvPr id="43" name="Connettore 2 42">
          <a:extLst>
            <a:ext uri="{FF2B5EF4-FFF2-40B4-BE49-F238E27FC236}">
              <a16:creationId xmlns:a16="http://schemas.microsoft.com/office/drawing/2014/main" id="{F96A37B8-948C-48EB-8411-939B931FA091}"/>
            </a:ext>
          </a:extLst>
        </xdr:cNvPr>
        <xdr:cNvCxnSpPr>
          <a:stCxn id="24" idx="6"/>
          <a:endCxn id="29" idx="2"/>
        </xdr:cNvCxnSpPr>
      </xdr:nvCxnSpPr>
      <xdr:spPr>
        <a:xfrm>
          <a:off x="6566188" y="10425980"/>
          <a:ext cx="505691" cy="2598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81394</xdr:colOff>
      <xdr:row>64</xdr:row>
      <xdr:rowOff>10824</xdr:rowOff>
    </xdr:from>
    <xdr:to>
      <xdr:col>14</xdr:col>
      <xdr:colOff>51089</xdr:colOff>
      <xdr:row>64</xdr:row>
      <xdr:rowOff>11690</xdr:rowOff>
    </xdr:to>
    <xdr:cxnSp macro="">
      <xdr:nvCxnSpPr>
        <xdr:cNvPr id="44" name="Connettore 2 43">
          <a:extLst>
            <a:ext uri="{FF2B5EF4-FFF2-40B4-BE49-F238E27FC236}">
              <a16:creationId xmlns:a16="http://schemas.microsoft.com/office/drawing/2014/main" id="{31000766-DE57-4987-BD55-55DBF5D83A93}"/>
            </a:ext>
          </a:extLst>
        </xdr:cNvPr>
        <xdr:cNvCxnSpPr>
          <a:stCxn id="30" idx="6"/>
          <a:endCxn id="31" idx="2"/>
        </xdr:cNvCxnSpPr>
      </xdr:nvCxnSpPr>
      <xdr:spPr>
        <a:xfrm flipV="1">
          <a:off x="6567919" y="11650374"/>
          <a:ext cx="503095" cy="8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89189</xdr:colOff>
      <xdr:row>79</xdr:row>
      <xdr:rowOff>140277</xdr:rowOff>
    </xdr:from>
    <xdr:to>
      <xdr:col>10</xdr:col>
      <xdr:colOff>96982</xdr:colOff>
      <xdr:row>82</xdr:row>
      <xdr:rowOff>92653</xdr:rowOff>
    </xdr:to>
    <xdr:sp macro="" textlink="">
      <xdr:nvSpPr>
        <xdr:cNvPr id="45" name="Oval 1">
          <a:extLst>
            <a:ext uri="{FF2B5EF4-FFF2-40B4-BE49-F238E27FC236}">
              <a16:creationId xmlns:a16="http://schemas.microsoft.com/office/drawing/2014/main" id="{412EA8C3-156B-4664-B1CF-2BFC1BEB86DF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6042314" y="14637327"/>
          <a:ext cx="541193" cy="523876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34</a:t>
          </a:r>
        </a:p>
      </xdr:txBody>
    </xdr:sp>
    <xdr:clientData/>
  </xdr:twoCellAnchor>
  <xdr:twoCellAnchor>
    <xdr:from>
      <xdr:col>14</xdr:col>
      <xdr:colOff>24246</xdr:colOff>
      <xdr:row>79</xdr:row>
      <xdr:rowOff>153266</xdr:rowOff>
    </xdr:from>
    <xdr:to>
      <xdr:col>16</xdr:col>
      <xdr:colOff>109971</xdr:colOff>
      <xdr:row>82</xdr:row>
      <xdr:rowOff>105642</xdr:rowOff>
    </xdr:to>
    <xdr:sp macro="" textlink="">
      <xdr:nvSpPr>
        <xdr:cNvPr id="46" name="Oval 1">
          <a:extLst>
            <a:ext uri="{FF2B5EF4-FFF2-40B4-BE49-F238E27FC236}">
              <a16:creationId xmlns:a16="http://schemas.microsoft.com/office/drawing/2014/main" id="{B08A640C-4DD4-4E06-9768-82FC73F872D2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7044171" y="14650316"/>
          <a:ext cx="542925" cy="523876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35</a:t>
          </a:r>
        </a:p>
      </xdr:txBody>
    </xdr:sp>
    <xdr:clientData/>
  </xdr:twoCellAnchor>
  <xdr:twoCellAnchor>
    <xdr:from>
      <xdr:col>6</xdr:col>
      <xdr:colOff>68407</xdr:colOff>
      <xdr:row>83</xdr:row>
      <xdr:rowOff>57152</xdr:rowOff>
    </xdr:from>
    <xdr:to>
      <xdr:col>10</xdr:col>
      <xdr:colOff>76200</xdr:colOff>
      <xdr:row>85</xdr:row>
      <xdr:rowOff>189637</xdr:rowOff>
    </xdr:to>
    <xdr:sp macro="" textlink="">
      <xdr:nvSpPr>
        <xdr:cNvPr id="47" name="Oval 1">
          <a:extLst>
            <a:ext uri="{FF2B5EF4-FFF2-40B4-BE49-F238E27FC236}">
              <a16:creationId xmlns:a16="http://schemas.microsoft.com/office/drawing/2014/main" id="{7B003695-0EC7-436A-8746-B870EBA433D6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6021532" y="15316202"/>
          <a:ext cx="541193" cy="51348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36</a:t>
          </a:r>
        </a:p>
      </xdr:txBody>
    </xdr:sp>
    <xdr:clientData/>
  </xdr:twoCellAnchor>
  <xdr:twoCellAnchor>
    <xdr:from>
      <xdr:col>6</xdr:col>
      <xdr:colOff>90055</xdr:colOff>
      <xdr:row>86</xdr:row>
      <xdr:rowOff>133350</xdr:rowOff>
    </xdr:from>
    <xdr:to>
      <xdr:col>10</xdr:col>
      <xdr:colOff>97848</xdr:colOff>
      <xdr:row>89</xdr:row>
      <xdr:rowOff>75334</xdr:rowOff>
    </xdr:to>
    <xdr:sp macro="" textlink="">
      <xdr:nvSpPr>
        <xdr:cNvPr id="48" name="Oval 1">
          <a:extLst>
            <a:ext uri="{FF2B5EF4-FFF2-40B4-BE49-F238E27FC236}">
              <a16:creationId xmlns:a16="http://schemas.microsoft.com/office/drawing/2014/main" id="{3C9C7DD2-1A8F-459A-A4D2-9728E54F7497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6043180" y="15963900"/>
          <a:ext cx="541193" cy="513484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37</a:t>
          </a:r>
        </a:p>
      </xdr:txBody>
    </xdr:sp>
    <xdr:clientData/>
  </xdr:twoCellAnchor>
  <xdr:twoCellAnchor>
    <xdr:from>
      <xdr:col>6</xdr:col>
      <xdr:colOff>77932</xdr:colOff>
      <xdr:row>93</xdr:row>
      <xdr:rowOff>60614</xdr:rowOff>
    </xdr:from>
    <xdr:to>
      <xdr:col>10</xdr:col>
      <xdr:colOff>85725</xdr:colOff>
      <xdr:row>96</xdr:row>
      <xdr:rowOff>2599</xdr:rowOff>
    </xdr:to>
    <xdr:sp macro="" textlink="">
      <xdr:nvSpPr>
        <xdr:cNvPr id="49" name="Oval 1">
          <a:extLst>
            <a:ext uri="{FF2B5EF4-FFF2-40B4-BE49-F238E27FC236}">
              <a16:creationId xmlns:a16="http://schemas.microsoft.com/office/drawing/2014/main" id="{9F766C9E-21CE-45A1-8ECC-38496CCC127F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6031057" y="17224664"/>
          <a:ext cx="541193" cy="51348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39</a:t>
          </a:r>
        </a:p>
      </xdr:txBody>
    </xdr:sp>
    <xdr:clientData/>
  </xdr:twoCellAnchor>
  <xdr:twoCellAnchor>
    <xdr:from>
      <xdr:col>6</xdr:col>
      <xdr:colOff>83127</xdr:colOff>
      <xdr:row>89</xdr:row>
      <xdr:rowOff>187902</xdr:rowOff>
    </xdr:from>
    <xdr:to>
      <xdr:col>10</xdr:col>
      <xdr:colOff>90920</xdr:colOff>
      <xdr:row>92</xdr:row>
      <xdr:rowOff>129887</xdr:rowOff>
    </xdr:to>
    <xdr:sp macro="" textlink="">
      <xdr:nvSpPr>
        <xdr:cNvPr id="50" name="Oval 1">
          <a:extLst>
            <a:ext uri="{FF2B5EF4-FFF2-40B4-BE49-F238E27FC236}">
              <a16:creationId xmlns:a16="http://schemas.microsoft.com/office/drawing/2014/main" id="{50758483-D2B8-4A0F-BCF3-9FE2A97E52CB}"/>
            </a:ext>
            <a:ext uri="{147F2762-F138-4A5C-976F-8EAC2B608ADB}">
              <a16:predDERef xmlns:a16="http://schemas.microsoft.com/office/drawing/2014/main" pred="{B956B6CA-499B-4CFF-B768-51DB1184B58A}"/>
            </a:ext>
          </a:extLst>
        </xdr:cNvPr>
        <xdr:cNvSpPr/>
      </xdr:nvSpPr>
      <xdr:spPr>
        <a:xfrm>
          <a:off x="6036252" y="16589952"/>
          <a:ext cx="541193" cy="51348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38</a:t>
          </a:r>
        </a:p>
      </xdr:txBody>
    </xdr:sp>
    <xdr:clientData/>
  </xdr:twoCellAnchor>
  <xdr:twoCellAnchor>
    <xdr:from>
      <xdr:col>23</xdr:col>
      <xdr:colOff>18444</xdr:colOff>
      <xdr:row>48</xdr:row>
      <xdr:rowOff>119063</xdr:rowOff>
    </xdr:from>
    <xdr:to>
      <xdr:col>24</xdr:col>
      <xdr:colOff>174913</xdr:colOff>
      <xdr:row>51</xdr:row>
      <xdr:rowOff>149247</xdr:rowOff>
    </xdr:to>
    <xdr:cxnSp macro="">
      <xdr:nvCxnSpPr>
        <xdr:cNvPr id="51" name="Connettore 2 50">
          <a:extLst>
            <a:ext uri="{FF2B5EF4-FFF2-40B4-BE49-F238E27FC236}">
              <a16:creationId xmlns:a16="http://schemas.microsoft.com/office/drawing/2014/main" id="{C059C890-19B8-4A14-8572-5AB733FA61FD}"/>
            </a:ext>
          </a:extLst>
        </xdr:cNvPr>
        <xdr:cNvCxnSpPr>
          <a:stCxn id="12" idx="7"/>
          <a:endCxn id="11" idx="2"/>
        </xdr:cNvCxnSpPr>
      </xdr:nvCxnSpPr>
      <xdr:spPr>
        <a:xfrm flipV="1">
          <a:off x="9095769" y="8710613"/>
          <a:ext cx="385069" cy="6016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98714</xdr:colOff>
      <xdr:row>52</xdr:row>
      <xdr:rowOff>64510</xdr:rowOff>
    </xdr:from>
    <xdr:to>
      <xdr:col>24</xdr:col>
      <xdr:colOff>210415</xdr:colOff>
      <xdr:row>52</xdr:row>
      <xdr:rowOff>147639</xdr:rowOff>
    </xdr:to>
    <xdr:cxnSp macro="">
      <xdr:nvCxnSpPr>
        <xdr:cNvPr id="52" name="Connettore 2 51">
          <a:extLst>
            <a:ext uri="{FF2B5EF4-FFF2-40B4-BE49-F238E27FC236}">
              <a16:creationId xmlns:a16="http://schemas.microsoft.com/office/drawing/2014/main" id="{BA4C6E3B-DEBE-411F-ABA8-6E28DE55698B}"/>
            </a:ext>
          </a:extLst>
        </xdr:cNvPr>
        <xdr:cNvCxnSpPr>
          <a:stCxn id="12" idx="6"/>
          <a:endCxn id="10" idx="2"/>
        </xdr:cNvCxnSpPr>
      </xdr:nvCxnSpPr>
      <xdr:spPr>
        <a:xfrm flipV="1">
          <a:off x="9176039" y="9418060"/>
          <a:ext cx="340301" cy="831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792641</xdr:colOff>
      <xdr:row>60</xdr:row>
      <xdr:rowOff>21860</xdr:rowOff>
    </xdr:from>
    <xdr:to>
      <xdr:col>1</xdr:col>
      <xdr:colOff>283621</xdr:colOff>
      <xdr:row>61</xdr:row>
      <xdr:rowOff>170609</xdr:rowOff>
    </xdr:to>
    <xdr:cxnSp macro="">
      <xdr:nvCxnSpPr>
        <xdr:cNvPr id="53" name="Connettore 2 52">
          <a:extLst>
            <a:ext uri="{FF2B5EF4-FFF2-40B4-BE49-F238E27FC236}">
              <a16:creationId xmlns:a16="http://schemas.microsoft.com/office/drawing/2014/main" id="{6B0BF6F6-FAF9-49B8-9551-60606A528F63}"/>
            </a:ext>
          </a:extLst>
        </xdr:cNvPr>
        <xdr:cNvCxnSpPr>
          <a:stCxn id="2" idx="7"/>
          <a:endCxn id="3" idx="2"/>
        </xdr:cNvCxnSpPr>
      </xdr:nvCxnSpPr>
      <xdr:spPr>
        <a:xfrm flipV="1">
          <a:off x="792641" y="10899410"/>
          <a:ext cx="424430" cy="3392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792641</xdr:colOff>
      <xdr:row>63</xdr:row>
      <xdr:rowOff>160044</xdr:rowOff>
    </xdr:from>
    <xdr:to>
      <xdr:col>1</xdr:col>
      <xdr:colOff>251893</xdr:colOff>
      <xdr:row>66</xdr:row>
      <xdr:rowOff>159970</xdr:rowOff>
    </xdr:to>
    <xdr:cxnSp macro="">
      <xdr:nvCxnSpPr>
        <xdr:cNvPr id="54" name="Connettore 2 53">
          <a:extLst>
            <a:ext uri="{FF2B5EF4-FFF2-40B4-BE49-F238E27FC236}">
              <a16:creationId xmlns:a16="http://schemas.microsoft.com/office/drawing/2014/main" id="{04396B9F-9907-47AD-A602-A70A9CF657AF}"/>
            </a:ext>
          </a:extLst>
        </xdr:cNvPr>
        <xdr:cNvCxnSpPr>
          <a:stCxn id="2" idx="5"/>
          <a:endCxn id="6" idx="1"/>
        </xdr:cNvCxnSpPr>
      </xdr:nvCxnSpPr>
      <xdr:spPr>
        <a:xfrm>
          <a:off x="792641" y="11609094"/>
          <a:ext cx="392702" cy="5714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722889</xdr:colOff>
      <xdr:row>51</xdr:row>
      <xdr:rowOff>83781</xdr:rowOff>
    </xdr:from>
    <xdr:to>
      <xdr:col>1</xdr:col>
      <xdr:colOff>370250</xdr:colOff>
      <xdr:row>52</xdr:row>
      <xdr:rowOff>155526</xdr:rowOff>
    </xdr:to>
    <xdr:cxnSp macro="">
      <xdr:nvCxnSpPr>
        <xdr:cNvPr id="55" name="Connettore 2 54">
          <a:extLst>
            <a:ext uri="{FF2B5EF4-FFF2-40B4-BE49-F238E27FC236}">
              <a16:creationId xmlns:a16="http://schemas.microsoft.com/office/drawing/2014/main" id="{2FC521A1-D5D5-49AB-AB28-CFFA7E3D1CE2}"/>
            </a:ext>
          </a:extLst>
        </xdr:cNvPr>
        <xdr:cNvCxnSpPr>
          <a:stCxn id="7" idx="7"/>
          <a:endCxn id="14" idx="2"/>
        </xdr:cNvCxnSpPr>
      </xdr:nvCxnSpPr>
      <xdr:spPr>
        <a:xfrm flipV="1">
          <a:off x="722889" y="9246831"/>
          <a:ext cx="580811" cy="2622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932225</xdr:colOff>
      <xdr:row>51</xdr:row>
      <xdr:rowOff>83781</xdr:rowOff>
    </xdr:from>
    <xdr:to>
      <xdr:col>1</xdr:col>
      <xdr:colOff>1321436</xdr:colOff>
      <xdr:row>53</xdr:row>
      <xdr:rowOff>66132</xdr:rowOff>
    </xdr:to>
    <xdr:cxnSp macro="">
      <xdr:nvCxnSpPr>
        <xdr:cNvPr id="56" name="Connettore 2 55">
          <a:extLst>
            <a:ext uri="{FF2B5EF4-FFF2-40B4-BE49-F238E27FC236}">
              <a16:creationId xmlns:a16="http://schemas.microsoft.com/office/drawing/2014/main" id="{29579C4F-F909-4B66-AFD7-78C930D33325}"/>
            </a:ext>
          </a:extLst>
        </xdr:cNvPr>
        <xdr:cNvCxnSpPr>
          <a:stCxn id="14" idx="6"/>
          <a:endCxn id="15" idx="2"/>
        </xdr:cNvCxnSpPr>
      </xdr:nvCxnSpPr>
      <xdr:spPr>
        <a:xfrm>
          <a:off x="1865675" y="9246831"/>
          <a:ext cx="389211" cy="3633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845596</xdr:colOff>
      <xdr:row>54</xdr:row>
      <xdr:rowOff>56359</xdr:rowOff>
    </xdr:from>
    <xdr:to>
      <xdr:col>1</xdr:col>
      <xdr:colOff>1396543</xdr:colOff>
      <xdr:row>60</xdr:row>
      <xdr:rowOff>21860</xdr:rowOff>
    </xdr:to>
    <xdr:cxnSp macro="">
      <xdr:nvCxnSpPr>
        <xdr:cNvPr id="57" name="Connettore 2 56">
          <a:extLst>
            <a:ext uri="{FF2B5EF4-FFF2-40B4-BE49-F238E27FC236}">
              <a16:creationId xmlns:a16="http://schemas.microsoft.com/office/drawing/2014/main" id="{E5051E93-BE06-47B9-BC4E-B6EEEA4DBBF4}"/>
            </a:ext>
          </a:extLst>
        </xdr:cNvPr>
        <xdr:cNvCxnSpPr>
          <a:stCxn id="3" idx="6"/>
          <a:endCxn id="15" idx="3"/>
        </xdr:cNvCxnSpPr>
      </xdr:nvCxnSpPr>
      <xdr:spPr>
        <a:xfrm flipV="1">
          <a:off x="1779046" y="9790909"/>
          <a:ext cx="550947" cy="11085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91226</xdr:colOff>
      <xdr:row>53</xdr:row>
      <xdr:rowOff>66132</xdr:rowOff>
    </xdr:from>
    <xdr:to>
      <xdr:col>2</xdr:col>
      <xdr:colOff>445209</xdr:colOff>
      <xdr:row>53</xdr:row>
      <xdr:rowOff>67588</xdr:rowOff>
    </xdr:to>
    <xdr:cxnSp macro="">
      <xdr:nvCxnSpPr>
        <xdr:cNvPr id="58" name="Connettore 2 57">
          <a:extLst>
            <a:ext uri="{FF2B5EF4-FFF2-40B4-BE49-F238E27FC236}">
              <a16:creationId xmlns:a16="http://schemas.microsoft.com/office/drawing/2014/main" id="{0AFC1E3A-EE1D-4C07-8C7D-9A6A2053A980}"/>
            </a:ext>
          </a:extLst>
        </xdr:cNvPr>
        <xdr:cNvCxnSpPr>
          <a:stCxn id="15" idx="6"/>
          <a:endCxn id="16" idx="2"/>
        </xdr:cNvCxnSpPr>
      </xdr:nvCxnSpPr>
      <xdr:spPr>
        <a:xfrm>
          <a:off x="2767751" y="9610182"/>
          <a:ext cx="353983" cy="14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53</xdr:row>
      <xdr:rowOff>67060</xdr:rowOff>
    </xdr:from>
    <xdr:to>
      <xdr:col>3</xdr:col>
      <xdr:colOff>289173</xdr:colOff>
      <xdr:row>53</xdr:row>
      <xdr:rowOff>67588</xdr:rowOff>
    </xdr:to>
    <xdr:cxnSp macro="">
      <xdr:nvCxnSpPr>
        <xdr:cNvPr id="59" name="Connettore 2 58">
          <a:extLst>
            <a:ext uri="{FF2B5EF4-FFF2-40B4-BE49-F238E27FC236}">
              <a16:creationId xmlns:a16="http://schemas.microsoft.com/office/drawing/2014/main" id="{AC791D6E-F0B5-4F18-8285-C294290DDAAF}"/>
            </a:ext>
          </a:extLst>
        </xdr:cNvPr>
        <xdr:cNvCxnSpPr>
          <a:stCxn id="16" idx="6"/>
          <a:endCxn id="17" idx="2"/>
        </xdr:cNvCxnSpPr>
      </xdr:nvCxnSpPr>
      <xdr:spPr>
        <a:xfrm flipV="1">
          <a:off x="3648075" y="9611110"/>
          <a:ext cx="365373" cy="528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722889</xdr:colOff>
      <xdr:row>54</xdr:row>
      <xdr:rowOff>144960</xdr:rowOff>
    </xdr:from>
    <xdr:to>
      <xdr:col>1</xdr:col>
      <xdr:colOff>344632</xdr:colOff>
      <xdr:row>56</xdr:row>
      <xdr:rowOff>89499</xdr:rowOff>
    </xdr:to>
    <xdr:cxnSp macro="">
      <xdr:nvCxnSpPr>
        <xdr:cNvPr id="60" name="Connettore 2 59">
          <a:extLst>
            <a:ext uri="{FF2B5EF4-FFF2-40B4-BE49-F238E27FC236}">
              <a16:creationId xmlns:a16="http://schemas.microsoft.com/office/drawing/2014/main" id="{6AB7FBFA-6049-4703-94A0-451291849FC6}"/>
            </a:ext>
          </a:extLst>
        </xdr:cNvPr>
        <xdr:cNvCxnSpPr>
          <a:stCxn id="7" idx="5"/>
          <a:endCxn id="4" idx="2"/>
        </xdr:cNvCxnSpPr>
      </xdr:nvCxnSpPr>
      <xdr:spPr>
        <a:xfrm>
          <a:off x="722889" y="9879510"/>
          <a:ext cx="555193" cy="325539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781294</xdr:colOff>
      <xdr:row>53</xdr:row>
      <xdr:rowOff>143069</xdr:rowOff>
    </xdr:from>
    <xdr:to>
      <xdr:col>7</xdr:col>
      <xdr:colOff>7545</xdr:colOff>
      <xdr:row>65</xdr:row>
      <xdr:rowOff>157092</xdr:rowOff>
    </xdr:to>
    <xdr:cxnSp macro="">
      <xdr:nvCxnSpPr>
        <xdr:cNvPr id="61" name="Connettore 2 60">
          <a:extLst>
            <a:ext uri="{FF2B5EF4-FFF2-40B4-BE49-F238E27FC236}">
              <a16:creationId xmlns:a16="http://schemas.microsoft.com/office/drawing/2014/main" id="{A8C1F4F6-C9A8-46C2-BF2E-A1B393408249}"/>
            </a:ext>
          </a:extLst>
        </xdr:cNvPr>
        <xdr:cNvCxnSpPr>
          <a:stCxn id="5" idx="7"/>
          <a:endCxn id="18" idx="3"/>
        </xdr:cNvCxnSpPr>
      </xdr:nvCxnSpPr>
      <xdr:spPr>
        <a:xfrm flipV="1">
          <a:off x="4505569" y="9687119"/>
          <a:ext cx="1588451" cy="230002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102176</xdr:colOff>
      <xdr:row>52</xdr:row>
      <xdr:rowOff>148352</xdr:rowOff>
    </xdr:from>
    <xdr:to>
      <xdr:col>13</xdr:col>
      <xdr:colOff>103043</xdr:colOff>
      <xdr:row>52</xdr:row>
      <xdr:rowOff>151966</xdr:rowOff>
    </xdr:to>
    <xdr:cxnSp macro="">
      <xdr:nvCxnSpPr>
        <xdr:cNvPr id="62" name="Connettore 2 61">
          <a:extLst>
            <a:ext uri="{FF2B5EF4-FFF2-40B4-BE49-F238E27FC236}">
              <a16:creationId xmlns:a16="http://schemas.microsoft.com/office/drawing/2014/main" id="{691F9B2B-0EF2-4459-AEBD-B970E0791A70}"/>
            </a:ext>
          </a:extLst>
        </xdr:cNvPr>
        <xdr:cNvCxnSpPr>
          <a:stCxn id="18" idx="6"/>
          <a:endCxn id="13" idx="2"/>
        </xdr:cNvCxnSpPr>
      </xdr:nvCxnSpPr>
      <xdr:spPr>
        <a:xfrm>
          <a:off x="6588701" y="9501902"/>
          <a:ext cx="400917" cy="36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55418</xdr:colOff>
      <xdr:row>52</xdr:row>
      <xdr:rowOff>150235</xdr:rowOff>
    </xdr:from>
    <xdr:to>
      <xdr:col>17</xdr:col>
      <xdr:colOff>90055</xdr:colOff>
      <xdr:row>52</xdr:row>
      <xdr:rowOff>151966</xdr:rowOff>
    </xdr:to>
    <xdr:cxnSp macro="">
      <xdr:nvCxnSpPr>
        <xdr:cNvPr id="63" name="Connettore 2 62">
          <a:extLst>
            <a:ext uri="{FF2B5EF4-FFF2-40B4-BE49-F238E27FC236}">
              <a16:creationId xmlns:a16="http://schemas.microsoft.com/office/drawing/2014/main" id="{755265E0-F313-4F29-804E-9F654A9228EF}"/>
            </a:ext>
          </a:extLst>
        </xdr:cNvPr>
        <xdr:cNvCxnSpPr>
          <a:stCxn id="13" idx="6"/>
          <a:endCxn id="8" idx="2"/>
        </xdr:cNvCxnSpPr>
      </xdr:nvCxnSpPr>
      <xdr:spPr>
        <a:xfrm flipV="1">
          <a:off x="7532543" y="9503785"/>
          <a:ext cx="263237" cy="17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174048</xdr:colOff>
      <xdr:row>52</xdr:row>
      <xdr:rowOff>147639</xdr:rowOff>
    </xdr:from>
    <xdr:to>
      <xdr:col>21</xdr:col>
      <xdr:colOff>7794</xdr:colOff>
      <xdr:row>52</xdr:row>
      <xdr:rowOff>150235</xdr:rowOff>
    </xdr:to>
    <xdr:cxnSp macro="">
      <xdr:nvCxnSpPr>
        <xdr:cNvPr id="64" name="Connettore 2 63">
          <a:extLst>
            <a:ext uri="{FF2B5EF4-FFF2-40B4-BE49-F238E27FC236}">
              <a16:creationId xmlns:a16="http://schemas.microsoft.com/office/drawing/2014/main" id="{7C045E09-3085-46B2-AFBE-C67290BAF1F3}"/>
            </a:ext>
          </a:extLst>
        </xdr:cNvPr>
        <xdr:cNvCxnSpPr>
          <a:stCxn id="8" idx="6"/>
          <a:endCxn id="12" idx="2"/>
        </xdr:cNvCxnSpPr>
      </xdr:nvCxnSpPr>
      <xdr:spPr>
        <a:xfrm flipV="1">
          <a:off x="8336973" y="9501189"/>
          <a:ext cx="290946" cy="25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18444</xdr:colOff>
      <xdr:row>53</xdr:row>
      <xdr:rowOff>146030</xdr:rowOff>
    </xdr:from>
    <xdr:to>
      <xdr:col>25</xdr:col>
      <xdr:colOff>32904</xdr:colOff>
      <xdr:row>55</xdr:row>
      <xdr:rowOff>166688</xdr:rowOff>
    </xdr:to>
    <xdr:cxnSp macro="">
      <xdr:nvCxnSpPr>
        <xdr:cNvPr id="65" name="Connettore 2 64">
          <a:extLst>
            <a:ext uri="{FF2B5EF4-FFF2-40B4-BE49-F238E27FC236}">
              <a16:creationId xmlns:a16="http://schemas.microsoft.com/office/drawing/2014/main" id="{6A98DAE6-AEA8-400B-8F04-9170606B39BB}"/>
            </a:ext>
          </a:extLst>
        </xdr:cNvPr>
        <xdr:cNvCxnSpPr>
          <a:stCxn id="12" idx="5"/>
          <a:endCxn id="9" idx="2"/>
        </xdr:cNvCxnSpPr>
      </xdr:nvCxnSpPr>
      <xdr:spPr>
        <a:xfrm>
          <a:off x="9095769" y="9690080"/>
          <a:ext cx="471660" cy="4016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53254</xdr:colOff>
      <xdr:row>54</xdr:row>
      <xdr:rowOff>33772</xdr:rowOff>
    </xdr:from>
    <xdr:to>
      <xdr:col>25</xdr:col>
      <xdr:colOff>60614</xdr:colOff>
      <xdr:row>59</xdr:row>
      <xdr:rowOff>91354</xdr:rowOff>
    </xdr:to>
    <xdr:cxnSp macro="">
      <xdr:nvCxnSpPr>
        <xdr:cNvPr id="66" name="Connettore 2 65">
          <a:extLst>
            <a:ext uri="{FF2B5EF4-FFF2-40B4-BE49-F238E27FC236}">
              <a16:creationId xmlns:a16="http://schemas.microsoft.com/office/drawing/2014/main" id="{459A1FAF-3EF3-45B8-B96C-D27399E58BDB}"/>
            </a:ext>
          </a:extLst>
        </xdr:cNvPr>
        <xdr:cNvCxnSpPr>
          <a:stCxn id="12" idx="4"/>
          <a:endCxn id="22" idx="2"/>
        </xdr:cNvCxnSpPr>
      </xdr:nvCxnSpPr>
      <xdr:spPr>
        <a:xfrm>
          <a:off x="8901979" y="9768322"/>
          <a:ext cx="693160" cy="1010082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37234</xdr:colOff>
      <xdr:row>48</xdr:row>
      <xdr:rowOff>119063</xdr:rowOff>
    </xdr:from>
    <xdr:to>
      <xdr:col>29</xdr:col>
      <xdr:colOff>107978</xdr:colOff>
      <xdr:row>51</xdr:row>
      <xdr:rowOff>176300</xdr:rowOff>
    </xdr:to>
    <xdr:cxnSp macro="">
      <xdr:nvCxnSpPr>
        <xdr:cNvPr id="67" name="Connettore 2 66">
          <a:extLst>
            <a:ext uri="{FF2B5EF4-FFF2-40B4-BE49-F238E27FC236}">
              <a16:creationId xmlns:a16="http://schemas.microsoft.com/office/drawing/2014/main" id="{27A12FCF-722A-49AF-A394-88818548CCCB}"/>
            </a:ext>
          </a:extLst>
        </xdr:cNvPr>
        <xdr:cNvCxnSpPr>
          <a:stCxn id="11" idx="6"/>
          <a:endCxn id="23" idx="1"/>
        </xdr:cNvCxnSpPr>
      </xdr:nvCxnSpPr>
      <xdr:spPr>
        <a:xfrm>
          <a:off x="10028959" y="8710613"/>
          <a:ext cx="527944" cy="628737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72736</xdr:colOff>
      <xdr:row>52</xdr:row>
      <xdr:rowOff>64510</xdr:rowOff>
    </xdr:from>
    <xdr:to>
      <xdr:col>29</xdr:col>
      <xdr:colOff>27708</xdr:colOff>
      <xdr:row>52</xdr:row>
      <xdr:rowOff>171018</xdr:rowOff>
    </xdr:to>
    <xdr:cxnSp macro="">
      <xdr:nvCxnSpPr>
        <xdr:cNvPr id="68" name="Connettore 2 67">
          <a:extLst>
            <a:ext uri="{FF2B5EF4-FFF2-40B4-BE49-F238E27FC236}">
              <a16:creationId xmlns:a16="http://schemas.microsoft.com/office/drawing/2014/main" id="{9B101B22-E08F-45D7-8E3D-6CFCBB6FA8C7}"/>
            </a:ext>
          </a:extLst>
        </xdr:cNvPr>
        <xdr:cNvCxnSpPr>
          <a:stCxn id="10" idx="6"/>
          <a:endCxn id="23" idx="2"/>
        </xdr:cNvCxnSpPr>
      </xdr:nvCxnSpPr>
      <xdr:spPr>
        <a:xfrm>
          <a:off x="10064461" y="9418060"/>
          <a:ext cx="412172" cy="1065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123825</xdr:colOff>
      <xdr:row>53</xdr:row>
      <xdr:rowOff>165736</xdr:rowOff>
    </xdr:from>
    <xdr:to>
      <xdr:col>29</xdr:col>
      <xdr:colOff>107978</xdr:colOff>
      <xdr:row>55</xdr:row>
      <xdr:rowOff>166688</xdr:rowOff>
    </xdr:to>
    <xdr:cxnSp macro="">
      <xdr:nvCxnSpPr>
        <xdr:cNvPr id="69" name="Connettore 2 68">
          <a:extLst>
            <a:ext uri="{FF2B5EF4-FFF2-40B4-BE49-F238E27FC236}">
              <a16:creationId xmlns:a16="http://schemas.microsoft.com/office/drawing/2014/main" id="{AF1A9D12-9981-41D0-BB5F-5C7AD8088CB5}"/>
            </a:ext>
          </a:extLst>
        </xdr:cNvPr>
        <xdr:cNvCxnSpPr>
          <a:stCxn id="9" idx="6"/>
          <a:endCxn id="23" idx="3"/>
        </xdr:cNvCxnSpPr>
      </xdr:nvCxnSpPr>
      <xdr:spPr>
        <a:xfrm flipV="1">
          <a:off x="10115550" y="9709786"/>
          <a:ext cx="441353" cy="3819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151535</xdr:colOff>
      <xdr:row>54</xdr:row>
      <xdr:rowOff>51956</xdr:rowOff>
    </xdr:from>
    <xdr:to>
      <xdr:col>30</xdr:col>
      <xdr:colOff>92218</xdr:colOff>
      <xdr:row>59</xdr:row>
      <xdr:rowOff>91354</xdr:rowOff>
    </xdr:to>
    <xdr:cxnSp macro="">
      <xdr:nvCxnSpPr>
        <xdr:cNvPr id="70" name="Connettore 2 69">
          <a:extLst>
            <a:ext uri="{FF2B5EF4-FFF2-40B4-BE49-F238E27FC236}">
              <a16:creationId xmlns:a16="http://schemas.microsoft.com/office/drawing/2014/main" id="{ECE73B50-EB3A-4C59-9C43-AA8FC3E95078}"/>
            </a:ext>
          </a:extLst>
        </xdr:cNvPr>
        <xdr:cNvCxnSpPr>
          <a:stCxn id="22" idx="6"/>
          <a:endCxn id="23" idx="4"/>
        </xdr:cNvCxnSpPr>
      </xdr:nvCxnSpPr>
      <xdr:spPr>
        <a:xfrm flipV="1">
          <a:off x="10143260" y="9786506"/>
          <a:ext cx="607433" cy="991898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864173</xdr:colOff>
      <xdr:row>66</xdr:row>
      <xdr:rowOff>155484</xdr:rowOff>
    </xdr:from>
    <xdr:to>
      <xdr:col>7</xdr:col>
      <xdr:colOff>47217</xdr:colOff>
      <xdr:row>69</xdr:row>
      <xdr:rowOff>185824</xdr:rowOff>
    </xdr:to>
    <xdr:cxnSp macro="">
      <xdr:nvCxnSpPr>
        <xdr:cNvPr id="71" name="Connettore 2 70">
          <a:extLst>
            <a:ext uri="{FF2B5EF4-FFF2-40B4-BE49-F238E27FC236}">
              <a16:creationId xmlns:a16="http://schemas.microsoft.com/office/drawing/2014/main" id="{AE1A106C-2AF9-4149-BDF2-5C5DC3EA9D51}"/>
            </a:ext>
          </a:extLst>
        </xdr:cNvPr>
        <xdr:cNvCxnSpPr>
          <a:stCxn id="5" idx="6"/>
          <a:endCxn id="39" idx="1"/>
        </xdr:cNvCxnSpPr>
      </xdr:nvCxnSpPr>
      <xdr:spPr>
        <a:xfrm>
          <a:off x="4588448" y="12176034"/>
          <a:ext cx="1545244" cy="601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864173</xdr:colOff>
      <xdr:row>66</xdr:row>
      <xdr:rowOff>155484</xdr:rowOff>
    </xdr:from>
    <xdr:to>
      <xdr:col>7</xdr:col>
      <xdr:colOff>42022</xdr:colOff>
      <xdr:row>73</xdr:row>
      <xdr:rowOff>61133</xdr:rowOff>
    </xdr:to>
    <xdr:cxnSp macro="">
      <xdr:nvCxnSpPr>
        <xdr:cNvPr id="72" name="Connettore 2 71">
          <a:extLst>
            <a:ext uri="{FF2B5EF4-FFF2-40B4-BE49-F238E27FC236}">
              <a16:creationId xmlns:a16="http://schemas.microsoft.com/office/drawing/2014/main" id="{A5124EFE-14BE-4891-88E3-C1EB0BC0528E}"/>
            </a:ext>
          </a:extLst>
        </xdr:cNvPr>
        <xdr:cNvCxnSpPr>
          <a:stCxn id="5" idx="6"/>
          <a:endCxn id="37" idx="1"/>
        </xdr:cNvCxnSpPr>
      </xdr:nvCxnSpPr>
      <xdr:spPr>
        <a:xfrm>
          <a:off x="4588448" y="12176034"/>
          <a:ext cx="1540049" cy="12391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864173</xdr:colOff>
      <xdr:row>66</xdr:row>
      <xdr:rowOff>155484</xdr:rowOff>
    </xdr:from>
    <xdr:to>
      <xdr:col>7</xdr:col>
      <xdr:colOff>41156</xdr:colOff>
      <xdr:row>76</xdr:row>
      <xdr:rowOff>134736</xdr:rowOff>
    </xdr:to>
    <xdr:cxnSp macro="">
      <xdr:nvCxnSpPr>
        <xdr:cNvPr id="73" name="Connettore 2 72">
          <a:extLst>
            <a:ext uri="{FF2B5EF4-FFF2-40B4-BE49-F238E27FC236}">
              <a16:creationId xmlns:a16="http://schemas.microsoft.com/office/drawing/2014/main" id="{7206A1FA-DCF4-4D82-B76C-5BE627E912DA}"/>
            </a:ext>
          </a:extLst>
        </xdr:cNvPr>
        <xdr:cNvCxnSpPr>
          <a:stCxn id="5" idx="6"/>
          <a:endCxn id="35" idx="1"/>
        </xdr:cNvCxnSpPr>
      </xdr:nvCxnSpPr>
      <xdr:spPr>
        <a:xfrm>
          <a:off x="4588448" y="12176034"/>
          <a:ext cx="1539183" cy="18842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864173</xdr:colOff>
      <xdr:row>66</xdr:row>
      <xdr:rowOff>155484</xdr:rowOff>
    </xdr:from>
    <xdr:to>
      <xdr:col>7</xdr:col>
      <xdr:colOff>35095</xdr:colOff>
      <xdr:row>80</xdr:row>
      <xdr:rowOff>26497</xdr:rowOff>
    </xdr:to>
    <xdr:cxnSp macro="">
      <xdr:nvCxnSpPr>
        <xdr:cNvPr id="74" name="Connettore 2 73">
          <a:extLst>
            <a:ext uri="{FF2B5EF4-FFF2-40B4-BE49-F238E27FC236}">
              <a16:creationId xmlns:a16="http://schemas.microsoft.com/office/drawing/2014/main" id="{AFF45E24-8963-464D-AD05-516E5BB69A4A}"/>
            </a:ext>
          </a:extLst>
        </xdr:cNvPr>
        <xdr:cNvCxnSpPr>
          <a:stCxn id="5" idx="6"/>
          <a:endCxn id="45" idx="1"/>
        </xdr:cNvCxnSpPr>
      </xdr:nvCxnSpPr>
      <xdr:spPr>
        <a:xfrm>
          <a:off x="4588448" y="12176034"/>
          <a:ext cx="1533122" cy="25380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864173</xdr:colOff>
      <xdr:row>66</xdr:row>
      <xdr:rowOff>155484</xdr:rowOff>
    </xdr:from>
    <xdr:to>
      <xdr:col>7</xdr:col>
      <xdr:colOff>14313</xdr:colOff>
      <xdr:row>83</xdr:row>
      <xdr:rowOff>132350</xdr:rowOff>
    </xdr:to>
    <xdr:cxnSp macro="">
      <xdr:nvCxnSpPr>
        <xdr:cNvPr id="75" name="Connettore 2 74">
          <a:extLst>
            <a:ext uri="{FF2B5EF4-FFF2-40B4-BE49-F238E27FC236}">
              <a16:creationId xmlns:a16="http://schemas.microsoft.com/office/drawing/2014/main" id="{57406D25-73E7-40D2-BB46-FE52BB6F3763}"/>
            </a:ext>
          </a:extLst>
        </xdr:cNvPr>
        <xdr:cNvCxnSpPr>
          <a:stCxn id="5" idx="6"/>
          <a:endCxn id="47" idx="1"/>
        </xdr:cNvCxnSpPr>
      </xdr:nvCxnSpPr>
      <xdr:spPr>
        <a:xfrm>
          <a:off x="4588448" y="12176034"/>
          <a:ext cx="1512340" cy="32153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864173</xdr:colOff>
      <xdr:row>66</xdr:row>
      <xdr:rowOff>155484</xdr:rowOff>
    </xdr:from>
    <xdr:to>
      <xdr:col>7</xdr:col>
      <xdr:colOff>35961</xdr:colOff>
      <xdr:row>87</xdr:row>
      <xdr:rowOff>18048</xdr:rowOff>
    </xdr:to>
    <xdr:cxnSp macro="">
      <xdr:nvCxnSpPr>
        <xdr:cNvPr id="76" name="Connettore 2 75">
          <a:extLst>
            <a:ext uri="{FF2B5EF4-FFF2-40B4-BE49-F238E27FC236}">
              <a16:creationId xmlns:a16="http://schemas.microsoft.com/office/drawing/2014/main" id="{8DD0149C-F6F4-44FC-AB6C-94725456B975}"/>
            </a:ext>
          </a:extLst>
        </xdr:cNvPr>
        <xdr:cNvCxnSpPr>
          <a:stCxn id="5" idx="6"/>
          <a:endCxn id="48" idx="1"/>
        </xdr:cNvCxnSpPr>
      </xdr:nvCxnSpPr>
      <xdr:spPr>
        <a:xfrm>
          <a:off x="4588448" y="12176034"/>
          <a:ext cx="1533988" cy="386306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864173</xdr:colOff>
      <xdr:row>66</xdr:row>
      <xdr:rowOff>155484</xdr:rowOff>
    </xdr:from>
    <xdr:to>
      <xdr:col>7</xdr:col>
      <xdr:colOff>29033</xdr:colOff>
      <xdr:row>90</xdr:row>
      <xdr:rowOff>72600</xdr:rowOff>
    </xdr:to>
    <xdr:cxnSp macro="">
      <xdr:nvCxnSpPr>
        <xdr:cNvPr id="77" name="Connettore 2 76">
          <a:extLst>
            <a:ext uri="{FF2B5EF4-FFF2-40B4-BE49-F238E27FC236}">
              <a16:creationId xmlns:a16="http://schemas.microsoft.com/office/drawing/2014/main" id="{DC4A78ED-6F8D-4F26-82BB-6A3C7203832D}"/>
            </a:ext>
          </a:extLst>
        </xdr:cNvPr>
        <xdr:cNvCxnSpPr>
          <a:stCxn id="5" idx="6"/>
          <a:endCxn id="50" idx="1"/>
        </xdr:cNvCxnSpPr>
      </xdr:nvCxnSpPr>
      <xdr:spPr>
        <a:xfrm>
          <a:off x="4588448" y="12176034"/>
          <a:ext cx="1527060" cy="44891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864173</xdr:colOff>
      <xdr:row>66</xdr:row>
      <xdr:rowOff>155484</xdr:rowOff>
    </xdr:from>
    <xdr:to>
      <xdr:col>7</xdr:col>
      <xdr:colOff>23838</xdr:colOff>
      <xdr:row>93</xdr:row>
      <xdr:rowOff>135812</xdr:rowOff>
    </xdr:to>
    <xdr:cxnSp macro="">
      <xdr:nvCxnSpPr>
        <xdr:cNvPr id="78" name="Connettore 2 77">
          <a:extLst>
            <a:ext uri="{FF2B5EF4-FFF2-40B4-BE49-F238E27FC236}">
              <a16:creationId xmlns:a16="http://schemas.microsoft.com/office/drawing/2014/main" id="{EB1AFC64-4D9C-4399-AD79-D4B02AB4CB24}"/>
            </a:ext>
          </a:extLst>
        </xdr:cNvPr>
        <xdr:cNvCxnSpPr>
          <a:stCxn id="5" idx="6"/>
          <a:endCxn id="49" idx="1"/>
        </xdr:cNvCxnSpPr>
      </xdr:nvCxnSpPr>
      <xdr:spPr>
        <a:xfrm>
          <a:off x="4588448" y="12176034"/>
          <a:ext cx="1521865" cy="5123828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92651</xdr:colOff>
      <xdr:row>67</xdr:row>
      <xdr:rowOff>95684</xdr:rowOff>
    </xdr:from>
    <xdr:to>
      <xdr:col>14</xdr:col>
      <xdr:colOff>45893</xdr:colOff>
      <xdr:row>67</xdr:row>
      <xdr:rowOff>98281</xdr:rowOff>
    </xdr:to>
    <xdr:cxnSp macro="">
      <xdr:nvCxnSpPr>
        <xdr:cNvPr id="79" name="Connettore 2 78">
          <a:extLst>
            <a:ext uri="{FF2B5EF4-FFF2-40B4-BE49-F238E27FC236}">
              <a16:creationId xmlns:a16="http://schemas.microsoft.com/office/drawing/2014/main" id="{C2AC7174-0919-41E1-B1C4-40D1D38DDE93}"/>
            </a:ext>
          </a:extLst>
        </xdr:cNvPr>
        <xdr:cNvCxnSpPr>
          <a:stCxn id="32" idx="6"/>
          <a:endCxn id="33" idx="2"/>
        </xdr:cNvCxnSpPr>
      </xdr:nvCxnSpPr>
      <xdr:spPr>
        <a:xfrm>
          <a:off x="6579176" y="12306734"/>
          <a:ext cx="486642" cy="25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109104</xdr:colOff>
      <xdr:row>70</xdr:row>
      <xdr:rowOff>180542</xdr:rowOff>
    </xdr:from>
    <xdr:to>
      <xdr:col>14</xdr:col>
      <xdr:colOff>37234</xdr:colOff>
      <xdr:row>70</xdr:row>
      <xdr:rowOff>184872</xdr:rowOff>
    </xdr:to>
    <xdr:cxnSp macro="">
      <xdr:nvCxnSpPr>
        <xdr:cNvPr id="80" name="Connettore 2 79">
          <a:extLst>
            <a:ext uri="{FF2B5EF4-FFF2-40B4-BE49-F238E27FC236}">
              <a16:creationId xmlns:a16="http://schemas.microsoft.com/office/drawing/2014/main" id="{143A7D94-1187-4057-A8AA-A9EA47A33E24}"/>
            </a:ext>
          </a:extLst>
        </xdr:cNvPr>
        <xdr:cNvCxnSpPr>
          <a:stCxn id="39" idx="6"/>
          <a:endCxn id="38" idx="2"/>
        </xdr:cNvCxnSpPr>
      </xdr:nvCxnSpPr>
      <xdr:spPr>
        <a:xfrm>
          <a:off x="6595629" y="12963092"/>
          <a:ext cx="461530" cy="43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103909</xdr:colOff>
      <xdr:row>74</xdr:row>
      <xdr:rowOff>55851</xdr:rowOff>
    </xdr:from>
    <xdr:to>
      <xdr:col>14</xdr:col>
      <xdr:colOff>19916</xdr:colOff>
      <xdr:row>74</xdr:row>
      <xdr:rowOff>62779</xdr:rowOff>
    </xdr:to>
    <xdr:cxnSp macro="">
      <xdr:nvCxnSpPr>
        <xdr:cNvPr id="81" name="Connettore 2 80">
          <a:extLst>
            <a:ext uri="{FF2B5EF4-FFF2-40B4-BE49-F238E27FC236}">
              <a16:creationId xmlns:a16="http://schemas.microsoft.com/office/drawing/2014/main" id="{4D9EFD22-486F-420E-9EF8-71CEAACBAB5A}"/>
            </a:ext>
          </a:extLst>
        </xdr:cNvPr>
        <xdr:cNvCxnSpPr>
          <a:stCxn id="37" idx="6"/>
          <a:endCxn id="36" idx="2"/>
        </xdr:cNvCxnSpPr>
      </xdr:nvCxnSpPr>
      <xdr:spPr>
        <a:xfrm>
          <a:off x="6590434" y="13600401"/>
          <a:ext cx="449407" cy="6928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103043</xdr:colOff>
      <xdr:row>77</xdr:row>
      <xdr:rowOff>129454</xdr:rowOff>
    </xdr:from>
    <xdr:to>
      <xdr:col>14</xdr:col>
      <xdr:colOff>23379</xdr:colOff>
      <xdr:row>77</xdr:row>
      <xdr:rowOff>134648</xdr:rowOff>
    </xdr:to>
    <xdr:cxnSp macro="">
      <xdr:nvCxnSpPr>
        <xdr:cNvPr id="82" name="Connettore 2 81">
          <a:extLst>
            <a:ext uri="{FF2B5EF4-FFF2-40B4-BE49-F238E27FC236}">
              <a16:creationId xmlns:a16="http://schemas.microsoft.com/office/drawing/2014/main" id="{2477E88A-0626-46C6-9D2B-351962FF07EB}"/>
            </a:ext>
          </a:extLst>
        </xdr:cNvPr>
        <xdr:cNvCxnSpPr>
          <a:stCxn id="35" idx="6"/>
          <a:endCxn id="34" idx="2"/>
        </xdr:cNvCxnSpPr>
      </xdr:nvCxnSpPr>
      <xdr:spPr>
        <a:xfrm>
          <a:off x="6589568" y="14245504"/>
          <a:ext cx="453736" cy="51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96982</xdr:colOff>
      <xdr:row>81</xdr:row>
      <xdr:rowOff>21215</xdr:rowOff>
    </xdr:from>
    <xdr:to>
      <xdr:col>14</xdr:col>
      <xdr:colOff>24246</xdr:colOff>
      <xdr:row>81</xdr:row>
      <xdr:rowOff>34204</xdr:rowOff>
    </xdr:to>
    <xdr:cxnSp macro="">
      <xdr:nvCxnSpPr>
        <xdr:cNvPr id="83" name="Connettore 2 82">
          <a:extLst>
            <a:ext uri="{FF2B5EF4-FFF2-40B4-BE49-F238E27FC236}">
              <a16:creationId xmlns:a16="http://schemas.microsoft.com/office/drawing/2014/main" id="{B73C7227-8CB6-454C-8A68-74D556C090BC}"/>
            </a:ext>
          </a:extLst>
        </xdr:cNvPr>
        <xdr:cNvCxnSpPr>
          <a:stCxn id="45" idx="6"/>
          <a:endCxn id="46" idx="2"/>
        </xdr:cNvCxnSpPr>
      </xdr:nvCxnSpPr>
      <xdr:spPr>
        <a:xfrm>
          <a:off x="6583507" y="14899265"/>
          <a:ext cx="460664" cy="12989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47625</xdr:rowOff>
    </xdr:from>
    <xdr:to>
      <xdr:col>9</xdr:col>
      <xdr:colOff>314325</xdr:colOff>
      <xdr:row>80</xdr:row>
      <xdr:rowOff>161925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F8A5AA91-F278-412B-B929-60C9EFF61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4475"/>
          <a:ext cx="11811000" cy="1031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18</xdr:col>
      <xdr:colOff>238125</xdr:colOff>
      <xdr:row>42</xdr:row>
      <xdr:rowOff>161925</xdr:rowOff>
    </xdr:from>
    <xdr:ext cx="507383" cy="264560"/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D7308402-2196-4AB0-BAA2-806EF98C57FF}"/>
            </a:ext>
          </a:extLst>
        </xdr:cNvPr>
        <xdr:cNvSpPr txBox="1"/>
      </xdr:nvSpPr>
      <xdr:spPr>
        <a:xfrm>
          <a:off x="19002375" y="8382000"/>
          <a:ext cx="5073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5,8 m</a:t>
          </a:r>
        </a:p>
      </xdr:txBody>
    </xdr:sp>
    <xdr:clientData/>
  </xdr:oneCellAnchor>
  <xdr:oneCellAnchor>
    <xdr:from>
      <xdr:col>13</xdr:col>
      <xdr:colOff>342900</xdr:colOff>
      <xdr:row>33</xdr:row>
      <xdr:rowOff>47625</xdr:rowOff>
    </xdr:from>
    <xdr:ext cx="507383" cy="264560"/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55D95EEA-8FFC-4EEC-B19A-7D84D1550073}"/>
            </a:ext>
          </a:extLst>
        </xdr:cNvPr>
        <xdr:cNvSpPr txBox="1"/>
      </xdr:nvSpPr>
      <xdr:spPr>
        <a:xfrm>
          <a:off x="16059150" y="6467475"/>
          <a:ext cx="5073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0,8 m</a:t>
          </a:r>
        </a:p>
      </xdr:txBody>
    </xdr:sp>
    <xdr:clientData/>
  </xdr:oneCellAnchor>
  <xdr:twoCellAnchor>
    <xdr:from>
      <xdr:col>14</xdr:col>
      <xdr:colOff>571500</xdr:colOff>
      <xdr:row>34</xdr:row>
      <xdr:rowOff>180975</xdr:rowOff>
    </xdr:from>
    <xdr:to>
      <xdr:col>14</xdr:col>
      <xdr:colOff>581025</xdr:colOff>
      <xdr:row>41</xdr:row>
      <xdr:rowOff>180975</xdr:rowOff>
    </xdr:to>
    <xdr:cxnSp macro="">
      <xdr:nvCxnSpPr>
        <xdr:cNvPr id="14" name="Connettore 2 13">
          <a:extLst>
            <a:ext uri="{FF2B5EF4-FFF2-40B4-BE49-F238E27FC236}">
              <a16:creationId xmlns:a16="http://schemas.microsoft.com/office/drawing/2014/main" id="{60A3134C-F67E-48A0-942C-0DC573BA26D6}"/>
            </a:ext>
          </a:extLst>
        </xdr:cNvPr>
        <xdr:cNvCxnSpPr/>
      </xdr:nvCxnSpPr>
      <xdr:spPr>
        <a:xfrm>
          <a:off x="16897350" y="6781800"/>
          <a:ext cx="9525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561975</xdr:colOff>
      <xdr:row>37</xdr:row>
      <xdr:rowOff>228600</xdr:rowOff>
    </xdr:from>
    <xdr:ext cx="507383" cy="264560"/>
    <xdr:sp macro="" textlink="">
      <xdr:nvSpPr>
        <xdr:cNvPr id="15" name="CasellaDiTesto 14">
          <a:extLst>
            <a:ext uri="{FF2B5EF4-FFF2-40B4-BE49-F238E27FC236}">
              <a16:creationId xmlns:a16="http://schemas.microsoft.com/office/drawing/2014/main" id="{DE269B22-4EB8-4237-837E-B71057DDCE4B}"/>
            </a:ext>
          </a:extLst>
        </xdr:cNvPr>
        <xdr:cNvSpPr txBox="1"/>
      </xdr:nvSpPr>
      <xdr:spPr>
        <a:xfrm>
          <a:off x="16887825" y="7400925"/>
          <a:ext cx="5073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1,2 m</a:t>
          </a:r>
        </a:p>
      </xdr:txBody>
    </xdr:sp>
    <xdr:clientData/>
  </xdr:oneCellAnchor>
  <xdr:twoCellAnchor>
    <xdr:from>
      <xdr:col>13</xdr:col>
      <xdr:colOff>66675</xdr:colOff>
      <xdr:row>35</xdr:row>
      <xdr:rowOff>9525</xdr:rowOff>
    </xdr:from>
    <xdr:to>
      <xdr:col>14</xdr:col>
      <xdr:colOff>457200</xdr:colOff>
      <xdr:row>41</xdr:row>
      <xdr:rowOff>180975</xdr:rowOff>
    </xdr:to>
    <xdr:sp macro="" textlink="">
      <xdr:nvSpPr>
        <xdr:cNvPr id="2" name="Rettangolo con angoli arrotondati 1">
          <a:extLst>
            <a:ext uri="{FF2B5EF4-FFF2-40B4-BE49-F238E27FC236}">
              <a16:creationId xmlns:a16="http://schemas.microsoft.com/office/drawing/2014/main" id="{1D9B0BFC-6617-4508-ACA2-253A006CD4B1}"/>
            </a:ext>
          </a:extLst>
        </xdr:cNvPr>
        <xdr:cNvSpPr/>
      </xdr:nvSpPr>
      <xdr:spPr>
        <a:xfrm>
          <a:off x="15782925" y="6800850"/>
          <a:ext cx="1000125" cy="14097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2400"/>
            <a:t>WIP</a:t>
          </a:r>
        </a:p>
      </xdr:txBody>
    </xdr:sp>
    <xdr:clientData/>
  </xdr:twoCellAnchor>
  <xdr:twoCellAnchor>
    <xdr:from>
      <xdr:col>13</xdr:col>
      <xdr:colOff>85725</xdr:colOff>
      <xdr:row>34</xdr:row>
      <xdr:rowOff>85725</xdr:rowOff>
    </xdr:from>
    <xdr:to>
      <xdr:col>14</xdr:col>
      <xdr:colOff>476250</xdr:colOff>
      <xdr:row>34</xdr:row>
      <xdr:rowOff>85725</xdr:rowOff>
    </xdr:to>
    <xdr:cxnSp macro="">
      <xdr:nvCxnSpPr>
        <xdr:cNvPr id="16" name="Connettore 2 15">
          <a:extLst>
            <a:ext uri="{FF2B5EF4-FFF2-40B4-BE49-F238E27FC236}">
              <a16:creationId xmlns:a16="http://schemas.microsoft.com/office/drawing/2014/main" id="{39E9DFFA-D2E8-455B-B3CB-E06FCD7665FB}"/>
            </a:ext>
          </a:extLst>
        </xdr:cNvPr>
        <xdr:cNvCxnSpPr/>
      </xdr:nvCxnSpPr>
      <xdr:spPr>
        <a:xfrm>
          <a:off x="15801975" y="6696075"/>
          <a:ext cx="10001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42</xdr:row>
      <xdr:rowOff>161925</xdr:rowOff>
    </xdr:from>
    <xdr:to>
      <xdr:col>25</xdr:col>
      <xdr:colOff>0</xdr:colOff>
      <xdr:row>42</xdr:row>
      <xdr:rowOff>171450</xdr:rowOff>
    </xdr:to>
    <xdr:cxnSp macro="">
      <xdr:nvCxnSpPr>
        <xdr:cNvPr id="18" name="Connettore 2 17">
          <a:extLst>
            <a:ext uri="{FF2B5EF4-FFF2-40B4-BE49-F238E27FC236}">
              <a16:creationId xmlns:a16="http://schemas.microsoft.com/office/drawing/2014/main" id="{2A401429-F8BA-44DB-8B75-3E9EE198D2F8}"/>
            </a:ext>
          </a:extLst>
        </xdr:cNvPr>
        <xdr:cNvCxnSpPr/>
      </xdr:nvCxnSpPr>
      <xdr:spPr>
        <a:xfrm flipV="1">
          <a:off x="15697200" y="8391525"/>
          <a:ext cx="70961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C05E-9ACF-4101-85DF-AE2946462F4C}">
  <dimension ref="A1:AR114"/>
  <sheetViews>
    <sheetView tabSelected="1" zoomScaleNormal="100" workbookViewId="0"/>
  </sheetViews>
  <sheetFormatPr defaultColWidth="9.140625" defaultRowHeight="15" x14ac:dyDescent="0.25"/>
  <cols>
    <col min="1" max="1" width="14" style="7" bestFit="1" customWidth="1"/>
    <col min="2" max="2" width="26.140625" style="7" bestFit="1" customWidth="1"/>
    <col min="3" max="5" width="15.7109375" style="7" customWidth="1"/>
    <col min="6" max="14" width="2" style="7" bestFit="1" customWidth="1"/>
    <col min="15" max="29" width="3.28515625" style="7" bestFit="1" customWidth="1"/>
    <col min="30" max="30" width="3.140625" style="7" customWidth="1"/>
    <col min="31" max="43" width="3.28515625" style="7" bestFit="1" customWidth="1"/>
    <col min="44" max="44" width="3.7109375" style="7" customWidth="1"/>
    <col min="45" max="45" width="15" style="7" bestFit="1" customWidth="1"/>
    <col min="46" max="16384" width="9.140625" style="7"/>
  </cols>
  <sheetData>
    <row r="1" spans="1:44" x14ac:dyDescent="0.25">
      <c r="A1" s="274" t="s">
        <v>176</v>
      </c>
      <c r="B1" s="269"/>
    </row>
    <row r="2" spans="1:44" x14ac:dyDescent="0.25">
      <c r="A2" s="272" t="s">
        <v>177</v>
      </c>
      <c r="B2" s="273"/>
    </row>
    <row r="3" spans="1:44" ht="15.75" thickBot="1" x14ac:dyDescent="0.3">
      <c r="A3" s="270" t="s">
        <v>178</v>
      </c>
      <c r="B3" s="271"/>
      <c r="F3" s="268"/>
    </row>
    <row r="4" spans="1:44" x14ac:dyDescent="0.25">
      <c r="A4" s="6"/>
      <c r="B4" s="6"/>
      <c r="C4" s="6"/>
      <c r="D4" s="6"/>
      <c r="E4" s="6"/>
      <c r="F4" s="267"/>
      <c r="G4" s="218" t="s">
        <v>0</v>
      </c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18"/>
      <c r="AL4" s="218"/>
      <c r="AM4" s="218"/>
      <c r="AN4" s="218"/>
      <c r="AO4" s="218"/>
      <c r="AP4" s="218"/>
      <c r="AQ4" s="218"/>
      <c r="AR4" s="218"/>
    </row>
    <row r="5" spans="1:44" x14ac:dyDescent="0.25">
      <c r="A5" s="4" t="s">
        <v>63</v>
      </c>
      <c r="B5" s="4" t="s">
        <v>62</v>
      </c>
      <c r="C5" s="4" t="s">
        <v>61</v>
      </c>
      <c r="D5" s="2" t="s">
        <v>64</v>
      </c>
      <c r="E5" s="4" t="s">
        <v>65</v>
      </c>
      <c r="F5" s="4">
        <v>1</v>
      </c>
      <c r="G5" s="4">
        <v>2</v>
      </c>
      <c r="H5" s="4">
        <v>3</v>
      </c>
      <c r="I5" s="4">
        <v>4</v>
      </c>
      <c r="J5" s="4">
        <v>5</v>
      </c>
      <c r="K5" s="4">
        <v>6</v>
      </c>
      <c r="L5" s="4">
        <v>7</v>
      </c>
      <c r="M5" s="4">
        <v>8</v>
      </c>
      <c r="N5" s="4">
        <v>9</v>
      </c>
      <c r="O5" s="4">
        <v>10</v>
      </c>
      <c r="P5" s="4">
        <v>11</v>
      </c>
      <c r="Q5" s="4">
        <v>12</v>
      </c>
      <c r="R5" s="4">
        <v>13</v>
      </c>
      <c r="S5" s="4">
        <v>14</v>
      </c>
      <c r="T5" s="4">
        <v>15</v>
      </c>
      <c r="U5" s="4">
        <v>16</v>
      </c>
      <c r="V5" s="4">
        <v>17</v>
      </c>
      <c r="W5" s="4">
        <v>18</v>
      </c>
      <c r="X5" s="4">
        <v>19</v>
      </c>
      <c r="Y5" s="4">
        <v>20</v>
      </c>
      <c r="Z5" s="4">
        <v>21</v>
      </c>
      <c r="AA5" s="4">
        <v>22</v>
      </c>
      <c r="AB5" s="4">
        <v>23</v>
      </c>
      <c r="AC5" s="4">
        <v>24</v>
      </c>
      <c r="AD5" s="4">
        <v>25</v>
      </c>
      <c r="AE5" s="4">
        <v>26</v>
      </c>
      <c r="AF5" s="4">
        <v>27</v>
      </c>
      <c r="AG5" s="4">
        <v>28</v>
      </c>
      <c r="AH5" s="4">
        <v>29</v>
      </c>
      <c r="AI5" s="4">
        <v>30</v>
      </c>
      <c r="AJ5" s="4">
        <v>31</v>
      </c>
      <c r="AK5" s="4">
        <v>32</v>
      </c>
      <c r="AL5" s="4">
        <v>33</v>
      </c>
      <c r="AM5" s="4">
        <v>34</v>
      </c>
      <c r="AN5" s="4">
        <v>35</v>
      </c>
      <c r="AO5" s="4">
        <v>36</v>
      </c>
      <c r="AP5" s="4">
        <v>37</v>
      </c>
      <c r="AQ5" s="4">
        <v>38</v>
      </c>
      <c r="AR5" s="4">
        <v>39</v>
      </c>
    </row>
    <row r="6" spans="1:44" x14ac:dyDescent="0.25">
      <c r="A6" s="5">
        <v>1</v>
      </c>
      <c r="B6" s="5" t="s">
        <v>2</v>
      </c>
      <c r="C6" s="5">
        <v>1</v>
      </c>
      <c r="D6" s="5">
        <v>17</v>
      </c>
      <c r="E6" s="5">
        <v>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x14ac:dyDescent="0.25">
      <c r="A7" s="5">
        <v>2</v>
      </c>
      <c r="B7" s="5" t="s">
        <v>3</v>
      </c>
      <c r="C7" s="5">
        <v>1</v>
      </c>
      <c r="D7" s="5">
        <v>9</v>
      </c>
      <c r="E7" s="5">
        <v>1</v>
      </c>
      <c r="F7" s="5">
        <v>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x14ac:dyDescent="0.25">
      <c r="A8" s="5">
        <v>3</v>
      </c>
      <c r="B8" s="5" t="s">
        <v>4</v>
      </c>
      <c r="C8" s="5">
        <v>1</v>
      </c>
      <c r="D8" s="5">
        <v>17</v>
      </c>
      <c r="E8" s="5">
        <v>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x14ac:dyDescent="0.25">
      <c r="A9" s="5">
        <v>4</v>
      </c>
      <c r="B9" s="5" t="s">
        <v>5</v>
      </c>
      <c r="C9" s="5">
        <v>1</v>
      </c>
      <c r="D9" s="5">
        <v>9</v>
      </c>
      <c r="E9" s="5">
        <v>1</v>
      </c>
      <c r="F9" s="5"/>
      <c r="G9" s="5"/>
      <c r="H9" s="5">
        <v>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x14ac:dyDescent="0.25">
      <c r="A10" s="5">
        <v>5</v>
      </c>
      <c r="B10" s="5" t="s">
        <v>71</v>
      </c>
      <c r="C10" s="5">
        <v>1</v>
      </c>
      <c r="D10" s="5">
        <v>20</v>
      </c>
      <c r="E10" s="5">
        <v>4</v>
      </c>
      <c r="F10" s="5">
        <v>1</v>
      </c>
      <c r="G10" s="5">
        <v>1</v>
      </c>
      <c r="H10" s="5">
        <v>1</v>
      </c>
      <c r="I10" s="5">
        <v>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x14ac:dyDescent="0.25">
      <c r="A11" s="5">
        <v>6</v>
      </c>
      <c r="B11" s="5" t="s">
        <v>7</v>
      </c>
      <c r="C11" s="5">
        <v>1</v>
      </c>
      <c r="D11" s="5">
        <v>18</v>
      </c>
      <c r="E11" s="5">
        <v>2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x14ac:dyDescent="0.25">
      <c r="A12" s="5">
        <v>7</v>
      </c>
      <c r="B12" s="5" t="s">
        <v>8</v>
      </c>
      <c r="C12" s="5">
        <v>2</v>
      </c>
      <c r="D12" s="5">
        <v>27</v>
      </c>
      <c r="E12" s="5">
        <v>2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x14ac:dyDescent="0.25">
      <c r="A13" s="5">
        <v>8</v>
      </c>
      <c r="B13" s="5" t="s">
        <v>9</v>
      </c>
      <c r="C13" s="5">
        <v>1</v>
      </c>
      <c r="D13" s="5">
        <v>9</v>
      </c>
      <c r="E13" s="5">
        <v>1</v>
      </c>
      <c r="F13" s="5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x14ac:dyDescent="0.25">
      <c r="A14" s="5">
        <v>9</v>
      </c>
      <c r="B14" s="5" t="s">
        <v>10</v>
      </c>
      <c r="C14" s="5">
        <v>1</v>
      </c>
      <c r="D14" s="5">
        <v>9</v>
      </c>
      <c r="E14" s="5">
        <v>1</v>
      </c>
      <c r="F14" s="5"/>
      <c r="G14" s="5"/>
      <c r="H14" s="5">
        <v>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x14ac:dyDescent="0.25">
      <c r="A15" s="8">
        <v>10</v>
      </c>
      <c r="B15" s="8" t="s">
        <v>72</v>
      </c>
      <c r="C15" s="5">
        <v>2</v>
      </c>
      <c r="D15" s="5">
        <v>22</v>
      </c>
      <c r="E15" s="5">
        <v>4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x14ac:dyDescent="0.25">
      <c r="A16" s="8">
        <v>11</v>
      </c>
      <c r="B16" s="8" t="s">
        <v>7</v>
      </c>
      <c r="C16" s="5">
        <v>1</v>
      </c>
      <c r="D16" s="5">
        <v>18</v>
      </c>
      <c r="E16" s="5">
        <v>2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x14ac:dyDescent="0.25">
      <c r="A17" s="8">
        <v>12</v>
      </c>
      <c r="B17" s="8" t="s">
        <v>74</v>
      </c>
      <c r="C17" s="5">
        <v>2</v>
      </c>
      <c r="D17" s="5">
        <v>7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x14ac:dyDescent="0.25">
      <c r="A18" s="5">
        <v>13</v>
      </c>
      <c r="B18" s="5" t="s">
        <v>11</v>
      </c>
      <c r="C18" s="5">
        <v>1</v>
      </c>
      <c r="D18" s="5">
        <v>9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x14ac:dyDescent="0.25">
      <c r="A19" s="5">
        <v>14</v>
      </c>
      <c r="B19" s="5" t="s">
        <v>12</v>
      </c>
      <c r="C19" s="5">
        <v>2</v>
      </c>
      <c r="D19" s="5">
        <v>24</v>
      </c>
      <c r="E19" s="5">
        <v>2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x14ac:dyDescent="0.25">
      <c r="A20" s="5">
        <v>15</v>
      </c>
      <c r="B20" s="8" t="s">
        <v>13</v>
      </c>
      <c r="C20" s="5">
        <v>1</v>
      </c>
      <c r="D20" s="5">
        <v>32</v>
      </c>
      <c r="E20" s="5">
        <v>4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x14ac:dyDescent="0.25">
      <c r="A21" s="5">
        <v>16</v>
      </c>
      <c r="B21" s="8" t="s">
        <v>14</v>
      </c>
      <c r="C21" s="5">
        <v>1</v>
      </c>
      <c r="D21" s="5">
        <v>32</v>
      </c>
      <c r="E21" s="5">
        <v>4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x14ac:dyDescent="0.25">
      <c r="A22" s="5">
        <v>17</v>
      </c>
      <c r="B22" s="8" t="s">
        <v>15</v>
      </c>
      <c r="C22" s="5">
        <v>1</v>
      </c>
      <c r="D22" s="5">
        <v>32</v>
      </c>
      <c r="E22" s="5">
        <v>4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15" customHeight="1" x14ac:dyDescent="0.25">
      <c r="A23" s="5">
        <v>18</v>
      </c>
      <c r="B23" s="8" t="s">
        <v>16</v>
      </c>
      <c r="C23" s="5">
        <v>1</v>
      </c>
      <c r="D23" s="5">
        <v>32</v>
      </c>
      <c r="E23" s="5">
        <v>4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15" customHeight="1" x14ac:dyDescent="0.25">
      <c r="A24" s="5">
        <v>19</v>
      </c>
      <c r="B24" s="8" t="s">
        <v>74</v>
      </c>
      <c r="C24" s="5">
        <v>2</v>
      </c>
      <c r="D24" s="5">
        <v>7</v>
      </c>
      <c r="E24" s="5">
        <v>2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x14ac:dyDescent="0.25">
      <c r="A25" s="5">
        <v>20</v>
      </c>
      <c r="B25" s="8" t="s">
        <v>17</v>
      </c>
      <c r="C25" s="5">
        <v>1</v>
      </c>
      <c r="D25" s="5">
        <v>8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x14ac:dyDescent="0.25">
      <c r="A26" s="5">
        <v>21</v>
      </c>
      <c r="B26" s="8" t="s">
        <v>18</v>
      </c>
      <c r="C26" s="5">
        <v>1</v>
      </c>
      <c r="D26" s="5">
        <v>11</v>
      </c>
      <c r="E26" s="5">
        <v>2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/>
      <c r="Q26" s="5"/>
      <c r="R26" s="5"/>
      <c r="S26" s="5"/>
      <c r="T26" s="5"/>
      <c r="U26" s="5"/>
      <c r="V26" s="5"/>
      <c r="W26" s="5"/>
      <c r="X26" s="5"/>
      <c r="Y26" s="5">
        <v>1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x14ac:dyDescent="0.25">
      <c r="A27" s="5">
        <v>22</v>
      </c>
      <c r="B27" s="8" t="s">
        <v>19</v>
      </c>
      <c r="C27" s="5">
        <v>1</v>
      </c>
      <c r="D27" s="5">
        <v>8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x14ac:dyDescent="0.25">
      <c r="A28" s="5">
        <v>23</v>
      </c>
      <c r="B28" s="8" t="s">
        <v>18</v>
      </c>
      <c r="C28" s="5">
        <v>1</v>
      </c>
      <c r="D28" s="5">
        <v>11</v>
      </c>
      <c r="E28" s="5">
        <v>2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>
        <v>1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x14ac:dyDescent="0.25">
      <c r="A29" s="8">
        <v>24</v>
      </c>
      <c r="B29" s="8" t="s">
        <v>20</v>
      </c>
      <c r="C29" s="5">
        <v>1</v>
      </c>
      <c r="D29" s="5">
        <v>8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x14ac:dyDescent="0.25">
      <c r="A30" s="8">
        <v>25</v>
      </c>
      <c r="B30" s="8" t="s">
        <v>18</v>
      </c>
      <c r="C30" s="5">
        <v>1</v>
      </c>
      <c r="D30" s="5">
        <v>11</v>
      </c>
      <c r="E30" s="5">
        <v>2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>
        <v>1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x14ac:dyDescent="0.25">
      <c r="A31" s="8">
        <v>26</v>
      </c>
      <c r="B31" s="8" t="s">
        <v>21</v>
      </c>
      <c r="C31" s="5">
        <v>1</v>
      </c>
      <c r="D31" s="5">
        <v>8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x14ac:dyDescent="0.25">
      <c r="A32" s="5">
        <v>27</v>
      </c>
      <c r="B32" s="8" t="s">
        <v>18</v>
      </c>
      <c r="C32" s="5">
        <v>1</v>
      </c>
      <c r="D32" s="5">
        <v>11</v>
      </c>
      <c r="E32" s="5">
        <v>2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>
        <v>1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x14ac:dyDescent="0.25">
      <c r="A33" s="5">
        <v>28</v>
      </c>
      <c r="B33" s="8" t="s">
        <v>22</v>
      </c>
      <c r="C33" s="5">
        <v>1</v>
      </c>
      <c r="D33" s="5">
        <v>8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x14ac:dyDescent="0.25">
      <c r="A34" s="5">
        <v>29</v>
      </c>
      <c r="B34" s="8" t="s">
        <v>18</v>
      </c>
      <c r="C34" s="5">
        <v>1</v>
      </c>
      <c r="D34" s="5">
        <v>11</v>
      </c>
      <c r="E34" s="5">
        <v>2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>
        <v>1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x14ac:dyDescent="0.25">
      <c r="A35" s="5">
        <v>30</v>
      </c>
      <c r="B35" s="8" t="s">
        <v>23</v>
      </c>
      <c r="C35" s="5">
        <v>1</v>
      </c>
      <c r="D35" s="5">
        <v>8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x14ac:dyDescent="0.25">
      <c r="A36" s="5">
        <v>31</v>
      </c>
      <c r="B36" s="8" t="s">
        <v>18</v>
      </c>
      <c r="C36" s="5">
        <v>1</v>
      </c>
      <c r="D36" s="5">
        <v>11</v>
      </c>
      <c r="E36" s="5">
        <v>2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>
        <v>1</v>
      </c>
      <c r="AJ36" s="5"/>
      <c r="AK36" s="5"/>
      <c r="AL36" s="5"/>
      <c r="AM36" s="5"/>
      <c r="AN36" s="5"/>
      <c r="AO36" s="5"/>
      <c r="AP36" s="5"/>
      <c r="AQ36" s="5"/>
      <c r="AR36" s="5"/>
    </row>
    <row r="37" spans="1:44" x14ac:dyDescent="0.25">
      <c r="A37" s="5">
        <v>32</v>
      </c>
      <c r="B37" s="8" t="s">
        <v>24</v>
      </c>
      <c r="C37" s="5">
        <v>1</v>
      </c>
      <c r="D37" s="5">
        <v>8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x14ac:dyDescent="0.25">
      <c r="A38" s="5">
        <v>33</v>
      </c>
      <c r="B38" s="8" t="s">
        <v>18</v>
      </c>
      <c r="C38" s="5">
        <v>1</v>
      </c>
      <c r="D38" s="5">
        <v>11</v>
      </c>
      <c r="E38" s="5">
        <v>2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>
        <v>1</v>
      </c>
      <c r="AL38" s="5"/>
      <c r="AM38" s="5"/>
      <c r="AN38" s="5"/>
      <c r="AO38" s="5"/>
      <c r="AP38" s="5"/>
      <c r="AQ38" s="5"/>
      <c r="AR38" s="5"/>
    </row>
    <row r="39" spans="1:44" x14ac:dyDescent="0.25">
      <c r="A39" s="5">
        <v>34</v>
      </c>
      <c r="B39" s="8" t="s">
        <v>25</v>
      </c>
      <c r="C39" s="5">
        <v>1</v>
      </c>
      <c r="D39" s="5">
        <v>8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x14ac:dyDescent="0.25">
      <c r="A40" s="5">
        <v>35</v>
      </c>
      <c r="B40" s="8" t="s">
        <v>18</v>
      </c>
      <c r="C40" s="5">
        <v>1</v>
      </c>
      <c r="D40" s="5">
        <v>11</v>
      </c>
      <c r="E40" s="5">
        <v>2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>
        <v>1</v>
      </c>
      <c r="AN40" s="5"/>
      <c r="AO40" s="5"/>
      <c r="AP40" s="5"/>
      <c r="AQ40" s="5"/>
      <c r="AR40" s="5"/>
    </row>
    <row r="41" spans="1:44" x14ac:dyDescent="0.25">
      <c r="A41" s="5">
        <v>36</v>
      </c>
      <c r="B41" s="5" t="s">
        <v>26</v>
      </c>
      <c r="C41" s="5">
        <v>1</v>
      </c>
      <c r="D41" s="5">
        <v>37</v>
      </c>
      <c r="E41" s="5">
        <v>2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x14ac:dyDescent="0.25">
      <c r="A42" s="5">
        <v>37</v>
      </c>
      <c r="B42" s="5" t="s">
        <v>27</v>
      </c>
      <c r="C42" s="5">
        <v>1</v>
      </c>
      <c r="D42" s="5">
        <v>37</v>
      </c>
      <c r="E42" s="5">
        <v>2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x14ac:dyDescent="0.25">
      <c r="A43" s="8">
        <v>38</v>
      </c>
      <c r="B43" s="5" t="s">
        <v>66</v>
      </c>
      <c r="C43" s="5">
        <v>1</v>
      </c>
      <c r="D43" s="5">
        <v>35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x14ac:dyDescent="0.25">
      <c r="A44" s="8">
        <v>39</v>
      </c>
      <c r="B44" s="5" t="s">
        <v>67</v>
      </c>
      <c r="C44" s="5">
        <v>1</v>
      </c>
      <c r="D44" s="5">
        <v>35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6" spans="1:44" ht="15.75" thickBot="1" x14ac:dyDescent="0.3"/>
    <row r="47" spans="1:44" x14ac:dyDescent="0.25">
      <c r="B47" s="9" t="s">
        <v>78</v>
      </c>
    </row>
    <row r="48" spans="1:44" ht="15.75" thickBot="1" x14ac:dyDescent="0.3">
      <c r="B48" s="10" t="s">
        <v>79</v>
      </c>
    </row>
    <row r="51" spans="4:35" x14ac:dyDescent="0.25">
      <c r="D51" s="11"/>
    </row>
    <row r="52" spans="4:35" x14ac:dyDescent="0.25">
      <c r="D52" s="12"/>
    </row>
    <row r="53" spans="4:35" ht="15.75" x14ac:dyDescent="0.25">
      <c r="AI53" s="234" t="s">
        <v>169</v>
      </c>
    </row>
    <row r="54" spans="4:35" ht="15.75" x14ac:dyDescent="0.25">
      <c r="AI54" s="234" t="s">
        <v>170</v>
      </c>
    </row>
    <row r="66" spans="27:30" x14ac:dyDescent="0.25">
      <c r="AA66" s="13"/>
      <c r="AB66" s="13"/>
      <c r="AC66" s="13"/>
    </row>
    <row r="67" spans="27:30" x14ac:dyDescent="0.25">
      <c r="AA67" s="13"/>
      <c r="AB67" s="13"/>
      <c r="AC67" s="13"/>
    </row>
    <row r="73" spans="27:30" x14ac:dyDescent="0.25">
      <c r="AD73" s="12"/>
    </row>
    <row r="113" spans="6:20" x14ac:dyDescent="0.25"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6:20" x14ac:dyDescent="0.25"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</sheetData>
  <mergeCells count="1">
    <mergeCell ref="G4:AR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A9B1-1C5A-46A3-A3F5-81BFB72DC837}">
  <dimension ref="A1:BE54"/>
  <sheetViews>
    <sheetView zoomScaleNormal="100" workbookViewId="0"/>
  </sheetViews>
  <sheetFormatPr defaultColWidth="9.140625" defaultRowHeight="15" x14ac:dyDescent="0.25"/>
  <cols>
    <col min="1" max="1" width="14" style="7" bestFit="1" customWidth="1"/>
    <col min="2" max="2" width="28.28515625" style="7" bestFit="1" customWidth="1"/>
    <col min="3" max="3" width="10.7109375" style="7" bestFit="1" customWidth="1"/>
    <col min="4" max="4" width="15.7109375" style="7" bestFit="1" customWidth="1"/>
    <col min="5" max="5" width="15.28515625" style="7" bestFit="1" customWidth="1"/>
    <col min="6" max="6" width="15" style="7" bestFit="1" customWidth="1"/>
    <col min="7" max="7" width="16.28515625" style="7" bestFit="1" customWidth="1"/>
    <col min="8" max="8" width="9.140625" style="7" customWidth="1"/>
    <col min="9" max="16384" width="9.140625" style="7"/>
  </cols>
  <sheetData>
    <row r="1" spans="1:57" ht="15.75" thickBot="1" x14ac:dyDescent="0.3">
      <c r="A1" s="6"/>
      <c r="B1" s="6"/>
      <c r="C1" s="6"/>
      <c r="D1" s="6"/>
      <c r="E1" s="6"/>
      <c r="F1" s="6"/>
      <c r="G1" s="6"/>
      <c r="H1" s="219" t="s">
        <v>80</v>
      </c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1"/>
      <c r="AB1" s="6"/>
      <c r="AC1" s="6"/>
      <c r="AD1" s="6"/>
      <c r="AE1" s="14"/>
      <c r="AF1" s="6"/>
    </row>
    <row r="2" spans="1:57" ht="15.75" thickBot="1" x14ac:dyDescent="0.3">
      <c r="A2" s="15" t="s">
        <v>63</v>
      </c>
      <c r="B2" s="16" t="s">
        <v>62</v>
      </c>
      <c r="C2" s="17" t="s">
        <v>81</v>
      </c>
      <c r="D2" s="17" t="s">
        <v>64</v>
      </c>
      <c r="E2" s="18" t="s">
        <v>65</v>
      </c>
      <c r="F2" s="14"/>
      <c r="G2" s="19" t="s">
        <v>63</v>
      </c>
      <c r="H2" s="20">
        <v>1</v>
      </c>
      <c r="I2" s="21">
        <v>2</v>
      </c>
      <c r="J2" s="21">
        <v>3</v>
      </c>
      <c r="K2" s="21">
        <v>4</v>
      </c>
      <c r="L2" s="21">
        <v>5</v>
      </c>
      <c r="M2" s="21">
        <v>6</v>
      </c>
      <c r="N2" s="21">
        <v>7</v>
      </c>
      <c r="O2" s="21">
        <v>8</v>
      </c>
      <c r="P2" s="21">
        <v>9</v>
      </c>
      <c r="Q2" s="21">
        <v>10</v>
      </c>
      <c r="R2" s="21">
        <v>11</v>
      </c>
      <c r="S2" s="21">
        <v>12</v>
      </c>
      <c r="T2" s="21">
        <v>13</v>
      </c>
      <c r="U2" s="21">
        <v>14</v>
      </c>
      <c r="V2" s="21">
        <v>15</v>
      </c>
      <c r="W2" s="21">
        <v>16</v>
      </c>
      <c r="X2" s="21">
        <v>17</v>
      </c>
      <c r="Y2" s="21">
        <v>18</v>
      </c>
      <c r="Z2" s="21">
        <v>19</v>
      </c>
      <c r="AA2" s="22">
        <v>20</v>
      </c>
      <c r="AG2" s="14"/>
      <c r="AI2" s="14"/>
      <c r="AK2" s="14"/>
      <c r="AM2" s="14"/>
      <c r="AO2" s="14"/>
      <c r="AQ2" s="14"/>
      <c r="AS2" s="14"/>
      <c r="AU2" s="14"/>
      <c r="AW2" s="14"/>
      <c r="AY2" s="14"/>
      <c r="BA2" s="14"/>
      <c r="BC2" s="14"/>
      <c r="BE2" s="14"/>
    </row>
    <row r="3" spans="1:57" x14ac:dyDescent="0.25">
      <c r="A3" s="23">
        <v>1</v>
      </c>
      <c r="B3" s="24" t="s">
        <v>2</v>
      </c>
      <c r="C3" s="25">
        <v>1</v>
      </c>
      <c r="D3" s="25">
        <v>17</v>
      </c>
      <c r="E3" s="26">
        <v>3</v>
      </c>
      <c r="F3" s="27"/>
      <c r="G3" s="28">
        <v>1</v>
      </c>
      <c r="H3" s="29">
        <f t="shared" ref="H3:W18" ca="1" si="0">_xlfn.NORM.INV(RAND(),$D3,$E3)</f>
        <v>14.127367147969247</v>
      </c>
      <c r="I3" s="30">
        <f t="shared" ca="1" si="0"/>
        <v>16.517861122622399</v>
      </c>
      <c r="J3" s="30">
        <f t="shared" ca="1" si="0"/>
        <v>17.972109972721547</v>
      </c>
      <c r="K3" s="30">
        <f t="shared" ca="1" si="0"/>
        <v>14.837079981136602</v>
      </c>
      <c r="L3" s="30">
        <f t="shared" ca="1" si="0"/>
        <v>12.048598191213241</v>
      </c>
      <c r="M3" s="30">
        <f t="shared" ca="1" si="0"/>
        <v>16.354855119744801</v>
      </c>
      <c r="N3" s="30">
        <f t="shared" ca="1" si="0"/>
        <v>13.681550608867578</v>
      </c>
      <c r="O3" s="30">
        <f t="shared" ca="1" si="0"/>
        <v>23.682637316253199</v>
      </c>
      <c r="P3" s="30">
        <f t="shared" ca="1" si="0"/>
        <v>15.539609617471136</v>
      </c>
      <c r="Q3" s="30">
        <f t="shared" ca="1" si="0"/>
        <v>18.753153253941786</v>
      </c>
      <c r="R3" s="30">
        <f t="shared" ca="1" si="0"/>
        <v>17.287976771378528</v>
      </c>
      <c r="S3" s="30">
        <f t="shared" ca="1" si="0"/>
        <v>19.583437220947005</v>
      </c>
      <c r="T3" s="30">
        <f t="shared" ca="1" si="0"/>
        <v>15.287155513119545</v>
      </c>
      <c r="U3" s="30">
        <f t="shared" ca="1" si="0"/>
        <v>20.362273883122903</v>
      </c>
      <c r="V3" s="30">
        <f t="shared" ca="1" si="0"/>
        <v>20.616800015292824</v>
      </c>
      <c r="W3" s="30">
        <f t="shared" ca="1" si="0"/>
        <v>12.638391995233501</v>
      </c>
      <c r="X3" s="30">
        <f t="shared" ref="R3:AA18" ca="1" si="1">_xlfn.NORM.INV(RAND(),$D3,$E3)</f>
        <v>20.96427460200907</v>
      </c>
      <c r="Y3" s="30">
        <f t="shared" ca="1" si="1"/>
        <v>18.309511818253227</v>
      </c>
      <c r="Z3" s="30">
        <f t="shared" ca="1" si="1"/>
        <v>15.363890301510526</v>
      </c>
      <c r="AA3" s="31">
        <f t="shared" ca="1" si="1"/>
        <v>15.806180589269497</v>
      </c>
      <c r="AB3" s="27"/>
      <c r="AC3" s="12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</row>
    <row r="4" spans="1:57" x14ac:dyDescent="0.25">
      <c r="A4" s="32">
        <v>2</v>
      </c>
      <c r="B4" s="33" t="s">
        <v>3</v>
      </c>
      <c r="C4" s="34">
        <v>1</v>
      </c>
      <c r="D4" s="34">
        <v>9</v>
      </c>
      <c r="E4" s="35">
        <v>1</v>
      </c>
      <c r="F4" s="27"/>
      <c r="G4" s="28">
        <v>2</v>
      </c>
      <c r="H4" s="36">
        <f t="shared" ca="1" si="0"/>
        <v>8.3679456029732737</v>
      </c>
      <c r="I4" s="37">
        <f t="shared" ca="1" si="0"/>
        <v>8.8230253469521465</v>
      </c>
      <c r="J4" s="37">
        <f t="shared" ca="1" si="0"/>
        <v>8.8049007447750274</v>
      </c>
      <c r="K4" s="37">
        <f t="shared" ca="1" si="0"/>
        <v>10.389599963747115</v>
      </c>
      <c r="L4" s="37">
        <f t="shared" ca="1" si="0"/>
        <v>7.7616738500453888</v>
      </c>
      <c r="M4" s="37">
        <f t="shared" ca="1" si="0"/>
        <v>8.774807038943008</v>
      </c>
      <c r="N4" s="37">
        <f t="shared" ca="1" si="0"/>
        <v>7.4845935772084342</v>
      </c>
      <c r="O4" s="37">
        <f t="shared" ca="1" si="0"/>
        <v>8.2269499891757363</v>
      </c>
      <c r="P4" s="37">
        <f t="shared" ca="1" si="0"/>
        <v>9.1362719684724816</v>
      </c>
      <c r="Q4" s="37">
        <f t="shared" ca="1" si="0"/>
        <v>8.9350158935907924</v>
      </c>
      <c r="R4" s="37">
        <f t="shared" ca="1" si="1"/>
        <v>7.9517434982886996</v>
      </c>
      <c r="S4" s="37">
        <f t="shared" ca="1" si="1"/>
        <v>9.7730096099742791</v>
      </c>
      <c r="T4" s="37">
        <f t="shared" ca="1" si="1"/>
        <v>8.2059835992838686</v>
      </c>
      <c r="U4" s="37">
        <f t="shared" ca="1" si="1"/>
        <v>8.0214367151107879</v>
      </c>
      <c r="V4" s="37">
        <f t="shared" ca="1" si="1"/>
        <v>10.388662892109828</v>
      </c>
      <c r="W4" s="37">
        <f t="shared" ca="1" si="1"/>
        <v>8.3243551860270291</v>
      </c>
      <c r="X4" s="37">
        <f t="shared" ca="1" si="1"/>
        <v>9.6218748201867701</v>
      </c>
      <c r="Y4" s="37">
        <f t="shared" ca="1" si="1"/>
        <v>8.54281972317178</v>
      </c>
      <c r="Z4" s="37">
        <f t="shared" ca="1" si="1"/>
        <v>10.081105478251631</v>
      </c>
      <c r="AA4" s="38">
        <f t="shared" ca="1" si="1"/>
        <v>9.9159577449864766</v>
      </c>
      <c r="AB4" s="27"/>
      <c r="AC4" s="12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</row>
    <row r="5" spans="1:57" x14ac:dyDescent="0.25">
      <c r="A5" s="32">
        <v>3</v>
      </c>
      <c r="B5" s="33" t="s">
        <v>4</v>
      </c>
      <c r="C5" s="34">
        <v>1</v>
      </c>
      <c r="D5" s="34">
        <v>17</v>
      </c>
      <c r="E5" s="35">
        <v>3</v>
      </c>
      <c r="F5" s="27"/>
      <c r="G5" s="28">
        <v>3</v>
      </c>
      <c r="H5" s="36">
        <f t="shared" ca="1" si="0"/>
        <v>16.650508579274785</v>
      </c>
      <c r="I5" s="37">
        <f t="shared" ca="1" si="0"/>
        <v>13.357939876849665</v>
      </c>
      <c r="J5" s="37">
        <f t="shared" ca="1" si="0"/>
        <v>18.456763681421602</v>
      </c>
      <c r="K5" s="37">
        <f t="shared" ca="1" si="0"/>
        <v>20.539367823586943</v>
      </c>
      <c r="L5" s="37">
        <f t="shared" ca="1" si="0"/>
        <v>16.871610515803084</v>
      </c>
      <c r="M5" s="37">
        <f t="shared" ca="1" si="0"/>
        <v>15.030898151257098</v>
      </c>
      <c r="N5" s="37">
        <f t="shared" ca="1" si="0"/>
        <v>17.867614434120668</v>
      </c>
      <c r="O5" s="37">
        <f t="shared" ca="1" si="0"/>
        <v>18.337432732522331</v>
      </c>
      <c r="P5" s="37">
        <f t="shared" ca="1" si="0"/>
        <v>18.912795717776351</v>
      </c>
      <c r="Q5" s="37">
        <f t="shared" ca="1" si="0"/>
        <v>17.110788100024298</v>
      </c>
      <c r="R5" s="37">
        <f t="shared" ca="1" si="1"/>
        <v>15.546870503506712</v>
      </c>
      <c r="S5" s="37">
        <f t="shared" ca="1" si="1"/>
        <v>14.609037946473846</v>
      </c>
      <c r="T5" s="37">
        <f t="shared" ca="1" si="1"/>
        <v>14.472889751037219</v>
      </c>
      <c r="U5" s="37">
        <f t="shared" ca="1" si="1"/>
        <v>15.827428103692673</v>
      </c>
      <c r="V5" s="37">
        <f t="shared" ca="1" si="1"/>
        <v>19.795619993693336</v>
      </c>
      <c r="W5" s="37">
        <f t="shared" ca="1" si="1"/>
        <v>15.557534229500273</v>
      </c>
      <c r="X5" s="37">
        <f t="shared" ca="1" si="1"/>
        <v>16.685227430633919</v>
      </c>
      <c r="Y5" s="37">
        <f t="shared" ca="1" si="1"/>
        <v>18.379487059038276</v>
      </c>
      <c r="Z5" s="37">
        <f t="shared" ca="1" si="1"/>
        <v>21.154632148998473</v>
      </c>
      <c r="AA5" s="38">
        <f t="shared" ca="1" si="1"/>
        <v>21.352262946261945</v>
      </c>
      <c r="AB5" s="27"/>
      <c r="AC5" s="12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</row>
    <row r="6" spans="1:57" x14ac:dyDescent="0.25">
      <c r="A6" s="32">
        <v>4</v>
      </c>
      <c r="B6" s="33" t="s">
        <v>5</v>
      </c>
      <c r="C6" s="34">
        <v>1</v>
      </c>
      <c r="D6" s="34">
        <v>9</v>
      </c>
      <c r="E6" s="35">
        <v>1</v>
      </c>
      <c r="F6" s="27"/>
      <c r="G6" s="28">
        <v>4</v>
      </c>
      <c r="H6" s="36">
        <f t="shared" ca="1" si="0"/>
        <v>8.6871225578890474</v>
      </c>
      <c r="I6" s="37">
        <f t="shared" ca="1" si="0"/>
        <v>9.0422357664142883</v>
      </c>
      <c r="J6" s="37">
        <f t="shared" ca="1" si="0"/>
        <v>8.3576574194764035</v>
      </c>
      <c r="K6" s="37">
        <f t="shared" ca="1" si="0"/>
        <v>9.3144900836452234</v>
      </c>
      <c r="L6" s="37">
        <f t="shared" ca="1" si="0"/>
        <v>9.7517040577497074</v>
      </c>
      <c r="M6" s="37">
        <f t="shared" ca="1" si="0"/>
        <v>7.1155857073446604</v>
      </c>
      <c r="N6" s="37">
        <f t="shared" ca="1" si="0"/>
        <v>8.5985159801649473</v>
      </c>
      <c r="O6" s="37">
        <f t="shared" ca="1" si="0"/>
        <v>8.953802343983611</v>
      </c>
      <c r="P6" s="37">
        <f t="shared" ca="1" si="0"/>
        <v>11.374757666146015</v>
      </c>
      <c r="Q6" s="37">
        <f t="shared" ca="1" si="0"/>
        <v>8.7247061990563566</v>
      </c>
      <c r="R6" s="37">
        <f t="shared" ca="1" si="1"/>
        <v>9.7655643719084217</v>
      </c>
      <c r="S6" s="37">
        <f t="shared" ca="1" si="1"/>
        <v>7.8206251804008815</v>
      </c>
      <c r="T6" s="37">
        <f t="shared" ca="1" si="1"/>
        <v>10.621579260631126</v>
      </c>
      <c r="U6" s="37">
        <f t="shared" ca="1" si="1"/>
        <v>9.7080870346170762</v>
      </c>
      <c r="V6" s="37">
        <f t="shared" ca="1" si="1"/>
        <v>10.801161921557066</v>
      </c>
      <c r="W6" s="37">
        <f t="shared" ca="1" si="1"/>
        <v>7.2565787752851625</v>
      </c>
      <c r="X6" s="37">
        <f t="shared" ca="1" si="1"/>
        <v>10.523309165212089</v>
      </c>
      <c r="Y6" s="37">
        <f t="shared" ca="1" si="1"/>
        <v>10.094148652214118</v>
      </c>
      <c r="Z6" s="37">
        <f t="shared" ca="1" si="1"/>
        <v>7.9478670268188534</v>
      </c>
      <c r="AA6" s="38">
        <f t="shared" ca="1" si="1"/>
        <v>9.0413408097510146</v>
      </c>
      <c r="AB6" s="27"/>
      <c r="AC6" s="12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</row>
    <row r="7" spans="1:57" x14ac:dyDescent="0.25">
      <c r="A7" s="32">
        <v>5</v>
      </c>
      <c r="B7" s="33" t="s">
        <v>71</v>
      </c>
      <c r="C7" s="34">
        <v>1</v>
      </c>
      <c r="D7" s="34">
        <v>20</v>
      </c>
      <c r="E7" s="35">
        <v>4</v>
      </c>
      <c r="F7" s="27"/>
      <c r="G7" s="28">
        <v>5</v>
      </c>
      <c r="H7" s="36">
        <f t="shared" ca="1" si="0"/>
        <v>14.256720724314533</v>
      </c>
      <c r="I7" s="37">
        <f t="shared" ca="1" si="0"/>
        <v>15.433054832048906</v>
      </c>
      <c r="J7" s="37">
        <f t="shared" ca="1" si="0"/>
        <v>25.158663245210434</v>
      </c>
      <c r="K7" s="37">
        <f t="shared" ca="1" si="0"/>
        <v>23.352224930291332</v>
      </c>
      <c r="L7" s="37">
        <f t="shared" ca="1" si="0"/>
        <v>27.020205910259598</v>
      </c>
      <c r="M7" s="37">
        <f t="shared" ca="1" si="0"/>
        <v>21.572668811613354</v>
      </c>
      <c r="N7" s="37">
        <f t="shared" ca="1" si="0"/>
        <v>16.722552306894741</v>
      </c>
      <c r="O7" s="37">
        <f t="shared" ca="1" si="0"/>
        <v>19.040379518660355</v>
      </c>
      <c r="P7" s="37">
        <f t="shared" ca="1" si="0"/>
        <v>15.107237915766067</v>
      </c>
      <c r="Q7" s="37">
        <f t="shared" ca="1" si="0"/>
        <v>26.788026917335817</v>
      </c>
      <c r="R7" s="37">
        <f t="shared" ca="1" si="1"/>
        <v>22.709244377302749</v>
      </c>
      <c r="S7" s="37">
        <f t="shared" ca="1" si="1"/>
        <v>15.295410744432171</v>
      </c>
      <c r="T7" s="37">
        <f t="shared" ca="1" si="1"/>
        <v>27.7431950038333</v>
      </c>
      <c r="U7" s="37">
        <f t="shared" ca="1" si="1"/>
        <v>18.10018708374594</v>
      </c>
      <c r="V7" s="37">
        <f t="shared" ca="1" si="1"/>
        <v>17.36048765105701</v>
      </c>
      <c r="W7" s="37">
        <f t="shared" ca="1" si="1"/>
        <v>23.863712605792447</v>
      </c>
      <c r="X7" s="37">
        <f t="shared" ca="1" si="1"/>
        <v>19.648869937704031</v>
      </c>
      <c r="Y7" s="37">
        <f t="shared" ca="1" si="1"/>
        <v>25.541430731494636</v>
      </c>
      <c r="Z7" s="37">
        <f t="shared" ca="1" si="1"/>
        <v>20.948713857957809</v>
      </c>
      <c r="AA7" s="38">
        <f t="shared" ca="1" si="1"/>
        <v>23.904655650022267</v>
      </c>
      <c r="AB7" s="27"/>
      <c r="AC7" s="12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</row>
    <row r="8" spans="1:57" x14ac:dyDescent="0.25">
      <c r="A8" s="32">
        <v>6</v>
      </c>
      <c r="B8" s="33" t="s">
        <v>7</v>
      </c>
      <c r="C8" s="34">
        <v>1</v>
      </c>
      <c r="D8" s="34">
        <v>18</v>
      </c>
      <c r="E8" s="35">
        <v>2</v>
      </c>
      <c r="F8" s="27"/>
      <c r="G8" s="28">
        <v>6</v>
      </c>
      <c r="H8" s="36">
        <f t="shared" ca="1" si="0"/>
        <v>17.265690480460343</v>
      </c>
      <c r="I8" s="37">
        <f t="shared" ca="1" si="0"/>
        <v>16.112727206586424</v>
      </c>
      <c r="J8" s="37">
        <f t="shared" ca="1" si="0"/>
        <v>18.794587852798969</v>
      </c>
      <c r="K8" s="37">
        <f t="shared" ca="1" si="0"/>
        <v>20.629285408019594</v>
      </c>
      <c r="L8" s="37">
        <f t="shared" ca="1" si="0"/>
        <v>18.477779796330005</v>
      </c>
      <c r="M8" s="37">
        <f t="shared" ca="1" si="0"/>
        <v>17.612213390578731</v>
      </c>
      <c r="N8" s="37">
        <f t="shared" ca="1" si="0"/>
        <v>20.887766123133659</v>
      </c>
      <c r="O8" s="37">
        <f t="shared" ca="1" si="0"/>
        <v>16.250745839835183</v>
      </c>
      <c r="P8" s="37">
        <f t="shared" ca="1" si="0"/>
        <v>19.282881186034963</v>
      </c>
      <c r="Q8" s="37">
        <f t="shared" ca="1" si="0"/>
        <v>17.706940364825659</v>
      </c>
      <c r="R8" s="37">
        <f t="shared" ca="1" si="1"/>
        <v>19.84631676589715</v>
      </c>
      <c r="S8" s="37">
        <f t="shared" ca="1" si="1"/>
        <v>18.768635982783383</v>
      </c>
      <c r="T8" s="37">
        <f t="shared" ca="1" si="1"/>
        <v>16.635668184014126</v>
      </c>
      <c r="U8" s="37">
        <f t="shared" ca="1" si="1"/>
        <v>20.877584757842403</v>
      </c>
      <c r="V8" s="37">
        <f t="shared" ca="1" si="1"/>
        <v>14.685809659064322</v>
      </c>
      <c r="W8" s="37">
        <f t="shared" ca="1" si="1"/>
        <v>18.945801192725668</v>
      </c>
      <c r="X8" s="37">
        <f t="shared" ca="1" si="1"/>
        <v>20.563175690442009</v>
      </c>
      <c r="Y8" s="37">
        <f t="shared" ca="1" si="1"/>
        <v>18.11841416436647</v>
      </c>
      <c r="Z8" s="37">
        <f t="shared" ca="1" si="1"/>
        <v>20.015205350266989</v>
      </c>
      <c r="AA8" s="38">
        <f t="shared" ca="1" si="1"/>
        <v>14.817141613148156</v>
      </c>
      <c r="AB8" s="27"/>
      <c r="AC8" s="12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x14ac:dyDescent="0.25">
      <c r="A9" s="32">
        <v>7</v>
      </c>
      <c r="B9" s="33" t="s">
        <v>8</v>
      </c>
      <c r="C9" s="34">
        <v>2</v>
      </c>
      <c r="D9" s="34">
        <v>27</v>
      </c>
      <c r="E9" s="35">
        <v>2</v>
      </c>
      <c r="F9" s="27"/>
      <c r="G9" s="28">
        <v>7</v>
      </c>
      <c r="H9" s="36">
        <f t="shared" ca="1" si="0"/>
        <v>25.794065396413522</v>
      </c>
      <c r="I9" s="37">
        <f t="shared" ca="1" si="0"/>
        <v>24.555461091190153</v>
      </c>
      <c r="J9" s="37">
        <f t="shared" ca="1" si="0"/>
        <v>24.270723892992024</v>
      </c>
      <c r="K9" s="37">
        <f t="shared" ca="1" si="0"/>
        <v>25.097637800599365</v>
      </c>
      <c r="L9" s="37">
        <f t="shared" ca="1" si="0"/>
        <v>26.952303360357423</v>
      </c>
      <c r="M9" s="37">
        <f t="shared" ca="1" si="0"/>
        <v>24.634856846856582</v>
      </c>
      <c r="N9" s="37">
        <f t="shared" ca="1" si="0"/>
        <v>31.945439563583651</v>
      </c>
      <c r="O9" s="37">
        <f t="shared" ca="1" si="0"/>
        <v>27.887855227630041</v>
      </c>
      <c r="P9" s="37">
        <f t="shared" ca="1" si="0"/>
        <v>23.500173880829941</v>
      </c>
      <c r="Q9" s="37">
        <f t="shared" ca="1" si="0"/>
        <v>24.994541127286702</v>
      </c>
      <c r="R9" s="37">
        <f t="shared" ca="1" si="1"/>
        <v>26.051974541848548</v>
      </c>
      <c r="S9" s="37">
        <f t="shared" ca="1" si="1"/>
        <v>29.198733530508278</v>
      </c>
      <c r="T9" s="37">
        <f t="shared" ca="1" si="1"/>
        <v>27.731789090682319</v>
      </c>
      <c r="U9" s="37">
        <f t="shared" ca="1" si="1"/>
        <v>32.227397162979145</v>
      </c>
      <c r="V9" s="37">
        <f t="shared" ca="1" si="1"/>
        <v>27.891829260504004</v>
      </c>
      <c r="W9" s="37">
        <f t="shared" ca="1" si="1"/>
        <v>27.701153523824054</v>
      </c>
      <c r="X9" s="37">
        <f t="shared" ca="1" si="1"/>
        <v>24.087377959344707</v>
      </c>
      <c r="Y9" s="37">
        <f t="shared" ca="1" si="1"/>
        <v>29.208230113164596</v>
      </c>
      <c r="Z9" s="37">
        <f t="shared" ca="1" si="1"/>
        <v>27.359161139052816</v>
      </c>
      <c r="AA9" s="38">
        <f t="shared" ca="1" si="1"/>
        <v>29.496405696671303</v>
      </c>
      <c r="AB9" s="27"/>
      <c r="AC9" s="12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x14ac:dyDescent="0.25">
      <c r="A10" s="32">
        <v>8</v>
      </c>
      <c r="B10" s="33" t="s">
        <v>9</v>
      </c>
      <c r="C10" s="34">
        <v>1</v>
      </c>
      <c r="D10" s="34">
        <v>9</v>
      </c>
      <c r="E10" s="35">
        <v>1</v>
      </c>
      <c r="F10" s="27"/>
      <c r="G10" s="28">
        <v>8</v>
      </c>
      <c r="H10" s="36">
        <f t="shared" ca="1" si="0"/>
        <v>9.7339274601868109</v>
      </c>
      <c r="I10" s="37">
        <f t="shared" ca="1" si="0"/>
        <v>8.2364664659986957</v>
      </c>
      <c r="J10" s="37">
        <f t="shared" ca="1" si="0"/>
        <v>8.8445280141388736</v>
      </c>
      <c r="K10" s="37">
        <f t="shared" ca="1" si="0"/>
        <v>9.3549184144187016</v>
      </c>
      <c r="L10" s="37">
        <f t="shared" ca="1" si="0"/>
        <v>7.3294240693906634</v>
      </c>
      <c r="M10" s="37">
        <f t="shared" ca="1" si="0"/>
        <v>9.297848914484959</v>
      </c>
      <c r="N10" s="37">
        <f t="shared" ca="1" si="0"/>
        <v>7.4226591301272071</v>
      </c>
      <c r="O10" s="37">
        <f t="shared" ca="1" si="0"/>
        <v>10.177610691961561</v>
      </c>
      <c r="P10" s="37">
        <f t="shared" ca="1" si="0"/>
        <v>7.7196131101954615</v>
      </c>
      <c r="Q10" s="37">
        <f t="shared" ca="1" si="0"/>
        <v>7.8614935329538582</v>
      </c>
      <c r="R10" s="37">
        <f t="shared" ca="1" si="1"/>
        <v>11.355055367633151</v>
      </c>
      <c r="S10" s="37">
        <f t="shared" ca="1" si="1"/>
        <v>10.686841462125718</v>
      </c>
      <c r="T10" s="37">
        <f t="shared" ca="1" si="1"/>
        <v>9.9715280664205554</v>
      </c>
      <c r="U10" s="37">
        <f t="shared" ca="1" si="1"/>
        <v>9.5532173976612249</v>
      </c>
      <c r="V10" s="37">
        <f t="shared" ca="1" si="1"/>
        <v>9.3453427097936519</v>
      </c>
      <c r="W10" s="37">
        <f t="shared" ca="1" si="1"/>
        <v>9.3070190893681595</v>
      </c>
      <c r="X10" s="37">
        <f t="shared" ca="1" si="1"/>
        <v>9.2980769523850704</v>
      </c>
      <c r="Y10" s="37">
        <f t="shared" ca="1" si="1"/>
        <v>9.8477528406805508</v>
      </c>
      <c r="Z10" s="37">
        <f t="shared" ca="1" si="1"/>
        <v>9.390112428223901</v>
      </c>
      <c r="AA10" s="38">
        <f t="shared" ca="1" si="1"/>
        <v>8.1279477336249784</v>
      </c>
      <c r="AB10" s="27"/>
      <c r="AC10" s="12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</row>
    <row r="11" spans="1:57" x14ac:dyDescent="0.25">
      <c r="A11" s="32">
        <v>9</v>
      </c>
      <c r="B11" s="33" t="s">
        <v>10</v>
      </c>
      <c r="C11" s="34">
        <v>1</v>
      </c>
      <c r="D11" s="34">
        <v>9</v>
      </c>
      <c r="E11" s="35">
        <v>1</v>
      </c>
      <c r="F11" s="27"/>
      <c r="G11" s="28">
        <v>9</v>
      </c>
      <c r="H11" s="36">
        <f t="shared" ca="1" si="0"/>
        <v>10.522692229156039</v>
      </c>
      <c r="I11" s="37">
        <f t="shared" ca="1" si="0"/>
        <v>7.5336800264277057</v>
      </c>
      <c r="J11" s="37">
        <f t="shared" ca="1" si="0"/>
        <v>9.3040769766145228</v>
      </c>
      <c r="K11" s="37">
        <f t="shared" ca="1" si="0"/>
        <v>6.7124264470944492</v>
      </c>
      <c r="L11" s="37">
        <f t="shared" ca="1" si="0"/>
        <v>9.4914896372308419</v>
      </c>
      <c r="M11" s="37">
        <f t="shared" ca="1" si="0"/>
        <v>8.0871380243038011</v>
      </c>
      <c r="N11" s="37">
        <f t="shared" ca="1" si="0"/>
        <v>7.6223206367305538</v>
      </c>
      <c r="O11" s="37">
        <f t="shared" ca="1" si="0"/>
        <v>10.813578407541964</v>
      </c>
      <c r="P11" s="37">
        <f t="shared" ca="1" si="0"/>
        <v>8.3933896820777552</v>
      </c>
      <c r="Q11" s="37">
        <f t="shared" ca="1" si="0"/>
        <v>9.4924659773952378</v>
      </c>
      <c r="R11" s="37">
        <f t="shared" ca="1" si="1"/>
        <v>9.4371515444832088</v>
      </c>
      <c r="S11" s="37">
        <f t="shared" ca="1" si="1"/>
        <v>9.4693097153238632</v>
      </c>
      <c r="T11" s="37">
        <f t="shared" ca="1" si="1"/>
        <v>9.9098443987359648</v>
      </c>
      <c r="U11" s="37">
        <f t="shared" ca="1" si="1"/>
        <v>7.562659135844541</v>
      </c>
      <c r="V11" s="37">
        <f t="shared" ca="1" si="1"/>
        <v>8.0691938779837429</v>
      </c>
      <c r="W11" s="37">
        <f t="shared" ca="1" si="1"/>
        <v>8.0953257627506172</v>
      </c>
      <c r="X11" s="37">
        <f t="shared" ca="1" si="1"/>
        <v>8.7537114375270875</v>
      </c>
      <c r="Y11" s="37">
        <f t="shared" ca="1" si="1"/>
        <v>9.3449848582332891</v>
      </c>
      <c r="Z11" s="37">
        <f t="shared" ca="1" si="1"/>
        <v>9.8828698570751978</v>
      </c>
      <c r="AA11" s="38">
        <f t="shared" ca="1" si="1"/>
        <v>8.1984497547813024</v>
      </c>
      <c r="AB11" s="27"/>
      <c r="AC11" s="12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</row>
    <row r="12" spans="1:57" x14ac:dyDescent="0.25">
      <c r="A12" s="39">
        <v>10</v>
      </c>
      <c r="B12" s="40" t="s">
        <v>72</v>
      </c>
      <c r="C12" s="34">
        <v>2</v>
      </c>
      <c r="D12" s="34">
        <v>22</v>
      </c>
      <c r="E12" s="35">
        <v>4</v>
      </c>
      <c r="F12" s="27"/>
      <c r="G12" s="41">
        <v>10</v>
      </c>
      <c r="H12" s="36">
        <f t="shared" ca="1" si="0"/>
        <v>19.873582388322294</v>
      </c>
      <c r="I12" s="37">
        <f t="shared" ca="1" si="0"/>
        <v>27.329713698194972</v>
      </c>
      <c r="J12" s="37">
        <f t="shared" ca="1" si="0"/>
        <v>25.462316801331085</v>
      </c>
      <c r="K12" s="37">
        <f t="shared" ca="1" si="0"/>
        <v>22.045698700158784</v>
      </c>
      <c r="L12" s="37">
        <f t="shared" ca="1" si="0"/>
        <v>24.894010201417785</v>
      </c>
      <c r="M12" s="37">
        <f t="shared" ca="1" si="0"/>
        <v>24.893821304076003</v>
      </c>
      <c r="N12" s="37">
        <f t="shared" ca="1" si="0"/>
        <v>23.250320803203092</v>
      </c>
      <c r="O12" s="37">
        <f t="shared" ca="1" si="0"/>
        <v>26.640751773295221</v>
      </c>
      <c r="P12" s="37">
        <f t="shared" ca="1" si="0"/>
        <v>25.036910660123116</v>
      </c>
      <c r="Q12" s="37">
        <f t="shared" ca="1" si="0"/>
        <v>25.549088001210215</v>
      </c>
      <c r="R12" s="37">
        <f t="shared" ca="1" si="1"/>
        <v>20.059835734940393</v>
      </c>
      <c r="S12" s="37">
        <f t="shared" ca="1" si="1"/>
        <v>18.578453860383533</v>
      </c>
      <c r="T12" s="37">
        <f t="shared" ca="1" si="1"/>
        <v>26.818792974398907</v>
      </c>
      <c r="U12" s="37">
        <f t="shared" ca="1" si="1"/>
        <v>19.591635323429241</v>
      </c>
      <c r="V12" s="37">
        <f t="shared" ca="1" si="1"/>
        <v>30.283936107796073</v>
      </c>
      <c r="W12" s="37">
        <f t="shared" ca="1" si="1"/>
        <v>13.659814039423324</v>
      </c>
      <c r="X12" s="37">
        <f t="shared" ca="1" si="1"/>
        <v>15.115842073235573</v>
      </c>
      <c r="Y12" s="37">
        <f t="shared" ca="1" si="1"/>
        <v>25.11757552339856</v>
      </c>
      <c r="Z12" s="37">
        <f t="shared" ca="1" si="1"/>
        <v>31.656649649004628</v>
      </c>
      <c r="AA12" s="38">
        <f t="shared" ca="1" si="1"/>
        <v>16.314701413717941</v>
      </c>
      <c r="AB12" s="27"/>
      <c r="AC12" s="12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</row>
    <row r="13" spans="1:57" x14ac:dyDescent="0.25">
      <c r="A13" s="39">
        <v>11</v>
      </c>
      <c r="B13" s="40" t="s">
        <v>7</v>
      </c>
      <c r="C13" s="34">
        <v>1</v>
      </c>
      <c r="D13" s="34">
        <v>18</v>
      </c>
      <c r="E13" s="35">
        <v>2</v>
      </c>
      <c r="F13" s="27"/>
      <c r="G13" s="41">
        <v>11</v>
      </c>
      <c r="H13" s="36">
        <f t="shared" ca="1" si="0"/>
        <v>18.429633011541316</v>
      </c>
      <c r="I13" s="37">
        <f t="shared" ca="1" si="0"/>
        <v>20.423964646431685</v>
      </c>
      <c r="J13" s="37">
        <f t="shared" ca="1" si="0"/>
        <v>18.238332929992747</v>
      </c>
      <c r="K13" s="37">
        <f t="shared" ca="1" si="0"/>
        <v>18.499944321478129</v>
      </c>
      <c r="L13" s="37">
        <f t="shared" ca="1" si="0"/>
        <v>22.534470637595625</v>
      </c>
      <c r="M13" s="37">
        <f t="shared" ca="1" si="0"/>
        <v>14.236300586841823</v>
      </c>
      <c r="N13" s="37">
        <f t="shared" ca="1" si="0"/>
        <v>19.138111445806015</v>
      </c>
      <c r="O13" s="37">
        <f t="shared" ca="1" si="0"/>
        <v>17.487062455641539</v>
      </c>
      <c r="P13" s="37">
        <f t="shared" ca="1" si="0"/>
        <v>16.189125696523675</v>
      </c>
      <c r="Q13" s="37">
        <f t="shared" ca="1" si="0"/>
        <v>21.598149826470866</v>
      </c>
      <c r="R13" s="37">
        <f t="shared" ca="1" si="1"/>
        <v>18.341502212832168</v>
      </c>
      <c r="S13" s="37">
        <f t="shared" ca="1" si="1"/>
        <v>20.544783689028161</v>
      </c>
      <c r="T13" s="37">
        <f t="shared" ca="1" si="1"/>
        <v>24.521500060702611</v>
      </c>
      <c r="U13" s="37">
        <f t="shared" ca="1" si="1"/>
        <v>19.405192795521952</v>
      </c>
      <c r="V13" s="37">
        <f t="shared" ca="1" si="1"/>
        <v>17.80220773121475</v>
      </c>
      <c r="W13" s="37">
        <f t="shared" ca="1" si="1"/>
        <v>16.421138633962286</v>
      </c>
      <c r="X13" s="37">
        <f t="shared" ca="1" si="1"/>
        <v>16.665157199706822</v>
      </c>
      <c r="Y13" s="37">
        <f t="shared" ca="1" si="1"/>
        <v>15.445248421525097</v>
      </c>
      <c r="Z13" s="37">
        <f t="shared" ca="1" si="1"/>
        <v>19.337340219590185</v>
      </c>
      <c r="AA13" s="38">
        <f t="shared" ca="1" si="1"/>
        <v>13.46094198002239</v>
      </c>
      <c r="AB13" s="27"/>
      <c r="AC13" s="12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</row>
    <row r="14" spans="1:57" x14ac:dyDescent="0.25">
      <c r="A14" s="39">
        <v>12</v>
      </c>
      <c r="B14" s="40" t="s">
        <v>74</v>
      </c>
      <c r="C14" s="34">
        <v>2</v>
      </c>
      <c r="D14" s="34">
        <v>7</v>
      </c>
      <c r="E14" s="35">
        <v>1</v>
      </c>
      <c r="F14" s="27"/>
      <c r="G14" s="41">
        <v>12</v>
      </c>
      <c r="H14" s="36">
        <f t="shared" ca="1" si="0"/>
        <v>7.1207129050077125</v>
      </c>
      <c r="I14" s="37">
        <f t="shared" ca="1" si="0"/>
        <v>7.1345325901928991</v>
      </c>
      <c r="J14" s="37">
        <f t="shared" ca="1" si="0"/>
        <v>8.4926735233230417</v>
      </c>
      <c r="K14" s="37">
        <f t="shared" ca="1" si="0"/>
        <v>6.966342236262177</v>
      </c>
      <c r="L14" s="37">
        <f t="shared" ca="1" si="0"/>
        <v>6.2448964173678672</v>
      </c>
      <c r="M14" s="37">
        <f t="shared" ca="1" si="0"/>
        <v>8.5137523077061346</v>
      </c>
      <c r="N14" s="37">
        <f t="shared" ca="1" si="0"/>
        <v>7.2509798733918656</v>
      </c>
      <c r="O14" s="37">
        <f t="shared" ca="1" si="0"/>
        <v>5.8501168239101133</v>
      </c>
      <c r="P14" s="37">
        <f t="shared" ca="1" si="0"/>
        <v>6.837916639253204</v>
      </c>
      <c r="Q14" s="37">
        <f t="shared" ca="1" si="0"/>
        <v>6.2911498040693914</v>
      </c>
      <c r="R14" s="37">
        <f t="shared" ca="1" si="1"/>
        <v>6.2605570575915879</v>
      </c>
      <c r="S14" s="37">
        <f t="shared" ca="1" si="1"/>
        <v>7.401590896637849</v>
      </c>
      <c r="T14" s="37">
        <f t="shared" ca="1" si="1"/>
        <v>4.6659400063908594</v>
      </c>
      <c r="U14" s="37">
        <f t="shared" ca="1" si="1"/>
        <v>8.6096460765981693</v>
      </c>
      <c r="V14" s="37">
        <f t="shared" ca="1" si="1"/>
        <v>9.422565119111777</v>
      </c>
      <c r="W14" s="37">
        <f t="shared" ca="1" si="1"/>
        <v>7.1697652400120164</v>
      </c>
      <c r="X14" s="37">
        <f t="shared" ca="1" si="1"/>
        <v>6.3411654212949395</v>
      </c>
      <c r="Y14" s="37">
        <f t="shared" ca="1" si="1"/>
        <v>7.6789337451119692</v>
      </c>
      <c r="Z14" s="37">
        <f t="shared" ca="1" si="1"/>
        <v>6.5134617884065973</v>
      </c>
      <c r="AA14" s="38">
        <f t="shared" ca="1" si="1"/>
        <v>7.8099617117346147</v>
      </c>
      <c r="AB14" s="27"/>
      <c r="AC14" s="12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</row>
    <row r="15" spans="1:57" x14ac:dyDescent="0.25">
      <c r="A15" s="32">
        <v>13</v>
      </c>
      <c r="B15" s="33" t="s">
        <v>11</v>
      </c>
      <c r="C15" s="34">
        <v>1</v>
      </c>
      <c r="D15" s="34">
        <v>9</v>
      </c>
      <c r="E15" s="35">
        <v>1</v>
      </c>
      <c r="F15" s="27"/>
      <c r="G15" s="28">
        <v>13</v>
      </c>
      <c r="H15" s="36">
        <f t="shared" ca="1" si="0"/>
        <v>9.1678184103794109</v>
      </c>
      <c r="I15" s="37">
        <f t="shared" ca="1" si="0"/>
        <v>10.75682703858471</v>
      </c>
      <c r="J15" s="37">
        <f t="shared" ca="1" si="0"/>
        <v>9.2512544766423961</v>
      </c>
      <c r="K15" s="37">
        <f t="shared" ca="1" si="0"/>
        <v>9.6292086611339407</v>
      </c>
      <c r="L15" s="37">
        <f t="shared" ca="1" si="0"/>
        <v>9.1165778373643729</v>
      </c>
      <c r="M15" s="37">
        <f t="shared" ca="1" si="0"/>
        <v>10.656446225594916</v>
      </c>
      <c r="N15" s="37">
        <f t="shared" ca="1" si="0"/>
        <v>8.4931648062476555</v>
      </c>
      <c r="O15" s="37">
        <f t="shared" ca="1" si="0"/>
        <v>7.8303551194327161</v>
      </c>
      <c r="P15" s="37">
        <f t="shared" ca="1" si="0"/>
        <v>9.5414181180462716</v>
      </c>
      <c r="Q15" s="37">
        <f t="shared" ca="1" si="0"/>
        <v>8.1056015316870962</v>
      </c>
      <c r="R15" s="37">
        <f t="shared" ca="1" si="1"/>
        <v>7.7692738419299534</v>
      </c>
      <c r="S15" s="37">
        <f t="shared" ca="1" si="1"/>
        <v>9.2957056762485788</v>
      </c>
      <c r="T15" s="37">
        <f t="shared" ca="1" si="1"/>
        <v>8.069736787523464</v>
      </c>
      <c r="U15" s="37">
        <f t="shared" ca="1" si="1"/>
        <v>7.3907456678069838</v>
      </c>
      <c r="V15" s="37">
        <f t="shared" ca="1" si="1"/>
        <v>10.924286704022453</v>
      </c>
      <c r="W15" s="37">
        <f t="shared" ca="1" si="1"/>
        <v>9.9283146523340999</v>
      </c>
      <c r="X15" s="37">
        <f t="shared" ca="1" si="1"/>
        <v>7.7117982901427835</v>
      </c>
      <c r="Y15" s="37">
        <f t="shared" ca="1" si="1"/>
        <v>9.034239638497974</v>
      </c>
      <c r="Z15" s="37">
        <f t="shared" ca="1" si="1"/>
        <v>8.1597611415627096</v>
      </c>
      <c r="AA15" s="38">
        <f t="shared" ca="1" si="1"/>
        <v>8.3028277755921653</v>
      </c>
      <c r="AB15" s="27"/>
      <c r="AC15" s="12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</row>
    <row r="16" spans="1:57" x14ac:dyDescent="0.25">
      <c r="A16" s="32">
        <v>14</v>
      </c>
      <c r="B16" s="33" t="s">
        <v>12</v>
      </c>
      <c r="C16" s="34">
        <v>2</v>
      </c>
      <c r="D16" s="34">
        <v>24</v>
      </c>
      <c r="E16" s="35">
        <v>2</v>
      </c>
      <c r="F16" s="27"/>
      <c r="G16" s="28">
        <v>14</v>
      </c>
      <c r="H16" s="36">
        <f t="shared" ca="1" si="0"/>
        <v>22.425729393269112</v>
      </c>
      <c r="I16" s="37">
        <f t="shared" ca="1" si="0"/>
        <v>21.385299917447835</v>
      </c>
      <c r="J16" s="37">
        <f t="shared" ca="1" si="0"/>
        <v>23.943854877356479</v>
      </c>
      <c r="K16" s="37">
        <f t="shared" ca="1" si="0"/>
        <v>21.796539038223212</v>
      </c>
      <c r="L16" s="37">
        <f t="shared" ca="1" si="0"/>
        <v>23.624801647624931</v>
      </c>
      <c r="M16" s="37">
        <f t="shared" ca="1" si="0"/>
        <v>23.151107634503088</v>
      </c>
      <c r="N16" s="37">
        <f t="shared" ca="1" si="0"/>
        <v>27.303671331930936</v>
      </c>
      <c r="O16" s="37">
        <f t="shared" ca="1" si="0"/>
        <v>24.546588871915667</v>
      </c>
      <c r="P16" s="37">
        <f t="shared" ca="1" si="0"/>
        <v>25.484170389418612</v>
      </c>
      <c r="Q16" s="37">
        <f t="shared" ca="1" si="0"/>
        <v>26.871597027928129</v>
      </c>
      <c r="R16" s="37">
        <f t="shared" ca="1" si="1"/>
        <v>27.881359573127408</v>
      </c>
      <c r="S16" s="37">
        <f t="shared" ca="1" si="1"/>
        <v>21.812041159823988</v>
      </c>
      <c r="T16" s="37">
        <f t="shared" ca="1" si="1"/>
        <v>25.223646549590136</v>
      </c>
      <c r="U16" s="37">
        <f t="shared" ca="1" si="1"/>
        <v>24.984967199866173</v>
      </c>
      <c r="V16" s="37">
        <f t="shared" ca="1" si="1"/>
        <v>25.286257087893585</v>
      </c>
      <c r="W16" s="37">
        <f t="shared" ca="1" si="1"/>
        <v>26.882560518755344</v>
      </c>
      <c r="X16" s="37">
        <f t="shared" ca="1" si="1"/>
        <v>24.629464507396467</v>
      </c>
      <c r="Y16" s="37">
        <f t="shared" ca="1" si="1"/>
        <v>22.131527962928459</v>
      </c>
      <c r="Z16" s="37">
        <f t="shared" ca="1" si="1"/>
        <v>24.603567507073443</v>
      </c>
      <c r="AA16" s="38">
        <f t="shared" ca="1" si="1"/>
        <v>21.556148535057801</v>
      </c>
      <c r="AB16" s="27"/>
      <c r="AC16" s="12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</row>
    <row r="17" spans="1:57" x14ac:dyDescent="0.25">
      <c r="A17" s="32">
        <v>15</v>
      </c>
      <c r="B17" s="40" t="s">
        <v>13</v>
      </c>
      <c r="C17" s="34">
        <v>1</v>
      </c>
      <c r="D17" s="34">
        <v>32</v>
      </c>
      <c r="E17" s="35">
        <v>4</v>
      </c>
      <c r="F17" s="27"/>
      <c r="G17" s="28">
        <v>15</v>
      </c>
      <c r="H17" s="36">
        <f t="shared" ca="1" si="0"/>
        <v>29.723143639373816</v>
      </c>
      <c r="I17" s="37">
        <f t="shared" ca="1" si="0"/>
        <v>31.37056716971486</v>
      </c>
      <c r="J17" s="37">
        <f t="shared" ca="1" si="0"/>
        <v>28.429966306853206</v>
      </c>
      <c r="K17" s="37">
        <f t="shared" ca="1" si="0"/>
        <v>34.354317280044292</v>
      </c>
      <c r="L17" s="37">
        <f t="shared" ca="1" si="0"/>
        <v>26.419042287748393</v>
      </c>
      <c r="M17" s="37">
        <f t="shared" ca="1" si="0"/>
        <v>29.144999292838126</v>
      </c>
      <c r="N17" s="37">
        <f t="shared" ca="1" si="0"/>
        <v>28.663800158794025</v>
      </c>
      <c r="O17" s="37">
        <f t="shared" ca="1" si="0"/>
        <v>32.826141596184947</v>
      </c>
      <c r="P17" s="37">
        <f t="shared" ca="1" si="0"/>
        <v>35.460155085234085</v>
      </c>
      <c r="Q17" s="37">
        <f t="shared" ca="1" si="0"/>
        <v>25.534545380628035</v>
      </c>
      <c r="R17" s="37">
        <f t="shared" ca="1" si="1"/>
        <v>31.122262393334534</v>
      </c>
      <c r="S17" s="37">
        <f t="shared" ca="1" si="1"/>
        <v>38.066305623200947</v>
      </c>
      <c r="T17" s="37">
        <f t="shared" ca="1" si="1"/>
        <v>41.40501926087812</v>
      </c>
      <c r="U17" s="37">
        <f t="shared" ca="1" si="1"/>
        <v>35.892931084205095</v>
      </c>
      <c r="V17" s="37">
        <f t="shared" ca="1" si="1"/>
        <v>31.799027835293945</v>
      </c>
      <c r="W17" s="37">
        <f t="shared" ca="1" si="1"/>
        <v>27.174892226229701</v>
      </c>
      <c r="X17" s="37">
        <f t="shared" ca="1" si="1"/>
        <v>33.76398536267542</v>
      </c>
      <c r="Y17" s="37">
        <f t="shared" ca="1" si="1"/>
        <v>33.161083749688139</v>
      </c>
      <c r="Z17" s="37">
        <f t="shared" ca="1" si="1"/>
        <v>36.368338700039985</v>
      </c>
      <c r="AA17" s="38">
        <f t="shared" ca="1" si="1"/>
        <v>31.142172823611673</v>
      </c>
      <c r="AB17" s="27"/>
      <c r="AC17" s="12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</row>
    <row r="18" spans="1:57" x14ac:dyDescent="0.25">
      <c r="A18" s="32">
        <v>16</v>
      </c>
      <c r="B18" s="40" t="s">
        <v>14</v>
      </c>
      <c r="C18" s="34">
        <v>1</v>
      </c>
      <c r="D18" s="34">
        <v>32</v>
      </c>
      <c r="E18" s="35">
        <v>4</v>
      </c>
      <c r="F18" s="27"/>
      <c r="G18" s="28">
        <v>16</v>
      </c>
      <c r="H18" s="36">
        <f t="shared" ca="1" si="0"/>
        <v>29.28305294355944</v>
      </c>
      <c r="I18" s="37">
        <f t="shared" ca="1" si="0"/>
        <v>44.016831534890457</v>
      </c>
      <c r="J18" s="37">
        <f t="shared" ca="1" si="0"/>
        <v>37.677490344076745</v>
      </c>
      <c r="K18" s="37">
        <f t="shared" ca="1" si="0"/>
        <v>33.354767736435569</v>
      </c>
      <c r="L18" s="37">
        <f t="shared" ca="1" si="0"/>
        <v>22.410961199877221</v>
      </c>
      <c r="M18" s="37">
        <f t="shared" ca="1" si="0"/>
        <v>28.823265136095621</v>
      </c>
      <c r="N18" s="37">
        <f t="shared" ca="1" si="0"/>
        <v>30.675261238009671</v>
      </c>
      <c r="O18" s="37">
        <f t="shared" ca="1" si="0"/>
        <v>31.620256957000244</v>
      </c>
      <c r="P18" s="37">
        <f t="shared" ca="1" si="0"/>
        <v>33.482483183058001</v>
      </c>
      <c r="Q18" s="37">
        <f t="shared" ca="1" si="0"/>
        <v>34.594431071478994</v>
      </c>
      <c r="R18" s="37">
        <f t="shared" ca="1" si="1"/>
        <v>29.955901850772729</v>
      </c>
      <c r="S18" s="37">
        <f t="shared" ca="1" si="1"/>
        <v>30.964883444289704</v>
      </c>
      <c r="T18" s="37">
        <f t="shared" ca="1" si="1"/>
        <v>39.654225230528972</v>
      </c>
      <c r="U18" s="37">
        <f t="shared" ca="1" si="1"/>
        <v>34.281153403027361</v>
      </c>
      <c r="V18" s="37">
        <f t="shared" ca="1" si="1"/>
        <v>34.659152979103901</v>
      </c>
      <c r="W18" s="37">
        <f t="shared" ca="1" si="1"/>
        <v>27.485395937019938</v>
      </c>
      <c r="X18" s="37">
        <f t="shared" ca="1" si="1"/>
        <v>36.561516676270095</v>
      </c>
      <c r="Y18" s="37">
        <f t="shared" ca="1" si="1"/>
        <v>35.364472614500322</v>
      </c>
      <c r="Z18" s="37">
        <f t="shared" ca="1" si="1"/>
        <v>27.624129660456688</v>
      </c>
      <c r="AA18" s="38">
        <f t="shared" ca="1" si="1"/>
        <v>28.923148726741477</v>
      </c>
      <c r="AB18" s="27"/>
      <c r="AC18" s="12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</row>
    <row r="19" spans="1:57" x14ac:dyDescent="0.25">
      <c r="A19" s="32">
        <v>17</v>
      </c>
      <c r="B19" s="40" t="s">
        <v>15</v>
      </c>
      <c r="C19" s="34">
        <v>1</v>
      </c>
      <c r="D19" s="34">
        <v>32</v>
      </c>
      <c r="E19" s="35">
        <v>4</v>
      </c>
      <c r="F19" s="27"/>
      <c r="G19" s="28">
        <v>17</v>
      </c>
      <c r="H19" s="36">
        <f t="shared" ref="H19:W34" ca="1" si="2">_xlfn.NORM.INV(RAND(),$D19,$E19)</f>
        <v>30.792368408776252</v>
      </c>
      <c r="I19" s="37">
        <f t="shared" ca="1" si="2"/>
        <v>34.287054484856093</v>
      </c>
      <c r="J19" s="37">
        <f t="shared" ca="1" si="2"/>
        <v>31.03051209942711</v>
      </c>
      <c r="K19" s="37">
        <f t="shared" ca="1" si="2"/>
        <v>34.634598942455007</v>
      </c>
      <c r="L19" s="37">
        <f t="shared" ca="1" si="2"/>
        <v>23.903566754166878</v>
      </c>
      <c r="M19" s="37">
        <f t="shared" ca="1" si="2"/>
        <v>32.338371257770291</v>
      </c>
      <c r="N19" s="37">
        <f t="shared" ca="1" si="2"/>
        <v>33.308317741368306</v>
      </c>
      <c r="O19" s="37">
        <f t="shared" ca="1" si="2"/>
        <v>34.014077605456443</v>
      </c>
      <c r="P19" s="37">
        <f t="shared" ca="1" si="2"/>
        <v>30.446660603549383</v>
      </c>
      <c r="Q19" s="37">
        <f t="shared" ca="1" si="2"/>
        <v>30.327156282730854</v>
      </c>
      <c r="R19" s="37">
        <f t="shared" ca="1" si="2"/>
        <v>25.776802245284113</v>
      </c>
      <c r="S19" s="37">
        <f t="shared" ca="1" si="2"/>
        <v>24.96499989577088</v>
      </c>
      <c r="T19" s="37">
        <f t="shared" ca="1" si="2"/>
        <v>37.353558931708385</v>
      </c>
      <c r="U19" s="37">
        <f t="shared" ca="1" si="2"/>
        <v>32.22014932861692</v>
      </c>
      <c r="V19" s="37">
        <f t="shared" ca="1" si="2"/>
        <v>34.742036529456207</v>
      </c>
      <c r="W19" s="37">
        <f t="shared" ca="1" si="2"/>
        <v>26.510208945303809</v>
      </c>
      <c r="X19" s="37">
        <f t="shared" ref="R19:AA34" ca="1" si="3">_xlfn.NORM.INV(RAND(),$D19,$E19)</f>
        <v>41.167182295234419</v>
      </c>
      <c r="Y19" s="37">
        <f t="shared" ca="1" si="3"/>
        <v>31.182039879460518</v>
      </c>
      <c r="Z19" s="37">
        <f t="shared" ca="1" si="3"/>
        <v>25.755736015085585</v>
      </c>
      <c r="AA19" s="38">
        <f t="shared" ca="1" si="3"/>
        <v>26.892111331015769</v>
      </c>
      <c r="AB19" s="27"/>
      <c r="AC19" s="12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</row>
    <row r="20" spans="1:57" x14ac:dyDescent="0.25">
      <c r="A20" s="32">
        <v>18</v>
      </c>
      <c r="B20" s="40" t="s">
        <v>16</v>
      </c>
      <c r="C20" s="34">
        <v>1</v>
      </c>
      <c r="D20" s="34">
        <v>32</v>
      </c>
      <c r="E20" s="35">
        <v>4</v>
      </c>
      <c r="F20" s="27"/>
      <c r="G20" s="28">
        <v>18</v>
      </c>
      <c r="H20" s="36">
        <f t="shared" ca="1" si="2"/>
        <v>31.75047925942766</v>
      </c>
      <c r="I20" s="37">
        <f t="shared" ca="1" si="2"/>
        <v>34.630789225816606</v>
      </c>
      <c r="J20" s="37">
        <f t="shared" ca="1" si="2"/>
        <v>35.975136900272467</v>
      </c>
      <c r="K20" s="37">
        <f t="shared" ca="1" si="2"/>
        <v>37.579108830157338</v>
      </c>
      <c r="L20" s="37">
        <f t="shared" ca="1" si="2"/>
        <v>32.123273801082476</v>
      </c>
      <c r="M20" s="37">
        <f t="shared" ca="1" si="2"/>
        <v>28.413785407372867</v>
      </c>
      <c r="N20" s="37">
        <f t="shared" ca="1" si="2"/>
        <v>27.099790556497918</v>
      </c>
      <c r="O20" s="37">
        <f t="shared" ca="1" si="2"/>
        <v>34.132397292993545</v>
      </c>
      <c r="P20" s="37">
        <f t="shared" ca="1" si="2"/>
        <v>34.174404310445297</v>
      </c>
      <c r="Q20" s="37">
        <f t="shared" ca="1" si="2"/>
        <v>32.423133711593074</v>
      </c>
      <c r="R20" s="37">
        <f t="shared" ca="1" si="3"/>
        <v>32.264380852731065</v>
      </c>
      <c r="S20" s="37">
        <f t="shared" ca="1" si="3"/>
        <v>28.581398099754281</v>
      </c>
      <c r="T20" s="37">
        <f t="shared" ca="1" si="3"/>
        <v>27.680382699547074</v>
      </c>
      <c r="U20" s="37">
        <f t="shared" ca="1" si="3"/>
        <v>37.208812950762024</v>
      </c>
      <c r="V20" s="37">
        <f t="shared" ca="1" si="3"/>
        <v>26.941466793033612</v>
      </c>
      <c r="W20" s="37">
        <f t="shared" ca="1" si="3"/>
        <v>33.456001808506009</v>
      </c>
      <c r="X20" s="37">
        <f t="shared" ca="1" si="3"/>
        <v>34.736427501245736</v>
      </c>
      <c r="Y20" s="37">
        <f t="shared" ca="1" si="3"/>
        <v>30.925347439389512</v>
      </c>
      <c r="Z20" s="37">
        <f t="shared" ca="1" si="3"/>
        <v>27.168094770470457</v>
      </c>
      <c r="AA20" s="38">
        <f t="shared" ca="1" si="3"/>
        <v>25.444603217992864</v>
      </c>
      <c r="AB20" s="27"/>
      <c r="AC20" s="12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</row>
    <row r="21" spans="1:57" x14ac:dyDescent="0.25">
      <c r="A21" s="32">
        <v>19</v>
      </c>
      <c r="B21" s="40" t="s">
        <v>74</v>
      </c>
      <c r="C21" s="34">
        <v>2</v>
      </c>
      <c r="D21" s="34">
        <v>7</v>
      </c>
      <c r="E21" s="35">
        <v>2</v>
      </c>
      <c r="F21" s="27"/>
      <c r="G21" s="28">
        <v>19</v>
      </c>
      <c r="H21" s="36">
        <f t="shared" ca="1" si="2"/>
        <v>6.7830040941347498</v>
      </c>
      <c r="I21" s="37">
        <f t="shared" ca="1" si="2"/>
        <v>12.418358292416242</v>
      </c>
      <c r="J21" s="37">
        <f t="shared" ca="1" si="2"/>
        <v>11.594217420785096</v>
      </c>
      <c r="K21" s="37">
        <f t="shared" ca="1" si="2"/>
        <v>9.6504619726853704</v>
      </c>
      <c r="L21" s="37">
        <f t="shared" ca="1" si="2"/>
        <v>11.196873990263523</v>
      </c>
      <c r="M21" s="37">
        <f t="shared" ca="1" si="2"/>
        <v>4.6994171272489549</v>
      </c>
      <c r="N21" s="37">
        <f t="shared" ca="1" si="2"/>
        <v>8.0984504692936419</v>
      </c>
      <c r="O21" s="37">
        <f t="shared" ca="1" si="2"/>
        <v>10.283049811005544</v>
      </c>
      <c r="P21" s="37">
        <f t="shared" ca="1" si="2"/>
        <v>9.9020040307872108</v>
      </c>
      <c r="Q21" s="37">
        <f t="shared" ca="1" si="2"/>
        <v>3.9593902190984354</v>
      </c>
      <c r="R21" s="37">
        <f t="shared" ca="1" si="3"/>
        <v>7.0247321810265131</v>
      </c>
      <c r="S21" s="37">
        <f t="shared" ca="1" si="3"/>
        <v>9.2838425194065231</v>
      </c>
      <c r="T21" s="37">
        <f t="shared" ca="1" si="3"/>
        <v>5.1241036358542944</v>
      </c>
      <c r="U21" s="37">
        <f t="shared" ca="1" si="3"/>
        <v>5.7313904451409918</v>
      </c>
      <c r="V21" s="37">
        <f t="shared" ca="1" si="3"/>
        <v>7.2295962857707678</v>
      </c>
      <c r="W21" s="37">
        <f t="shared" ca="1" si="3"/>
        <v>8.2528727300344507</v>
      </c>
      <c r="X21" s="37">
        <f t="shared" ca="1" si="3"/>
        <v>6.0088002582623004</v>
      </c>
      <c r="Y21" s="37">
        <f t="shared" ca="1" si="3"/>
        <v>10.058482480659052</v>
      </c>
      <c r="Z21" s="37">
        <f t="shared" ca="1" si="3"/>
        <v>8.9494638345046553</v>
      </c>
      <c r="AA21" s="38">
        <f t="shared" ca="1" si="3"/>
        <v>6.5061590447209312</v>
      </c>
      <c r="AB21" s="27"/>
      <c r="AC21" s="12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</row>
    <row r="22" spans="1:57" x14ac:dyDescent="0.25">
      <c r="A22" s="32">
        <v>20</v>
      </c>
      <c r="B22" s="40" t="s">
        <v>17</v>
      </c>
      <c r="C22" s="34">
        <v>1</v>
      </c>
      <c r="D22" s="34">
        <v>8</v>
      </c>
      <c r="E22" s="35">
        <v>1</v>
      </c>
      <c r="F22" s="27"/>
      <c r="G22" s="28">
        <v>20</v>
      </c>
      <c r="H22" s="36">
        <f t="shared" ca="1" si="2"/>
        <v>7.068166572583964</v>
      </c>
      <c r="I22" s="37">
        <f t="shared" ca="1" si="2"/>
        <v>7.4176274256516113</v>
      </c>
      <c r="J22" s="37">
        <f t="shared" ca="1" si="2"/>
        <v>7.4900886379191567</v>
      </c>
      <c r="K22" s="37">
        <f t="shared" ca="1" si="2"/>
        <v>6.8130263609075268</v>
      </c>
      <c r="L22" s="37">
        <f t="shared" ca="1" si="2"/>
        <v>10.124842725618683</v>
      </c>
      <c r="M22" s="37">
        <f t="shared" ca="1" si="2"/>
        <v>7.1721677250547309</v>
      </c>
      <c r="N22" s="37">
        <f t="shared" ca="1" si="2"/>
        <v>7.7846728452236782</v>
      </c>
      <c r="O22" s="37">
        <f t="shared" ca="1" si="2"/>
        <v>7.9189699570527843</v>
      </c>
      <c r="P22" s="37">
        <f t="shared" ca="1" si="2"/>
        <v>8.732414583657345</v>
      </c>
      <c r="Q22" s="37">
        <f t="shared" ca="1" si="2"/>
        <v>9.0018668866653417</v>
      </c>
      <c r="R22" s="37">
        <f t="shared" ca="1" si="3"/>
        <v>9.9588956231670629</v>
      </c>
      <c r="S22" s="37">
        <f t="shared" ca="1" si="3"/>
        <v>8.3990739188538672</v>
      </c>
      <c r="T22" s="37">
        <f t="shared" ca="1" si="3"/>
        <v>9.9267967867397342</v>
      </c>
      <c r="U22" s="37">
        <f t="shared" ca="1" si="3"/>
        <v>7.0757333177766162</v>
      </c>
      <c r="V22" s="37">
        <f t="shared" ca="1" si="3"/>
        <v>7.8922988095709146</v>
      </c>
      <c r="W22" s="37">
        <f t="shared" ca="1" si="3"/>
        <v>7.3753331562706084</v>
      </c>
      <c r="X22" s="37">
        <f t="shared" ca="1" si="3"/>
        <v>7.2541358707818464</v>
      </c>
      <c r="Y22" s="37">
        <f t="shared" ca="1" si="3"/>
        <v>9.4425170150928217</v>
      </c>
      <c r="Z22" s="37">
        <f t="shared" ca="1" si="3"/>
        <v>7.3303601432525998</v>
      </c>
      <c r="AA22" s="38">
        <f t="shared" ca="1" si="3"/>
        <v>9.013294301912719</v>
      </c>
      <c r="AB22" s="27"/>
      <c r="AC22" s="12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</row>
    <row r="23" spans="1:57" x14ac:dyDescent="0.25">
      <c r="A23" s="32">
        <v>21</v>
      </c>
      <c r="B23" s="40" t="s">
        <v>18</v>
      </c>
      <c r="C23" s="34">
        <v>1</v>
      </c>
      <c r="D23" s="34">
        <v>11</v>
      </c>
      <c r="E23" s="35">
        <v>2</v>
      </c>
      <c r="F23" s="27"/>
      <c r="G23" s="28">
        <v>21</v>
      </c>
      <c r="H23" s="36">
        <f t="shared" ca="1" si="2"/>
        <v>12.030204355128481</v>
      </c>
      <c r="I23" s="37">
        <f t="shared" ca="1" si="2"/>
        <v>14.109197861736202</v>
      </c>
      <c r="J23" s="37">
        <f t="shared" ca="1" si="2"/>
        <v>8.8158895034653604</v>
      </c>
      <c r="K23" s="37">
        <f t="shared" ca="1" si="2"/>
        <v>9.0759538275812695</v>
      </c>
      <c r="L23" s="37">
        <f t="shared" ca="1" si="2"/>
        <v>12.817127319438896</v>
      </c>
      <c r="M23" s="37">
        <f t="shared" ca="1" si="2"/>
        <v>12.290493096017375</v>
      </c>
      <c r="N23" s="37">
        <f t="shared" ca="1" si="2"/>
        <v>11.381557967627423</v>
      </c>
      <c r="O23" s="37">
        <f t="shared" ca="1" si="2"/>
        <v>10.342371491485228</v>
      </c>
      <c r="P23" s="37">
        <f t="shared" ca="1" si="2"/>
        <v>13.710917042876204</v>
      </c>
      <c r="Q23" s="37">
        <f t="shared" ca="1" si="2"/>
        <v>13.010018319460858</v>
      </c>
      <c r="R23" s="37">
        <f t="shared" ca="1" si="3"/>
        <v>12.722002877852686</v>
      </c>
      <c r="S23" s="37">
        <f t="shared" ca="1" si="3"/>
        <v>11.229591753477951</v>
      </c>
      <c r="T23" s="37">
        <f t="shared" ca="1" si="3"/>
        <v>12.896909020931382</v>
      </c>
      <c r="U23" s="37">
        <f t="shared" ca="1" si="3"/>
        <v>7.0415954025435852</v>
      </c>
      <c r="V23" s="37">
        <f t="shared" ca="1" si="3"/>
        <v>9.3240233664363252</v>
      </c>
      <c r="W23" s="37">
        <f t="shared" ca="1" si="3"/>
        <v>13.104313851629694</v>
      </c>
      <c r="X23" s="37">
        <f t="shared" ca="1" si="3"/>
        <v>8.999471044383025</v>
      </c>
      <c r="Y23" s="37">
        <f t="shared" ca="1" si="3"/>
        <v>6.8796239655209961</v>
      </c>
      <c r="Z23" s="37">
        <f t="shared" ca="1" si="3"/>
        <v>7.2655640062918252</v>
      </c>
      <c r="AA23" s="38">
        <f t="shared" ca="1" si="3"/>
        <v>11.921363828884655</v>
      </c>
      <c r="AB23" s="27"/>
      <c r="AC23" s="12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</row>
    <row r="24" spans="1:57" x14ac:dyDescent="0.25">
      <c r="A24" s="32">
        <v>22</v>
      </c>
      <c r="B24" s="40" t="s">
        <v>19</v>
      </c>
      <c r="C24" s="34">
        <v>1</v>
      </c>
      <c r="D24" s="34">
        <v>8</v>
      </c>
      <c r="E24" s="35">
        <v>1</v>
      </c>
      <c r="F24" s="27"/>
      <c r="G24" s="28">
        <v>22</v>
      </c>
      <c r="H24" s="36">
        <f t="shared" ca="1" si="2"/>
        <v>8.3645270920895953</v>
      </c>
      <c r="I24" s="37">
        <f t="shared" ca="1" si="2"/>
        <v>6.1204436550532506</v>
      </c>
      <c r="J24" s="37">
        <f t="shared" ca="1" si="2"/>
        <v>8.3718960021202555</v>
      </c>
      <c r="K24" s="37">
        <f t="shared" ca="1" si="2"/>
        <v>6.4255866968439967</v>
      </c>
      <c r="L24" s="37">
        <f t="shared" ca="1" si="2"/>
        <v>8.9403147715684845</v>
      </c>
      <c r="M24" s="37">
        <f t="shared" ca="1" si="2"/>
        <v>7.6442540906076557</v>
      </c>
      <c r="N24" s="37">
        <f t="shared" ca="1" si="2"/>
        <v>7.7637668013505285</v>
      </c>
      <c r="O24" s="37">
        <f t="shared" ca="1" si="2"/>
        <v>7.1108619909419666</v>
      </c>
      <c r="P24" s="37">
        <f t="shared" ca="1" si="2"/>
        <v>6.4353323617967728</v>
      </c>
      <c r="Q24" s="37">
        <f t="shared" ca="1" si="2"/>
        <v>9.1892930432326931</v>
      </c>
      <c r="R24" s="37">
        <f t="shared" ca="1" si="3"/>
        <v>8.6163203744493781</v>
      </c>
      <c r="S24" s="37">
        <f t="shared" ca="1" si="3"/>
        <v>7.6437457745279103</v>
      </c>
      <c r="T24" s="37">
        <f t="shared" ca="1" si="3"/>
        <v>8.0486520756315922</v>
      </c>
      <c r="U24" s="37">
        <f t="shared" ca="1" si="3"/>
        <v>8.2653101455549507</v>
      </c>
      <c r="V24" s="37">
        <f t="shared" ca="1" si="3"/>
        <v>7.4322674721919402</v>
      </c>
      <c r="W24" s="37">
        <f t="shared" ca="1" si="3"/>
        <v>8.5954176280667003</v>
      </c>
      <c r="X24" s="37">
        <f t="shared" ca="1" si="3"/>
        <v>6.6332312107447313</v>
      </c>
      <c r="Y24" s="37">
        <f t="shared" ca="1" si="3"/>
        <v>7.8598555386362134</v>
      </c>
      <c r="Z24" s="37">
        <f t="shared" ca="1" si="3"/>
        <v>8.0834291751224399</v>
      </c>
      <c r="AA24" s="38">
        <f t="shared" ca="1" si="3"/>
        <v>8.2060321324815142</v>
      </c>
      <c r="AB24" s="27"/>
      <c r="AC24" s="12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</row>
    <row r="25" spans="1:57" x14ac:dyDescent="0.25">
      <c r="A25" s="32">
        <v>23</v>
      </c>
      <c r="B25" s="40" t="s">
        <v>18</v>
      </c>
      <c r="C25" s="34">
        <v>1</v>
      </c>
      <c r="D25" s="34">
        <v>11</v>
      </c>
      <c r="E25" s="35">
        <v>2</v>
      </c>
      <c r="F25" s="27"/>
      <c r="G25" s="28">
        <v>23</v>
      </c>
      <c r="H25" s="36">
        <f t="shared" ca="1" si="2"/>
        <v>8.9481213904906127</v>
      </c>
      <c r="I25" s="37">
        <f t="shared" ca="1" si="2"/>
        <v>10.737667013077722</v>
      </c>
      <c r="J25" s="37">
        <f t="shared" ca="1" si="2"/>
        <v>8.1231529003583347</v>
      </c>
      <c r="K25" s="37">
        <f t="shared" ca="1" si="2"/>
        <v>11.854510668644275</v>
      </c>
      <c r="L25" s="37">
        <f t="shared" ca="1" si="2"/>
        <v>14.601065722898992</v>
      </c>
      <c r="M25" s="37">
        <f t="shared" ca="1" si="2"/>
        <v>9.6239973801588974</v>
      </c>
      <c r="N25" s="37">
        <f t="shared" ca="1" si="2"/>
        <v>10.653288551715535</v>
      </c>
      <c r="O25" s="37">
        <f t="shared" ca="1" si="2"/>
        <v>9.4490206712764326</v>
      </c>
      <c r="P25" s="37">
        <f t="shared" ca="1" si="2"/>
        <v>8.2271651073690801</v>
      </c>
      <c r="Q25" s="37">
        <f t="shared" ca="1" si="2"/>
        <v>11.215265121671205</v>
      </c>
      <c r="R25" s="37">
        <f t="shared" ca="1" si="3"/>
        <v>9.6889661571304551</v>
      </c>
      <c r="S25" s="37">
        <f t="shared" ca="1" si="3"/>
        <v>13.946108673128817</v>
      </c>
      <c r="T25" s="37">
        <f t="shared" ca="1" si="3"/>
        <v>15.444264052233969</v>
      </c>
      <c r="U25" s="37">
        <f t="shared" ca="1" si="3"/>
        <v>9.6717415110714704</v>
      </c>
      <c r="V25" s="37">
        <f t="shared" ca="1" si="3"/>
        <v>10.207720677851615</v>
      </c>
      <c r="W25" s="37">
        <f t="shared" ca="1" si="3"/>
        <v>12.603948033499904</v>
      </c>
      <c r="X25" s="37">
        <f t="shared" ca="1" si="3"/>
        <v>13.970075010723656</v>
      </c>
      <c r="Y25" s="37">
        <f t="shared" ca="1" si="3"/>
        <v>14.120973484478501</v>
      </c>
      <c r="Z25" s="37">
        <f t="shared" ca="1" si="3"/>
        <v>9.3023942342090713</v>
      </c>
      <c r="AA25" s="38">
        <f t="shared" ca="1" si="3"/>
        <v>10.98188001110281</v>
      </c>
      <c r="AB25" s="27"/>
      <c r="AC25" s="12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</row>
    <row r="26" spans="1:57" x14ac:dyDescent="0.25">
      <c r="A26" s="39">
        <v>24</v>
      </c>
      <c r="B26" s="40" t="s">
        <v>20</v>
      </c>
      <c r="C26" s="34">
        <v>1</v>
      </c>
      <c r="D26" s="34">
        <v>8</v>
      </c>
      <c r="E26" s="35">
        <v>1</v>
      </c>
      <c r="F26" s="27"/>
      <c r="G26" s="41">
        <v>24</v>
      </c>
      <c r="H26" s="36">
        <f t="shared" ca="1" si="2"/>
        <v>8.0862974382033403</v>
      </c>
      <c r="I26" s="37">
        <f t="shared" ca="1" si="2"/>
        <v>8.619943885821165</v>
      </c>
      <c r="J26" s="37">
        <f t="shared" ca="1" si="2"/>
        <v>7.222749659683358</v>
      </c>
      <c r="K26" s="37">
        <f t="shared" ca="1" si="2"/>
        <v>7.0240790690696953</v>
      </c>
      <c r="L26" s="37">
        <f t="shared" ca="1" si="2"/>
        <v>9.7202639015838201</v>
      </c>
      <c r="M26" s="37">
        <f t="shared" ca="1" si="2"/>
        <v>9.0153162231090089</v>
      </c>
      <c r="N26" s="37">
        <f t="shared" ca="1" si="2"/>
        <v>8.0628960046996312</v>
      </c>
      <c r="O26" s="37">
        <f t="shared" ca="1" si="2"/>
        <v>7.5125300467513645</v>
      </c>
      <c r="P26" s="37">
        <f t="shared" ca="1" si="2"/>
        <v>8.6642871684649645</v>
      </c>
      <c r="Q26" s="37">
        <f t="shared" ca="1" si="2"/>
        <v>6.2023351034320697</v>
      </c>
      <c r="R26" s="37">
        <f t="shared" ca="1" si="3"/>
        <v>7.6582384415865583</v>
      </c>
      <c r="S26" s="37">
        <f t="shared" ca="1" si="3"/>
        <v>8.2669779475826637</v>
      </c>
      <c r="T26" s="37">
        <f t="shared" ca="1" si="3"/>
        <v>7.688076562913988</v>
      </c>
      <c r="U26" s="37">
        <f t="shared" ca="1" si="3"/>
        <v>8.3246630646769972</v>
      </c>
      <c r="V26" s="37">
        <f t="shared" ca="1" si="3"/>
        <v>9.7571626189877563</v>
      </c>
      <c r="W26" s="37">
        <f t="shared" ca="1" si="3"/>
        <v>6.6335153553499451</v>
      </c>
      <c r="X26" s="37">
        <f t="shared" ca="1" si="3"/>
        <v>8.9683255021130162</v>
      </c>
      <c r="Y26" s="37">
        <f t="shared" ca="1" si="3"/>
        <v>7.9472424444425975</v>
      </c>
      <c r="Z26" s="37">
        <f t="shared" ca="1" si="3"/>
        <v>8.1282722111754424</v>
      </c>
      <c r="AA26" s="38">
        <f t="shared" ca="1" si="3"/>
        <v>6.5300407853517672</v>
      </c>
      <c r="AB26" s="27"/>
      <c r="AC26" s="12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</row>
    <row r="27" spans="1:57" x14ac:dyDescent="0.25">
      <c r="A27" s="39">
        <v>25</v>
      </c>
      <c r="B27" s="40" t="s">
        <v>18</v>
      </c>
      <c r="C27" s="34">
        <v>1</v>
      </c>
      <c r="D27" s="34">
        <v>11</v>
      </c>
      <c r="E27" s="35">
        <v>2</v>
      </c>
      <c r="F27" s="27"/>
      <c r="G27" s="41">
        <v>25</v>
      </c>
      <c r="H27" s="36">
        <f t="shared" ca="1" si="2"/>
        <v>11.475138542947388</v>
      </c>
      <c r="I27" s="37">
        <f t="shared" ca="1" si="2"/>
        <v>8.0522789140055533</v>
      </c>
      <c r="J27" s="37">
        <f t="shared" ca="1" si="2"/>
        <v>10.01766519564476</v>
      </c>
      <c r="K27" s="37">
        <f t="shared" ca="1" si="2"/>
        <v>12.449284556295197</v>
      </c>
      <c r="L27" s="37">
        <f t="shared" ca="1" si="2"/>
        <v>9.8450177868377793</v>
      </c>
      <c r="M27" s="37">
        <f t="shared" ca="1" si="2"/>
        <v>12.140310037069712</v>
      </c>
      <c r="N27" s="37">
        <f t="shared" ca="1" si="2"/>
        <v>9.1419480356646012</v>
      </c>
      <c r="O27" s="37">
        <f t="shared" ca="1" si="2"/>
        <v>13.723737853958855</v>
      </c>
      <c r="P27" s="37">
        <f t="shared" ca="1" si="2"/>
        <v>10.531732787658783</v>
      </c>
      <c r="Q27" s="37">
        <f t="shared" ca="1" si="2"/>
        <v>11.622298247161158</v>
      </c>
      <c r="R27" s="37">
        <f t="shared" ca="1" si="3"/>
        <v>8.1365277806477003</v>
      </c>
      <c r="S27" s="37">
        <f t="shared" ca="1" si="3"/>
        <v>11.053099164183909</v>
      </c>
      <c r="T27" s="37">
        <f t="shared" ca="1" si="3"/>
        <v>10.15400176838337</v>
      </c>
      <c r="U27" s="37">
        <f t="shared" ca="1" si="3"/>
        <v>12.70991224967694</v>
      </c>
      <c r="V27" s="37">
        <f t="shared" ca="1" si="3"/>
        <v>12.170332862328639</v>
      </c>
      <c r="W27" s="37">
        <f t="shared" ca="1" si="3"/>
        <v>6.3643436050984512</v>
      </c>
      <c r="X27" s="37">
        <f t="shared" ca="1" si="3"/>
        <v>8.7587547991603536</v>
      </c>
      <c r="Y27" s="37">
        <f t="shared" ca="1" si="3"/>
        <v>12.977828824993134</v>
      </c>
      <c r="Z27" s="37">
        <f t="shared" ca="1" si="3"/>
        <v>13.405230561096936</v>
      </c>
      <c r="AA27" s="38">
        <f t="shared" ca="1" si="3"/>
        <v>11.589325217084689</v>
      </c>
      <c r="AB27" s="27"/>
      <c r="AC27" s="12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</row>
    <row r="28" spans="1:57" x14ac:dyDescent="0.25">
      <c r="A28" s="39">
        <v>26</v>
      </c>
      <c r="B28" s="40" t="s">
        <v>21</v>
      </c>
      <c r="C28" s="34">
        <v>1</v>
      </c>
      <c r="D28" s="34">
        <v>8</v>
      </c>
      <c r="E28" s="35">
        <v>1</v>
      </c>
      <c r="F28" s="27"/>
      <c r="G28" s="41">
        <v>26</v>
      </c>
      <c r="H28" s="36">
        <f t="shared" ca="1" si="2"/>
        <v>9.0571723943817108</v>
      </c>
      <c r="I28" s="37">
        <f t="shared" ca="1" si="2"/>
        <v>9.3842784615813262</v>
      </c>
      <c r="J28" s="37">
        <f t="shared" ca="1" si="2"/>
        <v>8.1110192871156439</v>
      </c>
      <c r="K28" s="37">
        <f t="shared" ca="1" si="2"/>
        <v>7.8684404190462267</v>
      </c>
      <c r="L28" s="37">
        <f t="shared" ca="1" si="2"/>
        <v>8.0532948352076552</v>
      </c>
      <c r="M28" s="37">
        <f t="shared" ca="1" si="2"/>
        <v>6.4280599072549069</v>
      </c>
      <c r="N28" s="37">
        <f t="shared" ca="1" si="2"/>
        <v>9.3825944124832183</v>
      </c>
      <c r="O28" s="37">
        <f t="shared" ca="1" si="2"/>
        <v>7.5445858375395431</v>
      </c>
      <c r="P28" s="37">
        <f t="shared" ca="1" si="2"/>
        <v>7.2921884787021387</v>
      </c>
      <c r="Q28" s="37">
        <f t="shared" ca="1" si="2"/>
        <v>6.0613322439081818</v>
      </c>
      <c r="R28" s="37">
        <f t="shared" ca="1" si="3"/>
        <v>7.7895272722798303</v>
      </c>
      <c r="S28" s="37">
        <f t="shared" ca="1" si="3"/>
        <v>7.4770104266134014</v>
      </c>
      <c r="T28" s="37">
        <f t="shared" ca="1" si="3"/>
        <v>8.9036387772356953</v>
      </c>
      <c r="U28" s="37">
        <f t="shared" ca="1" si="3"/>
        <v>9.2738956643056802</v>
      </c>
      <c r="V28" s="37">
        <f t="shared" ca="1" si="3"/>
        <v>9.6159529194564648</v>
      </c>
      <c r="W28" s="37">
        <f t="shared" ca="1" si="3"/>
        <v>8.2552944083940165</v>
      </c>
      <c r="X28" s="37">
        <f t="shared" ca="1" si="3"/>
        <v>8.0233060344172547</v>
      </c>
      <c r="Y28" s="37">
        <f t="shared" ca="1" si="3"/>
        <v>7.4640223840907289</v>
      </c>
      <c r="Z28" s="37">
        <f t="shared" ca="1" si="3"/>
        <v>8.0403265140625191</v>
      </c>
      <c r="AA28" s="38">
        <f t="shared" ca="1" si="3"/>
        <v>6.8820389582722239</v>
      </c>
      <c r="AB28" s="27"/>
      <c r="AC28" s="12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</row>
    <row r="29" spans="1:57" x14ac:dyDescent="0.25">
      <c r="A29" s="32">
        <v>27</v>
      </c>
      <c r="B29" s="40" t="s">
        <v>18</v>
      </c>
      <c r="C29" s="34">
        <v>1</v>
      </c>
      <c r="D29" s="34">
        <v>11</v>
      </c>
      <c r="E29" s="35">
        <v>2</v>
      </c>
      <c r="F29" s="27"/>
      <c r="G29" s="28">
        <v>27</v>
      </c>
      <c r="H29" s="36">
        <f t="shared" ca="1" si="2"/>
        <v>14.265425219698775</v>
      </c>
      <c r="I29" s="37">
        <f t="shared" ca="1" si="2"/>
        <v>10.153956865672029</v>
      </c>
      <c r="J29" s="37">
        <f t="shared" ca="1" si="2"/>
        <v>12.342410329867494</v>
      </c>
      <c r="K29" s="37">
        <f t="shared" ca="1" si="2"/>
        <v>12.428021394173538</v>
      </c>
      <c r="L29" s="37">
        <f t="shared" ca="1" si="2"/>
        <v>12.030796137023131</v>
      </c>
      <c r="M29" s="37">
        <f t="shared" ca="1" si="2"/>
        <v>15.511941649237656</v>
      </c>
      <c r="N29" s="37">
        <f t="shared" ca="1" si="2"/>
        <v>10.561741177455005</v>
      </c>
      <c r="O29" s="37">
        <f t="shared" ca="1" si="2"/>
        <v>10.606971536905261</v>
      </c>
      <c r="P29" s="37">
        <f t="shared" ca="1" si="2"/>
        <v>9.7644036450199483</v>
      </c>
      <c r="Q29" s="37">
        <f t="shared" ca="1" si="2"/>
        <v>10.11717338818006</v>
      </c>
      <c r="R29" s="37">
        <f t="shared" ca="1" si="3"/>
        <v>12.811394152179549</v>
      </c>
      <c r="S29" s="37">
        <f t="shared" ca="1" si="3"/>
        <v>13.520904493204295</v>
      </c>
      <c r="T29" s="37">
        <f t="shared" ca="1" si="3"/>
        <v>13.352168839921427</v>
      </c>
      <c r="U29" s="37">
        <f t="shared" ca="1" si="3"/>
        <v>9.7398578566094969</v>
      </c>
      <c r="V29" s="37">
        <f t="shared" ca="1" si="3"/>
        <v>7.2439590436368846</v>
      </c>
      <c r="W29" s="37">
        <f t="shared" ca="1" si="3"/>
        <v>10.228608973031289</v>
      </c>
      <c r="X29" s="37">
        <f t="shared" ca="1" si="3"/>
        <v>8.3485073957118008</v>
      </c>
      <c r="Y29" s="37">
        <f t="shared" ca="1" si="3"/>
        <v>9.1433002829673473</v>
      </c>
      <c r="Z29" s="37">
        <f t="shared" ca="1" si="3"/>
        <v>9.6166221858703089</v>
      </c>
      <c r="AA29" s="38">
        <f t="shared" ca="1" si="3"/>
        <v>11.183570568245703</v>
      </c>
      <c r="AB29" s="27"/>
      <c r="AC29" s="12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</row>
    <row r="30" spans="1:57" x14ac:dyDescent="0.25">
      <c r="A30" s="32">
        <v>28</v>
      </c>
      <c r="B30" s="40" t="s">
        <v>22</v>
      </c>
      <c r="C30" s="34">
        <v>1</v>
      </c>
      <c r="D30" s="34">
        <v>8</v>
      </c>
      <c r="E30" s="35">
        <v>1</v>
      </c>
      <c r="F30" s="27"/>
      <c r="G30" s="28">
        <v>28</v>
      </c>
      <c r="H30" s="36">
        <f t="shared" ca="1" si="2"/>
        <v>7.8206404655306754</v>
      </c>
      <c r="I30" s="37">
        <f t="shared" ca="1" si="2"/>
        <v>8.1888413170256094</v>
      </c>
      <c r="J30" s="37">
        <f t="shared" ca="1" si="2"/>
        <v>6.9082841014580927</v>
      </c>
      <c r="K30" s="37">
        <f t="shared" ca="1" si="2"/>
        <v>8.351492093524767</v>
      </c>
      <c r="L30" s="37">
        <f t="shared" ca="1" si="2"/>
        <v>8.9643004461250761</v>
      </c>
      <c r="M30" s="37">
        <f t="shared" ca="1" si="2"/>
        <v>7.2380425244204964</v>
      </c>
      <c r="N30" s="37">
        <f t="shared" ca="1" si="2"/>
        <v>7.8404773169997313</v>
      </c>
      <c r="O30" s="37">
        <f t="shared" ca="1" si="2"/>
        <v>8.2139851246361815</v>
      </c>
      <c r="P30" s="37">
        <f t="shared" ca="1" si="2"/>
        <v>9.1436049746049903</v>
      </c>
      <c r="Q30" s="37">
        <f t="shared" ca="1" si="2"/>
        <v>8.2822122299731475</v>
      </c>
      <c r="R30" s="37">
        <f t="shared" ca="1" si="3"/>
        <v>7.3962002585210511</v>
      </c>
      <c r="S30" s="37">
        <f t="shared" ca="1" si="3"/>
        <v>8.8716701170116679</v>
      </c>
      <c r="T30" s="37">
        <f t="shared" ca="1" si="3"/>
        <v>9.5034550450539736</v>
      </c>
      <c r="U30" s="37">
        <f t="shared" ca="1" si="3"/>
        <v>8.383667418008546</v>
      </c>
      <c r="V30" s="37">
        <f t="shared" ca="1" si="3"/>
        <v>8.3688475853100925</v>
      </c>
      <c r="W30" s="37">
        <f t="shared" ca="1" si="3"/>
        <v>7.4417971519064743</v>
      </c>
      <c r="X30" s="37">
        <f t="shared" ca="1" si="3"/>
        <v>8.2183846743666571</v>
      </c>
      <c r="Y30" s="37">
        <f t="shared" ca="1" si="3"/>
        <v>8.4995239614387526</v>
      </c>
      <c r="Z30" s="37">
        <f t="shared" ca="1" si="3"/>
        <v>7.6606530784500615</v>
      </c>
      <c r="AA30" s="38">
        <f t="shared" ca="1" si="3"/>
        <v>6.8465453002728065</v>
      </c>
      <c r="AB30" s="27"/>
      <c r="AC30" s="12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</row>
    <row r="31" spans="1:57" x14ac:dyDescent="0.25">
      <c r="A31" s="32">
        <v>29</v>
      </c>
      <c r="B31" s="40" t="s">
        <v>18</v>
      </c>
      <c r="C31" s="34">
        <v>1</v>
      </c>
      <c r="D31" s="34">
        <v>11</v>
      </c>
      <c r="E31" s="35">
        <v>2</v>
      </c>
      <c r="F31" s="27"/>
      <c r="G31" s="28">
        <v>29</v>
      </c>
      <c r="H31" s="36">
        <f t="shared" ca="1" si="2"/>
        <v>10.90733378753219</v>
      </c>
      <c r="I31" s="37">
        <f t="shared" ca="1" si="2"/>
        <v>12.002526231908977</v>
      </c>
      <c r="J31" s="37">
        <f t="shared" ca="1" si="2"/>
        <v>11.116183190231656</v>
      </c>
      <c r="K31" s="37">
        <f t="shared" ca="1" si="2"/>
        <v>14.166768657207136</v>
      </c>
      <c r="L31" s="37">
        <f t="shared" ca="1" si="2"/>
        <v>12.430808511536791</v>
      </c>
      <c r="M31" s="37">
        <f t="shared" ca="1" si="2"/>
        <v>14.189141376804098</v>
      </c>
      <c r="N31" s="37">
        <f t="shared" ca="1" si="2"/>
        <v>11.469201043183725</v>
      </c>
      <c r="O31" s="37">
        <f t="shared" ca="1" si="2"/>
        <v>9.8123220581358357</v>
      </c>
      <c r="P31" s="37">
        <f t="shared" ca="1" si="2"/>
        <v>12.963254468817254</v>
      </c>
      <c r="Q31" s="37">
        <f t="shared" ca="1" si="2"/>
        <v>11.44204320785537</v>
      </c>
      <c r="R31" s="37">
        <f t="shared" ca="1" si="3"/>
        <v>10.236640434090008</v>
      </c>
      <c r="S31" s="37">
        <f t="shared" ca="1" si="3"/>
        <v>8.3509116301958777</v>
      </c>
      <c r="T31" s="37">
        <f t="shared" ca="1" si="3"/>
        <v>13.152581677248333</v>
      </c>
      <c r="U31" s="37">
        <f t="shared" ca="1" si="3"/>
        <v>15.237244611322996</v>
      </c>
      <c r="V31" s="37">
        <f t="shared" ca="1" si="3"/>
        <v>10.813176823690709</v>
      </c>
      <c r="W31" s="37">
        <f t="shared" ca="1" si="3"/>
        <v>12.658047375780956</v>
      </c>
      <c r="X31" s="37">
        <f t="shared" ca="1" si="3"/>
        <v>13.542744746136711</v>
      </c>
      <c r="Y31" s="37">
        <f t="shared" ca="1" si="3"/>
        <v>10.340546299268697</v>
      </c>
      <c r="Z31" s="37">
        <f t="shared" ca="1" si="3"/>
        <v>7.6157942499531757</v>
      </c>
      <c r="AA31" s="38">
        <f t="shared" ca="1" si="3"/>
        <v>7.8717640450245012</v>
      </c>
      <c r="AB31" s="27"/>
      <c r="AC31" s="12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</row>
    <row r="32" spans="1:57" x14ac:dyDescent="0.25">
      <c r="A32" s="32">
        <v>30</v>
      </c>
      <c r="B32" s="40" t="s">
        <v>23</v>
      </c>
      <c r="C32" s="34">
        <v>1</v>
      </c>
      <c r="D32" s="34">
        <v>8</v>
      </c>
      <c r="E32" s="35">
        <v>1</v>
      </c>
      <c r="F32" s="27"/>
      <c r="G32" s="28">
        <v>30</v>
      </c>
      <c r="H32" s="36">
        <f t="shared" ca="1" si="2"/>
        <v>9.446839493493755</v>
      </c>
      <c r="I32" s="37">
        <f t="shared" ca="1" si="2"/>
        <v>7.203237392434775</v>
      </c>
      <c r="J32" s="37">
        <f t="shared" ca="1" si="2"/>
        <v>7.0092059889670821</v>
      </c>
      <c r="K32" s="37">
        <f t="shared" ca="1" si="2"/>
        <v>8.4900805500822152</v>
      </c>
      <c r="L32" s="37">
        <f t="shared" ca="1" si="2"/>
        <v>8.4206510601658699</v>
      </c>
      <c r="M32" s="37">
        <f t="shared" ca="1" si="2"/>
        <v>10.43259676745452</v>
      </c>
      <c r="N32" s="37">
        <f t="shared" ca="1" si="2"/>
        <v>8.3011798996612161</v>
      </c>
      <c r="O32" s="37">
        <f t="shared" ca="1" si="2"/>
        <v>9.6612784595803198</v>
      </c>
      <c r="P32" s="37">
        <f t="shared" ca="1" si="2"/>
        <v>8.2545605609230996</v>
      </c>
      <c r="Q32" s="37">
        <f t="shared" ca="1" si="2"/>
        <v>9.1775637516182673</v>
      </c>
      <c r="R32" s="37">
        <f t="shared" ca="1" si="3"/>
        <v>6.8690660582958856</v>
      </c>
      <c r="S32" s="37">
        <f t="shared" ca="1" si="3"/>
        <v>8.1689518413520741</v>
      </c>
      <c r="T32" s="37">
        <f t="shared" ca="1" si="3"/>
        <v>9.2732533989650268</v>
      </c>
      <c r="U32" s="37">
        <f t="shared" ca="1" si="3"/>
        <v>6.5198478819817707</v>
      </c>
      <c r="V32" s="37">
        <f t="shared" ca="1" si="3"/>
        <v>8.3237929673686004</v>
      </c>
      <c r="W32" s="37">
        <f t="shared" ca="1" si="3"/>
        <v>8.7604338364215621</v>
      </c>
      <c r="X32" s="37">
        <f t="shared" ca="1" si="3"/>
        <v>7.4436776572075036</v>
      </c>
      <c r="Y32" s="37">
        <f t="shared" ca="1" si="3"/>
        <v>8.8752859926035228</v>
      </c>
      <c r="Z32" s="37">
        <f t="shared" ca="1" si="3"/>
        <v>7.5654182685796441</v>
      </c>
      <c r="AA32" s="38">
        <f t="shared" ca="1" si="3"/>
        <v>7.851609245802031</v>
      </c>
      <c r="AB32" s="27"/>
      <c r="AC32" s="12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</row>
    <row r="33" spans="1:57" x14ac:dyDescent="0.25">
      <c r="A33" s="32">
        <v>31</v>
      </c>
      <c r="B33" s="40" t="s">
        <v>18</v>
      </c>
      <c r="C33" s="34">
        <v>1</v>
      </c>
      <c r="D33" s="34">
        <v>11</v>
      </c>
      <c r="E33" s="35">
        <v>2</v>
      </c>
      <c r="F33" s="27"/>
      <c r="G33" s="28">
        <v>31</v>
      </c>
      <c r="H33" s="36">
        <f t="shared" ca="1" si="2"/>
        <v>8.8709925073785492</v>
      </c>
      <c r="I33" s="37">
        <f t="shared" ca="1" si="2"/>
        <v>10.76780452203152</v>
      </c>
      <c r="J33" s="37">
        <f t="shared" ca="1" si="2"/>
        <v>12.555509001587469</v>
      </c>
      <c r="K33" s="37">
        <f t="shared" ca="1" si="2"/>
        <v>11.481092641708079</v>
      </c>
      <c r="L33" s="37">
        <f t="shared" ca="1" si="2"/>
        <v>14.565271880592501</v>
      </c>
      <c r="M33" s="37">
        <f t="shared" ca="1" si="2"/>
        <v>12.804974989353227</v>
      </c>
      <c r="N33" s="37">
        <f t="shared" ca="1" si="2"/>
        <v>7.895580296882966</v>
      </c>
      <c r="O33" s="37">
        <f t="shared" ca="1" si="2"/>
        <v>12.45192157188125</v>
      </c>
      <c r="P33" s="37">
        <f t="shared" ca="1" si="2"/>
        <v>8.7044054581711467</v>
      </c>
      <c r="Q33" s="37">
        <f t="shared" ca="1" si="2"/>
        <v>14.309580964017872</v>
      </c>
      <c r="R33" s="37">
        <f t="shared" ca="1" si="3"/>
        <v>12.801042380404814</v>
      </c>
      <c r="S33" s="37">
        <f t="shared" ca="1" si="3"/>
        <v>10.157039904297585</v>
      </c>
      <c r="T33" s="37">
        <f t="shared" ca="1" si="3"/>
        <v>8.5172520168016721</v>
      </c>
      <c r="U33" s="37">
        <f t="shared" ca="1" si="3"/>
        <v>8.9323988687829541</v>
      </c>
      <c r="V33" s="37">
        <f t="shared" ca="1" si="3"/>
        <v>10.29052227750838</v>
      </c>
      <c r="W33" s="37">
        <f t="shared" ca="1" si="3"/>
        <v>10.216485080243242</v>
      </c>
      <c r="X33" s="37">
        <f t="shared" ca="1" si="3"/>
        <v>5.8678772715219534</v>
      </c>
      <c r="Y33" s="37">
        <f t="shared" ca="1" si="3"/>
        <v>12.360102841134321</v>
      </c>
      <c r="Z33" s="37">
        <f t="shared" ca="1" si="3"/>
        <v>16.607060697938962</v>
      </c>
      <c r="AA33" s="38">
        <f t="shared" ca="1" si="3"/>
        <v>10.402539330641893</v>
      </c>
      <c r="AB33" s="27"/>
      <c r="AC33" s="12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</row>
    <row r="34" spans="1:57" x14ac:dyDescent="0.25">
      <c r="A34" s="32">
        <v>32</v>
      </c>
      <c r="B34" s="40" t="s">
        <v>24</v>
      </c>
      <c r="C34" s="34">
        <v>1</v>
      </c>
      <c r="D34" s="34">
        <v>8</v>
      </c>
      <c r="E34" s="35">
        <v>1</v>
      </c>
      <c r="F34" s="27"/>
      <c r="G34" s="28">
        <v>32</v>
      </c>
      <c r="H34" s="36">
        <f t="shared" ca="1" si="2"/>
        <v>7.140942204043113</v>
      </c>
      <c r="I34" s="37">
        <f t="shared" ca="1" si="2"/>
        <v>8.1278295705670729</v>
      </c>
      <c r="J34" s="37">
        <f t="shared" ca="1" si="2"/>
        <v>8.5035745644123999</v>
      </c>
      <c r="K34" s="37">
        <f t="shared" ca="1" si="2"/>
        <v>7.9933620737692115</v>
      </c>
      <c r="L34" s="37">
        <f t="shared" ca="1" si="2"/>
        <v>7.7782722587141437</v>
      </c>
      <c r="M34" s="37">
        <f t="shared" ca="1" si="2"/>
        <v>7.2732164166056217</v>
      </c>
      <c r="N34" s="37">
        <f t="shared" ca="1" si="2"/>
        <v>8.5809257798430902</v>
      </c>
      <c r="O34" s="37">
        <f t="shared" ca="1" si="2"/>
        <v>7.697720727681725</v>
      </c>
      <c r="P34" s="37">
        <f t="shared" ca="1" si="2"/>
        <v>8.3118197756837056</v>
      </c>
      <c r="Q34" s="37">
        <f t="shared" ca="1" si="2"/>
        <v>6.8973796827441411</v>
      </c>
      <c r="R34" s="37">
        <f t="shared" ca="1" si="3"/>
        <v>7.2185359039687951</v>
      </c>
      <c r="S34" s="37">
        <f t="shared" ca="1" si="3"/>
        <v>8.2560602437771191</v>
      </c>
      <c r="T34" s="37">
        <f t="shared" ca="1" si="3"/>
        <v>8.2493855533415257</v>
      </c>
      <c r="U34" s="37">
        <f t="shared" ca="1" si="3"/>
        <v>7.5386676817812761</v>
      </c>
      <c r="V34" s="37">
        <f t="shared" ca="1" si="3"/>
        <v>8.2866791494871688</v>
      </c>
      <c r="W34" s="37">
        <f t="shared" ca="1" si="3"/>
        <v>10.028454980160392</v>
      </c>
      <c r="X34" s="37">
        <f t="shared" ca="1" si="3"/>
        <v>8.9515242657510399</v>
      </c>
      <c r="Y34" s="37">
        <f t="shared" ca="1" si="3"/>
        <v>6.6930757926516531</v>
      </c>
      <c r="Z34" s="37">
        <f t="shared" ca="1" si="3"/>
        <v>8.1028591902054057</v>
      </c>
      <c r="AA34" s="38">
        <f t="shared" ca="1" si="3"/>
        <v>7.4297346774407984</v>
      </c>
      <c r="AB34" s="27"/>
      <c r="AC34" s="12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</row>
    <row r="35" spans="1:57" x14ac:dyDescent="0.25">
      <c r="A35" s="32">
        <v>33</v>
      </c>
      <c r="B35" s="40" t="s">
        <v>18</v>
      </c>
      <c r="C35" s="34">
        <v>1</v>
      </c>
      <c r="D35" s="34">
        <v>11</v>
      </c>
      <c r="E35" s="35">
        <v>2</v>
      </c>
      <c r="F35" s="27"/>
      <c r="G35" s="28">
        <v>33</v>
      </c>
      <c r="H35" s="36">
        <f t="shared" ref="H35:W41" ca="1" si="4">_xlfn.NORM.INV(RAND(),$D35,$E35)</f>
        <v>13.163408850121947</v>
      </c>
      <c r="I35" s="37">
        <f t="shared" ca="1" si="4"/>
        <v>11.037218805816408</v>
      </c>
      <c r="J35" s="37">
        <f t="shared" ca="1" si="4"/>
        <v>8.8114873931317526</v>
      </c>
      <c r="K35" s="37">
        <f t="shared" ca="1" si="4"/>
        <v>10.548974163451529</v>
      </c>
      <c r="L35" s="37">
        <f t="shared" ca="1" si="4"/>
        <v>10.586024857312898</v>
      </c>
      <c r="M35" s="37">
        <f t="shared" ca="1" si="4"/>
        <v>12.089742170910039</v>
      </c>
      <c r="N35" s="37">
        <f t="shared" ca="1" si="4"/>
        <v>6.0174615153063353</v>
      </c>
      <c r="O35" s="37">
        <f t="shared" ca="1" si="4"/>
        <v>11.878643744039699</v>
      </c>
      <c r="P35" s="37">
        <f t="shared" ca="1" si="4"/>
        <v>8.4903879438653291</v>
      </c>
      <c r="Q35" s="37">
        <f t="shared" ca="1" si="4"/>
        <v>9.9221925432813016</v>
      </c>
      <c r="R35" s="37">
        <f t="shared" ca="1" si="4"/>
        <v>9.6157557872944359</v>
      </c>
      <c r="S35" s="37">
        <f t="shared" ca="1" si="4"/>
        <v>15.742010485146611</v>
      </c>
      <c r="T35" s="37">
        <f t="shared" ca="1" si="4"/>
        <v>8.8572053942974787</v>
      </c>
      <c r="U35" s="37">
        <f t="shared" ca="1" si="4"/>
        <v>9.3218508388321855</v>
      </c>
      <c r="V35" s="37">
        <f t="shared" ca="1" si="4"/>
        <v>7.0923917974070232</v>
      </c>
      <c r="W35" s="37">
        <f t="shared" ca="1" si="4"/>
        <v>10.50758819552075</v>
      </c>
      <c r="X35" s="37">
        <f t="shared" ref="R35:AA41" ca="1" si="5">_xlfn.NORM.INV(RAND(),$D35,$E35)</f>
        <v>13.429211532774364</v>
      </c>
      <c r="Y35" s="37">
        <f t="shared" ca="1" si="5"/>
        <v>14.276040863084436</v>
      </c>
      <c r="Z35" s="37">
        <f t="shared" ca="1" si="5"/>
        <v>10.988585834435527</v>
      </c>
      <c r="AA35" s="38">
        <f t="shared" ca="1" si="5"/>
        <v>10.658219886061085</v>
      </c>
      <c r="AB35" s="27"/>
      <c r="AC35" s="12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</row>
    <row r="36" spans="1:57" x14ac:dyDescent="0.25">
      <c r="A36" s="32">
        <v>34</v>
      </c>
      <c r="B36" s="40" t="s">
        <v>25</v>
      </c>
      <c r="C36" s="34">
        <v>1</v>
      </c>
      <c r="D36" s="34">
        <v>8</v>
      </c>
      <c r="E36" s="35">
        <v>1</v>
      </c>
      <c r="F36" s="27"/>
      <c r="G36" s="28">
        <v>34</v>
      </c>
      <c r="H36" s="36">
        <f t="shared" ca="1" si="4"/>
        <v>7.147939877115367</v>
      </c>
      <c r="I36" s="37">
        <f t="shared" ca="1" si="4"/>
        <v>7.3979210767198431</v>
      </c>
      <c r="J36" s="37">
        <f t="shared" ca="1" si="4"/>
        <v>7.1982184738500026</v>
      </c>
      <c r="K36" s="37">
        <f t="shared" ca="1" si="4"/>
        <v>7.5478047162226893</v>
      </c>
      <c r="L36" s="37">
        <f t="shared" ca="1" si="4"/>
        <v>7.9134898930231641</v>
      </c>
      <c r="M36" s="37">
        <f t="shared" ca="1" si="4"/>
        <v>7.9716463593188145</v>
      </c>
      <c r="N36" s="37">
        <f t="shared" ca="1" si="4"/>
        <v>10.266196341320363</v>
      </c>
      <c r="O36" s="37">
        <f t="shared" ca="1" si="4"/>
        <v>7.7901423192317543</v>
      </c>
      <c r="P36" s="37">
        <f t="shared" ca="1" si="4"/>
        <v>7.7056376327547893</v>
      </c>
      <c r="Q36" s="37">
        <f t="shared" ca="1" si="4"/>
        <v>7.8996416603111754</v>
      </c>
      <c r="R36" s="37">
        <f t="shared" ca="1" si="5"/>
        <v>9.0805976849526058</v>
      </c>
      <c r="S36" s="37">
        <f t="shared" ca="1" si="5"/>
        <v>8.4816352734837057</v>
      </c>
      <c r="T36" s="37">
        <f t="shared" ca="1" si="5"/>
        <v>7.8164244753863832</v>
      </c>
      <c r="U36" s="37">
        <f t="shared" ca="1" si="5"/>
        <v>8.525130076006004</v>
      </c>
      <c r="V36" s="37">
        <f t="shared" ca="1" si="5"/>
        <v>5.7738832061726892</v>
      </c>
      <c r="W36" s="37">
        <f t="shared" ca="1" si="5"/>
        <v>8.6785485018528377</v>
      </c>
      <c r="X36" s="37">
        <f t="shared" ca="1" si="5"/>
        <v>7.0788003449421888</v>
      </c>
      <c r="Y36" s="37">
        <f t="shared" ca="1" si="5"/>
        <v>7.0351913663496415</v>
      </c>
      <c r="Z36" s="37">
        <f t="shared" ca="1" si="5"/>
        <v>8.4793150699627411</v>
      </c>
      <c r="AA36" s="38">
        <f t="shared" ca="1" si="5"/>
        <v>8.3860924352769928</v>
      </c>
      <c r="AB36" s="27"/>
      <c r="AC36" s="12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</row>
    <row r="37" spans="1:57" x14ac:dyDescent="0.25">
      <c r="A37" s="32">
        <v>35</v>
      </c>
      <c r="B37" s="40" t="s">
        <v>18</v>
      </c>
      <c r="C37" s="34">
        <v>1</v>
      </c>
      <c r="D37" s="34">
        <v>11</v>
      </c>
      <c r="E37" s="35">
        <v>2</v>
      </c>
      <c r="F37" s="27"/>
      <c r="G37" s="28">
        <v>35</v>
      </c>
      <c r="H37" s="36">
        <f t="shared" ca="1" si="4"/>
        <v>11.369513964224307</v>
      </c>
      <c r="I37" s="37">
        <f t="shared" ca="1" si="4"/>
        <v>13.146889693729756</v>
      </c>
      <c r="J37" s="37">
        <f t="shared" ca="1" si="4"/>
        <v>9.8090893218360797</v>
      </c>
      <c r="K37" s="37">
        <f t="shared" ca="1" si="4"/>
        <v>10.422656563041555</v>
      </c>
      <c r="L37" s="37">
        <f t="shared" ca="1" si="4"/>
        <v>8.7573147121078794</v>
      </c>
      <c r="M37" s="37">
        <f t="shared" ca="1" si="4"/>
        <v>9.3761275157283492</v>
      </c>
      <c r="N37" s="37">
        <f t="shared" ca="1" si="4"/>
        <v>9.2575204366982256</v>
      </c>
      <c r="O37" s="37">
        <f t="shared" ca="1" si="4"/>
        <v>11.868652706982992</v>
      </c>
      <c r="P37" s="37">
        <f t="shared" ca="1" si="4"/>
        <v>10.322488006194247</v>
      </c>
      <c r="Q37" s="37">
        <f t="shared" ca="1" si="4"/>
        <v>10.573216059352326</v>
      </c>
      <c r="R37" s="37">
        <f t="shared" ca="1" si="5"/>
        <v>12.635501419750367</v>
      </c>
      <c r="S37" s="37">
        <f t="shared" ca="1" si="5"/>
        <v>7.9815888682719107</v>
      </c>
      <c r="T37" s="37">
        <f t="shared" ca="1" si="5"/>
        <v>8.516472235827333</v>
      </c>
      <c r="U37" s="37">
        <f t="shared" ca="1" si="5"/>
        <v>7.8611681381066356</v>
      </c>
      <c r="V37" s="37">
        <f t="shared" ca="1" si="5"/>
        <v>8.289944315233754</v>
      </c>
      <c r="W37" s="37">
        <f t="shared" ca="1" si="5"/>
        <v>10.238351399524461</v>
      </c>
      <c r="X37" s="37">
        <f t="shared" ca="1" si="5"/>
        <v>11.39646337913948</v>
      </c>
      <c r="Y37" s="37">
        <f t="shared" ca="1" si="5"/>
        <v>6.3841267546424056</v>
      </c>
      <c r="Z37" s="37">
        <f t="shared" ca="1" si="5"/>
        <v>9.0340775208096176</v>
      </c>
      <c r="AA37" s="38">
        <f t="shared" ca="1" si="5"/>
        <v>12.286840783427346</v>
      </c>
      <c r="AB37" s="27"/>
      <c r="AC37" s="12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</row>
    <row r="38" spans="1:57" x14ac:dyDescent="0.25">
      <c r="A38" s="32">
        <v>36</v>
      </c>
      <c r="B38" s="33" t="s">
        <v>26</v>
      </c>
      <c r="C38" s="34">
        <v>1</v>
      </c>
      <c r="D38" s="34">
        <v>37</v>
      </c>
      <c r="E38" s="35">
        <v>2</v>
      </c>
      <c r="F38" s="27"/>
      <c r="G38" s="28">
        <v>36</v>
      </c>
      <c r="H38" s="36">
        <f t="shared" ca="1" si="4"/>
        <v>35.670531812840757</v>
      </c>
      <c r="I38" s="37">
        <f t="shared" ca="1" si="4"/>
        <v>36.138144366122397</v>
      </c>
      <c r="J38" s="37">
        <f t="shared" ca="1" si="4"/>
        <v>39.854634041704934</v>
      </c>
      <c r="K38" s="37">
        <f t="shared" ca="1" si="4"/>
        <v>40.159116563515568</v>
      </c>
      <c r="L38" s="37">
        <f t="shared" ca="1" si="4"/>
        <v>39.569574336490007</v>
      </c>
      <c r="M38" s="37">
        <f t="shared" ca="1" si="4"/>
        <v>36.409774495064099</v>
      </c>
      <c r="N38" s="37">
        <f t="shared" ca="1" si="4"/>
        <v>40.151494097430209</v>
      </c>
      <c r="O38" s="37">
        <f t="shared" ca="1" si="4"/>
        <v>36.365750884128119</v>
      </c>
      <c r="P38" s="37">
        <f t="shared" ca="1" si="4"/>
        <v>40.573005749940258</v>
      </c>
      <c r="Q38" s="37">
        <f t="shared" ca="1" si="4"/>
        <v>39.968762037674736</v>
      </c>
      <c r="R38" s="37">
        <f t="shared" ca="1" si="5"/>
        <v>35.282299135954155</v>
      </c>
      <c r="S38" s="37">
        <f t="shared" ca="1" si="5"/>
        <v>33.407575381506128</v>
      </c>
      <c r="T38" s="37">
        <f t="shared" ca="1" si="5"/>
        <v>35.743127703284777</v>
      </c>
      <c r="U38" s="37">
        <f t="shared" ca="1" si="5"/>
        <v>38.314595338641617</v>
      </c>
      <c r="V38" s="37">
        <f t="shared" ca="1" si="5"/>
        <v>36.702229920017814</v>
      </c>
      <c r="W38" s="37">
        <f t="shared" ca="1" si="5"/>
        <v>35.276977942579165</v>
      </c>
      <c r="X38" s="37">
        <f t="shared" ca="1" si="5"/>
        <v>38.354088844989022</v>
      </c>
      <c r="Y38" s="37">
        <f t="shared" ca="1" si="5"/>
        <v>38.417781792332541</v>
      </c>
      <c r="Z38" s="37">
        <f t="shared" ca="1" si="5"/>
        <v>39.168289179727815</v>
      </c>
      <c r="AA38" s="38">
        <f t="shared" ca="1" si="5"/>
        <v>40.6861050792225</v>
      </c>
      <c r="AB38" s="27"/>
      <c r="AC38" s="12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</row>
    <row r="39" spans="1:57" x14ac:dyDescent="0.25">
      <c r="A39" s="32">
        <v>37</v>
      </c>
      <c r="B39" s="33" t="s">
        <v>27</v>
      </c>
      <c r="C39" s="34">
        <v>1</v>
      </c>
      <c r="D39" s="34">
        <v>37</v>
      </c>
      <c r="E39" s="35">
        <v>2</v>
      </c>
      <c r="F39" s="27"/>
      <c r="G39" s="28">
        <v>37</v>
      </c>
      <c r="H39" s="36">
        <f t="shared" ca="1" si="4"/>
        <v>40.121101596047382</v>
      </c>
      <c r="I39" s="37">
        <f t="shared" ca="1" si="4"/>
        <v>34.259698024207935</v>
      </c>
      <c r="J39" s="37">
        <f t="shared" ca="1" si="4"/>
        <v>40.717474516629423</v>
      </c>
      <c r="K39" s="37">
        <f t="shared" ca="1" si="4"/>
        <v>34.789153369757315</v>
      </c>
      <c r="L39" s="37">
        <f t="shared" ca="1" si="4"/>
        <v>36.039314725327955</v>
      </c>
      <c r="M39" s="37">
        <f t="shared" ca="1" si="4"/>
        <v>36.603728369324529</v>
      </c>
      <c r="N39" s="37">
        <f t="shared" ca="1" si="4"/>
        <v>37.941603048086272</v>
      </c>
      <c r="O39" s="37">
        <f t="shared" ca="1" si="4"/>
        <v>38.014961902989555</v>
      </c>
      <c r="P39" s="37">
        <f t="shared" ca="1" si="4"/>
        <v>35.882067765588999</v>
      </c>
      <c r="Q39" s="37">
        <f t="shared" ca="1" si="4"/>
        <v>38.450650993368654</v>
      </c>
      <c r="R39" s="37">
        <f t="shared" ca="1" si="5"/>
        <v>36.232404908673807</v>
      </c>
      <c r="S39" s="37">
        <f t="shared" ca="1" si="5"/>
        <v>36.836061404236808</v>
      </c>
      <c r="T39" s="37">
        <f t="shared" ca="1" si="5"/>
        <v>38.374414563580281</v>
      </c>
      <c r="U39" s="37">
        <f t="shared" ca="1" si="5"/>
        <v>35.743688164116151</v>
      </c>
      <c r="V39" s="37">
        <f t="shared" ca="1" si="5"/>
        <v>36.338033116622988</v>
      </c>
      <c r="W39" s="37">
        <f t="shared" ca="1" si="5"/>
        <v>36.422105321242874</v>
      </c>
      <c r="X39" s="37">
        <f t="shared" ca="1" si="5"/>
        <v>34.932335183404739</v>
      </c>
      <c r="Y39" s="37">
        <f t="shared" ca="1" si="5"/>
        <v>38.795423321964456</v>
      </c>
      <c r="Z39" s="37">
        <f t="shared" ca="1" si="5"/>
        <v>38.177535059950856</v>
      </c>
      <c r="AA39" s="38">
        <f t="shared" ca="1" si="5"/>
        <v>39.652119249184665</v>
      </c>
      <c r="AB39" s="27"/>
      <c r="AC39" s="12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</row>
    <row r="40" spans="1:57" x14ac:dyDescent="0.25">
      <c r="A40" s="39">
        <v>38</v>
      </c>
      <c r="B40" s="33" t="s">
        <v>66</v>
      </c>
      <c r="C40" s="34">
        <v>1</v>
      </c>
      <c r="D40" s="34">
        <v>35</v>
      </c>
      <c r="E40" s="35">
        <v>1</v>
      </c>
      <c r="F40" s="27"/>
      <c r="G40" s="41">
        <v>38</v>
      </c>
      <c r="H40" s="36">
        <f t="shared" ca="1" si="4"/>
        <v>35.417659868990981</v>
      </c>
      <c r="I40" s="37">
        <f t="shared" ca="1" si="4"/>
        <v>36.079408148442354</v>
      </c>
      <c r="J40" s="37">
        <f t="shared" ca="1" si="4"/>
        <v>36.03502124339203</v>
      </c>
      <c r="K40" s="37">
        <f t="shared" ca="1" si="4"/>
        <v>34.374962379900424</v>
      </c>
      <c r="L40" s="37">
        <f t="shared" ca="1" si="4"/>
        <v>34.813543918163475</v>
      </c>
      <c r="M40" s="37">
        <f t="shared" ca="1" si="4"/>
        <v>33.081843248029244</v>
      </c>
      <c r="N40" s="37">
        <f t="shared" ca="1" si="4"/>
        <v>34.52356265878975</v>
      </c>
      <c r="O40" s="37">
        <f t="shared" ca="1" si="4"/>
        <v>34.100039645752041</v>
      </c>
      <c r="P40" s="37">
        <f t="shared" ca="1" si="4"/>
        <v>33.433853743513694</v>
      </c>
      <c r="Q40" s="37">
        <f t="shared" ca="1" si="4"/>
        <v>34.328912905433384</v>
      </c>
      <c r="R40" s="37">
        <f t="shared" ca="1" si="5"/>
        <v>34.657905585100401</v>
      </c>
      <c r="S40" s="37">
        <f t="shared" ca="1" si="5"/>
        <v>33.135013767353747</v>
      </c>
      <c r="T40" s="37">
        <f t="shared" ca="1" si="5"/>
        <v>36.729266869262389</v>
      </c>
      <c r="U40" s="37">
        <f t="shared" ca="1" si="5"/>
        <v>33.825620008190072</v>
      </c>
      <c r="V40" s="37">
        <f t="shared" ca="1" si="5"/>
        <v>35.215870345594851</v>
      </c>
      <c r="W40" s="37">
        <f t="shared" ca="1" si="5"/>
        <v>33.393572280644257</v>
      </c>
      <c r="X40" s="37">
        <f t="shared" ca="1" si="5"/>
        <v>35.052031779065835</v>
      </c>
      <c r="Y40" s="37">
        <f t="shared" ca="1" si="5"/>
        <v>32.909224673727252</v>
      </c>
      <c r="Z40" s="37">
        <f t="shared" ca="1" si="5"/>
        <v>36.403024761196065</v>
      </c>
      <c r="AA40" s="38">
        <f t="shared" ca="1" si="5"/>
        <v>31.779961714338068</v>
      </c>
      <c r="AB40" s="27"/>
      <c r="AC40" s="12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</row>
    <row r="41" spans="1:57" ht="15.75" thickBot="1" x14ac:dyDescent="0.3">
      <c r="A41" s="42">
        <v>39</v>
      </c>
      <c r="B41" s="43" t="s">
        <v>67</v>
      </c>
      <c r="C41" s="44">
        <v>1</v>
      </c>
      <c r="D41" s="44">
        <v>35</v>
      </c>
      <c r="E41" s="45">
        <v>1</v>
      </c>
      <c r="F41" s="27"/>
      <c r="G41" s="46">
        <v>39</v>
      </c>
      <c r="H41" s="47">
        <f t="shared" ca="1" si="4"/>
        <v>35.090330971915044</v>
      </c>
      <c r="I41" s="48">
        <f t="shared" ca="1" si="4"/>
        <v>33.64906778797436</v>
      </c>
      <c r="J41" s="48">
        <f t="shared" ca="1" si="4"/>
        <v>36.180358725056735</v>
      </c>
      <c r="K41" s="48">
        <f t="shared" ca="1" si="4"/>
        <v>35.641272701998375</v>
      </c>
      <c r="L41" s="48">
        <f t="shared" ca="1" si="4"/>
        <v>34.356146796071741</v>
      </c>
      <c r="M41" s="48">
        <f t="shared" ca="1" si="4"/>
        <v>35.000090195381034</v>
      </c>
      <c r="N41" s="48">
        <f t="shared" ca="1" si="4"/>
        <v>35.12476773660439</v>
      </c>
      <c r="O41" s="48">
        <f t="shared" ca="1" si="4"/>
        <v>33.890500787816535</v>
      </c>
      <c r="P41" s="48">
        <f t="shared" ca="1" si="4"/>
        <v>35.397980984821693</v>
      </c>
      <c r="Q41" s="48">
        <f t="shared" ca="1" si="4"/>
        <v>35.504185241423372</v>
      </c>
      <c r="R41" s="48">
        <f t="shared" ca="1" si="5"/>
        <v>34.357094191306643</v>
      </c>
      <c r="S41" s="48">
        <f t="shared" ca="1" si="5"/>
        <v>34.546265024282775</v>
      </c>
      <c r="T41" s="48">
        <f t="shared" ca="1" si="5"/>
        <v>35.847408961602575</v>
      </c>
      <c r="U41" s="48">
        <f t="shared" ca="1" si="5"/>
        <v>34.942147398024844</v>
      </c>
      <c r="V41" s="48">
        <f t="shared" ca="1" si="5"/>
        <v>33.865079446225224</v>
      </c>
      <c r="W41" s="48">
        <f t="shared" ca="1" si="5"/>
        <v>33.981592084893897</v>
      </c>
      <c r="X41" s="48">
        <f t="shared" ca="1" si="5"/>
        <v>36.084761281805967</v>
      </c>
      <c r="Y41" s="48">
        <f t="shared" ca="1" si="5"/>
        <v>36.231736854442779</v>
      </c>
      <c r="Z41" s="48">
        <f t="shared" ca="1" si="5"/>
        <v>34.601503032967237</v>
      </c>
      <c r="AA41" s="49">
        <f t="shared" ca="1" si="5"/>
        <v>37.170757190986372</v>
      </c>
      <c r="AB41" s="27"/>
      <c r="AC41" s="12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</row>
    <row r="42" spans="1:57" ht="15.75" thickBot="1" x14ac:dyDescent="0.3"/>
    <row r="43" spans="1:57" ht="15.75" thickBot="1" x14ac:dyDescent="0.3">
      <c r="G43" s="50" t="s">
        <v>164</v>
      </c>
      <c r="H43" s="51">
        <f t="shared" ref="H43:AA43" ca="1" si="6">MAX(H3+H4+H10,H5+H6+H11)+H7+H8+H9+H12+H13+H14+H15+H16+MAX(H17+H18,H19+H20)+H21+MAX(H22+H23,H24+H25)+MAX(H26+H27,H28+H29)+MAX(H30+H31,H32+H33)+MAX(H34+H35,H36+H37)+MAX(H38+H40,H39+H41)</f>
        <v>396.18485425535005</v>
      </c>
      <c r="I43" s="51">
        <f t="shared" ca="1" si="6"/>
        <v>418.53348240186244</v>
      </c>
      <c r="J43" s="51">
        <f t="shared" ca="1" si="6"/>
        <v>419.05686080689094</v>
      </c>
      <c r="K43" s="51">
        <f t="shared" ca="1" si="6"/>
        <v>420.61857030586748</v>
      </c>
      <c r="L43" s="51">
        <f t="shared" ca="1" si="6"/>
        <v>421.5623743427513</v>
      </c>
      <c r="M43" s="51">
        <f t="shared" ca="1" si="6"/>
        <v>400.75726325992923</v>
      </c>
      <c r="N43" s="51">
        <f t="shared" ca="1" si="6"/>
        <v>410.2060343695789</v>
      </c>
      <c r="O43" s="51">
        <f t="shared" ca="1" si="6"/>
        <v>419.22564543489756</v>
      </c>
      <c r="P43" s="51">
        <f t="shared" ca="1" si="6"/>
        <v>414.28661600955775</v>
      </c>
      <c r="Q43" s="51">
        <f t="shared" ca="1" si="6"/>
        <v>416.25863342984979</v>
      </c>
      <c r="R43" s="51">
        <f t="shared" ca="1" si="6"/>
        <v>408.87526273676735</v>
      </c>
      <c r="S43" s="51">
        <f t="shared" ca="1" si="6"/>
        <v>415.54783369035749</v>
      </c>
      <c r="T43" s="51">
        <f t="shared" ca="1" si="6"/>
        <v>442.3311051349483</v>
      </c>
      <c r="U43" s="51">
        <f t="shared" ca="1" si="6"/>
        <v>416.62303186381541</v>
      </c>
      <c r="V43" s="51">
        <f t="shared" ca="1" si="6"/>
        <v>413.74264129089647</v>
      </c>
      <c r="W43" s="51">
        <f t="shared" ca="1" si="6"/>
        <v>394.4236368107068</v>
      </c>
      <c r="X43" s="51">
        <f t="shared" ca="1" si="6"/>
        <v>412.43785987441606</v>
      </c>
      <c r="Y43" s="51">
        <f t="shared" ca="1" si="6"/>
        <v>428.81582567325262</v>
      </c>
      <c r="Z43" s="51">
        <f t="shared" ca="1" si="6"/>
        <v>428.27572599449638</v>
      </c>
      <c r="AA43" s="52">
        <f t="shared" ca="1" si="6"/>
        <v>395.63030085038804</v>
      </c>
    </row>
    <row r="44" spans="1:57" x14ac:dyDescent="0.25">
      <c r="G44" s="14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</row>
    <row r="45" spans="1:57" ht="15.75" thickBot="1" x14ac:dyDescent="0.3">
      <c r="G45" s="14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</row>
    <row r="46" spans="1:57" x14ac:dyDescent="0.25">
      <c r="G46" s="222" t="s">
        <v>165</v>
      </c>
      <c r="H46" s="54">
        <v>432.83434697901635</v>
      </c>
      <c r="I46" s="55">
        <v>418.14108788121905</v>
      </c>
      <c r="J46" s="55">
        <v>410.54212440962687</v>
      </c>
      <c r="K46" s="55">
        <v>410.14325840664924</v>
      </c>
      <c r="L46" s="55">
        <v>397.48691677962529</v>
      </c>
      <c r="M46" s="55">
        <v>396.32031373687232</v>
      </c>
      <c r="N46" s="55">
        <v>412.23869354223388</v>
      </c>
      <c r="O46" s="55">
        <v>410.44955715726167</v>
      </c>
      <c r="P46" s="55">
        <v>419.13892862899115</v>
      </c>
      <c r="Q46" s="55">
        <v>410.40095412532509</v>
      </c>
      <c r="R46" s="55">
        <v>399.38736039359469</v>
      </c>
      <c r="S46" s="55">
        <v>413.38231584955395</v>
      </c>
      <c r="T46" s="55">
        <v>414.83701532574275</v>
      </c>
      <c r="U46" s="55">
        <v>427.65711215308528</v>
      </c>
      <c r="V46" s="55">
        <v>430.09614870909479</v>
      </c>
      <c r="W46" s="55">
        <v>408.48637426400427</v>
      </c>
      <c r="X46" s="55">
        <v>410.92732572464888</v>
      </c>
      <c r="Y46" s="55">
        <v>422.712099750363</v>
      </c>
      <c r="Z46" s="55">
        <v>412.17942461190978</v>
      </c>
      <c r="AA46" s="56">
        <v>424.10688229228595</v>
      </c>
    </row>
    <row r="47" spans="1:57" ht="15.75" thickBot="1" x14ac:dyDescent="0.3">
      <c r="G47" s="223"/>
      <c r="H47" s="57">
        <v>395.0871049979101</v>
      </c>
      <c r="I47" s="58">
        <v>425.62122549286812</v>
      </c>
      <c r="J47" s="58">
        <v>416.12934598225831</v>
      </c>
      <c r="K47" s="58">
        <v>397.69163012058061</v>
      </c>
      <c r="L47" s="58">
        <v>409.07129662434085</v>
      </c>
      <c r="M47" s="58">
        <v>399.67840612597399</v>
      </c>
      <c r="N47" s="58">
        <v>412.77778915874978</v>
      </c>
      <c r="O47" s="58">
        <v>419.05992992997881</v>
      </c>
      <c r="P47" s="58">
        <v>416.59383740709944</v>
      </c>
      <c r="Q47" s="58">
        <v>422.90159820815887</v>
      </c>
      <c r="R47" s="58">
        <v>401.29707538897105</v>
      </c>
      <c r="S47" s="58">
        <v>422.82071164846428</v>
      </c>
      <c r="T47" s="58">
        <v>418.24910323834968</v>
      </c>
      <c r="U47" s="58">
        <v>404.01569785241998</v>
      </c>
      <c r="V47" s="58">
        <v>411.52043678839698</v>
      </c>
      <c r="W47" s="58">
        <v>393.0971550711306</v>
      </c>
      <c r="X47" s="58">
        <v>406.30412218569006</v>
      </c>
      <c r="Y47" s="58">
        <v>422.65058268077223</v>
      </c>
      <c r="Z47" s="58">
        <v>416.24285025816749</v>
      </c>
      <c r="AA47" s="59">
        <v>407.82626037935995</v>
      </c>
    </row>
    <row r="48" spans="1:57" ht="15.75" thickBot="1" x14ac:dyDescent="0.3">
      <c r="G48" s="14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</row>
    <row r="49" spans="7:27" ht="15.75" thickBot="1" x14ac:dyDescent="0.3">
      <c r="G49" s="60" t="s">
        <v>166</v>
      </c>
      <c r="H49" s="61">
        <f>AVERAGE(H46:AA47)</f>
        <v>412.50261000651864</v>
      </c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</row>
    <row r="54" spans="7:27" x14ac:dyDescent="0.25">
      <c r="H54" s="12"/>
    </row>
  </sheetData>
  <mergeCells count="2">
    <mergeCell ref="H1:AA1"/>
    <mergeCell ref="G46:G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A3B3-9B26-4D8B-BF00-E18511DCD138}">
  <dimension ref="A1:AD45"/>
  <sheetViews>
    <sheetView workbookViewId="0"/>
  </sheetViews>
  <sheetFormatPr defaultColWidth="9.140625" defaultRowHeight="15" x14ac:dyDescent="0.25"/>
  <cols>
    <col min="1" max="1" width="26" style="7" customWidth="1"/>
    <col min="2" max="2" width="24.7109375" style="7" bestFit="1" customWidth="1"/>
    <col min="3" max="3" width="17.85546875" style="7" bestFit="1" customWidth="1"/>
    <col min="4" max="5" width="17.7109375" style="7" customWidth="1"/>
    <col min="6" max="6" width="17.7109375" style="7" bestFit="1" customWidth="1"/>
    <col min="7" max="8" width="18.7109375" style="7" bestFit="1" customWidth="1"/>
    <col min="9" max="9" width="13.28515625" style="7" bestFit="1" customWidth="1"/>
    <col min="10" max="10" width="18.7109375" style="7" bestFit="1" customWidth="1"/>
    <col min="11" max="11" width="26.28515625" style="7" customWidth="1"/>
    <col min="12" max="13" width="9.140625" style="7" customWidth="1"/>
    <col min="14" max="15" width="9.140625" style="7"/>
    <col min="16" max="16" width="9.140625" style="7" customWidth="1"/>
    <col min="17" max="20" width="9.140625" style="7"/>
    <col min="21" max="22" width="9.140625" style="7" customWidth="1"/>
    <col min="23" max="24" width="9.140625" style="7"/>
    <col min="25" max="25" width="5.5703125" style="7" customWidth="1"/>
    <col min="26" max="16384" width="9.140625" style="7"/>
  </cols>
  <sheetData>
    <row r="1" spans="1:21" x14ac:dyDescent="0.25">
      <c r="A1" s="233" t="s">
        <v>82</v>
      </c>
      <c r="B1" s="62"/>
      <c r="C1" s="62"/>
      <c r="D1" s="62"/>
      <c r="E1" s="62"/>
    </row>
    <row r="2" spans="1:21" ht="15.75" thickBot="1" x14ac:dyDescent="0.3">
      <c r="A2" s="13"/>
      <c r="B2" s="62"/>
      <c r="C2" s="62"/>
      <c r="D2" s="62"/>
      <c r="E2" s="62"/>
    </row>
    <row r="3" spans="1:21" ht="15.75" thickBot="1" x14ac:dyDescent="0.3">
      <c r="E3" s="219" t="s">
        <v>83</v>
      </c>
      <c r="F3" s="220"/>
      <c r="G3" s="220"/>
      <c r="H3" s="220"/>
      <c r="I3" s="221"/>
      <c r="K3" s="63" t="s">
        <v>84</v>
      </c>
      <c r="L3" s="26">
        <v>800</v>
      </c>
      <c r="T3" s="14"/>
      <c r="U3" s="14"/>
    </row>
    <row r="4" spans="1:21" ht="15.75" thickBot="1" x14ac:dyDescent="0.3">
      <c r="A4" s="64" t="s">
        <v>63</v>
      </c>
      <c r="B4" s="65" t="s">
        <v>64</v>
      </c>
      <c r="C4" s="18" t="s">
        <v>85</v>
      </c>
      <c r="D4" s="14"/>
      <c r="E4" s="66" t="s">
        <v>86</v>
      </c>
      <c r="F4" s="64" t="s">
        <v>87</v>
      </c>
      <c r="G4" s="65" t="s">
        <v>88</v>
      </c>
      <c r="H4" s="17" t="s">
        <v>89</v>
      </c>
      <c r="I4" s="18" t="s">
        <v>81</v>
      </c>
      <c r="K4" s="67" t="s">
        <v>90</v>
      </c>
      <c r="L4" s="35">
        <f>5*8</f>
        <v>40</v>
      </c>
      <c r="T4" s="62"/>
      <c r="U4" s="62"/>
    </row>
    <row r="5" spans="1:21" x14ac:dyDescent="0.25">
      <c r="A5" s="68" t="s">
        <v>91</v>
      </c>
      <c r="B5" s="69">
        <f>MAX(Operazioni!D6+Operazioni!D7+Operazioni!D13,Operazioni!D8+Operazioni!D9+Operazioni!D14)</f>
        <v>35</v>
      </c>
      <c r="C5" s="70">
        <f>B5*$C$20/$B$20</f>
        <v>36.184439474256024</v>
      </c>
      <c r="D5" s="71"/>
      <c r="E5" s="72">
        <v>1</v>
      </c>
      <c r="F5" s="73">
        <v>1</v>
      </c>
      <c r="G5" s="74">
        <f>(SUMIF($E$5:$E$19,F5,$C$5:$C$19))/$L$12</f>
        <v>0.83488888330389466</v>
      </c>
      <c r="H5" s="75" t="str">
        <f>IF(G5&lt;=$L$7,"ok","superato")</f>
        <v>ok</v>
      </c>
      <c r="I5" s="76">
        <v>2</v>
      </c>
      <c r="K5" s="77" t="s">
        <v>92</v>
      </c>
      <c r="L5" s="78">
        <v>0.97</v>
      </c>
      <c r="M5" s="13"/>
      <c r="T5" s="62"/>
      <c r="U5" s="62"/>
    </row>
    <row r="6" spans="1:21" x14ac:dyDescent="0.25">
      <c r="A6" s="79">
        <v>5</v>
      </c>
      <c r="B6" s="80">
        <f>Operazioni!D10</f>
        <v>20</v>
      </c>
      <c r="C6" s="81">
        <f t="shared" ref="C6:C19" si="0">B6*$C$20/$B$20</f>
        <v>20.676822556717724</v>
      </c>
      <c r="D6" s="71"/>
      <c r="E6" s="82">
        <v>1</v>
      </c>
      <c r="F6" s="83">
        <v>2</v>
      </c>
      <c r="G6" s="84">
        <f>(SUMIF($E$5:$E$19,F6,$C$5:$C$19))/$L$12</f>
        <v>0.76383451025675464</v>
      </c>
      <c r="H6" s="85" t="str">
        <f>IF(G6&lt;=$L$7,"ok","superato")</f>
        <v>ok</v>
      </c>
      <c r="I6" s="35">
        <v>2</v>
      </c>
      <c r="K6" s="67" t="s">
        <v>93</v>
      </c>
      <c r="L6" s="35">
        <f>L4*L5</f>
        <v>38.799999999999997</v>
      </c>
      <c r="T6" s="62"/>
      <c r="U6" s="62"/>
    </row>
    <row r="7" spans="1:21" ht="15.75" customHeight="1" thickBot="1" x14ac:dyDescent="0.3">
      <c r="A7" s="79">
        <v>6</v>
      </c>
      <c r="B7" s="80">
        <f>Operazioni!D11</f>
        <v>18</v>
      </c>
      <c r="C7" s="81">
        <f t="shared" si="0"/>
        <v>18.609140301045954</v>
      </c>
      <c r="D7" s="71"/>
      <c r="E7" s="82">
        <v>1</v>
      </c>
      <c r="F7" s="83">
        <v>3</v>
      </c>
      <c r="G7" s="84">
        <f>(SUMIF($E$5:$E$19,F7,$C$5:$C$19))/$L$12</f>
        <v>0.76383451025675442</v>
      </c>
      <c r="H7" s="85" t="str">
        <f>IF(G7&lt;=$L$7,"ok","superato")</f>
        <v>ok</v>
      </c>
      <c r="I7" s="35">
        <v>2</v>
      </c>
      <c r="K7" s="86" t="s">
        <v>94</v>
      </c>
      <c r="L7" s="87">
        <v>0.85</v>
      </c>
      <c r="M7" s="214"/>
      <c r="N7" s="213"/>
      <c r="O7" s="213"/>
      <c r="P7" s="213"/>
      <c r="T7" s="62"/>
      <c r="U7" s="62"/>
    </row>
    <row r="8" spans="1:21" ht="15.75" customHeight="1" thickBot="1" x14ac:dyDescent="0.3">
      <c r="A8" s="79" t="s">
        <v>95</v>
      </c>
      <c r="B8" s="80">
        <f>Operazioni!D12+Operazioni!D15</f>
        <v>49</v>
      </c>
      <c r="C8" s="81">
        <f t="shared" si="0"/>
        <v>50.658215263958432</v>
      </c>
      <c r="D8" s="71"/>
      <c r="E8" s="82">
        <v>1</v>
      </c>
      <c r="F8" s="88">
        <v>4</v>
      </c>
      <c r="G8" s="89">
        <f>(SUMIF($E$5:$E$19,F8,$C$5:$C$19))/$L$12</f>
        <v>0</v>
      </c>
      <c r="H8" s="90" t="str">
        <f>IF(G8&lt;=$L$7,"ok","superato")</f>
        <v>ok</v>
      </c>
      <c r="I8" s="45">
        <v>0</v>
      </c>
      <c r="M8" s="213"/>
      <c r="N8" s="213"/>
      <c r="O8" s="213"/>
      <c r="P8" s="213"/>
      <c r="Q8" s="91"/>
      <c r="R8" s="91"/>
      <c r="T8" s="62"/>
      <c r="U8" s="62"/>
    </row>
    <row r="9" spans="1:21" ht="15.75" thickBot="1" x14ac:dyDescent="0.3">
      <c r="A9" s="79">
        <v>11</v>
      </c>
      <c r="B9" s="80">
        <f>Operazioni!D16</f>
        <v>18</v>
      </c>
      <c r="C9" s="81">
        <f t="shared" si="0"/>
        <v>18.609140301045954</v>
      </c>
      <c r="D9" s="71"/>
      <c r="E9" s="82">
        <v>2</v>
      </c>
      <c r="F9" s="92" t="s">
        <v>96</v>
      </c>
      <c r="G9" s="93">
        <f>AVERAGEIF(G5:G8,"&lt;&gt;0")</f>
        <v>0.78751930127246794</v>
      </c>
      <c r="H9" s="94"/>
      <c r="I9" s="94"/>
      <c r="K9" s="95" t="s">
        <v>97</v>
      </c>
      <c r="L9" s="96">
        <f>L3/L6</f>
        <v>20.618556701030929</v>
      </c>
      <c r="P9" s="91"/>
      <c r="Q9" s="91"/>
      <c r="R9" s="91"/>
      <c r="T9" s="62"/>
      <c r="U9" s="62"/>
    </row>
    <row r="10" spans="1:21" x14ac:dyDescent="0.25">
      <c r="A10" s="79">
        <v>12</v>
      </c>
      <c r="B10" s="80">
        <f>Operazioni!D17</f>
        <v>7</v>
      </c>
      <c r="C10" s="81">
        <f t="shared" si="0"/>
        <v>7.2368878948512041</v>
      </c>
      <c r="D10" s="71"/>
      <c r="E10" s="82">
        <v>2</v>
      </c>
      <c r="F10" s="94"/>
      <c r="K10" s="67" t="s">
        <v>98</v>
      </c>
      <c r="L10" s="97">
        <f>L9/3600</f>
        <v>5.7273768613974804E-3</v>
      </c>
      <c r="T10" s="62"/>
      <c r="U10" s="62"/>
    </row>
    <row r="11" spans="1:21" x14ac:dyDescent="0.25">
      <c r="A11" s="79">
        <v>13</v>
      </c>
      <c r="B11" s="80">
        <f>Operazioni!D18</f>
        <v>9</v>
      </c>
      <c r="C11" s="81">
        <f t="shared" si="0"/>
        <v>9.3045701505229772</v>
      </c>
      <c r="D11" s="71"/>
      <c r="E11" s="82">
        <v>2</v>
      </c>
      <c r="F11" s="94"/>
      <c r="K11" s="67" t="s">
        <v>99</v>
      </c>
      <c r="L11" s="35">
        <f>1/L9</f>
        <v>4.8499999999999995E-2</v>
      </c>
      <c r="T11" s="62"/>
      <c r="U11" s="62"/>
    </row>
    <row r="12" spans="1:21" x14ac:dyDescent="0.25">
      <c r="A12" s="79">
        <v>14</v>
      </c>
      <c r="B12" s="80">
        <f>Operazioni!D19</f>
        <v>24</v>
      </c>
      <c r="C12" s="81">
        <f t="shared" si="0"/>
        <v>24.812187068061274</v>
      </c>
      <c r="D12" s="71"/>
      <c r="E12" s="82">
        <v>2</v>
      </c>
      <c r="F12" s="94"/>
      <c r="K12" s="98" t="s">
        <v>100</v>
      </c>
      <c r="L12" s="99">
        <f>L11*3600</f>
        <v>174.6</v>
      </c>
      <c r="T12" s="62"/>
      <c r="U12" s="62"/>
    </row>
    <row r="13" spans="1:21" ht="15.75" thickBot="1" x14ac:dyDescent="0.3">
      <c r="A13" s="79" t="s">
        <v>101</v>
      </c>
      <c r="B13" s="80">
        <f>MAX(Operazioni!D20+Operazioni!D21,Operazioni!D22+Operazioni!D23)</f>
        <v>64</v>
      </c>
      <c r="C13" s="81">
        <f t="shared" si="0"/>
        <v>66.165832181496725</v>
      </c>
      <c r="D13" s="71"/>
      <c r="E13" s="82">
        <v>2</v>
      </c>
      <c r="F13" s="94"/>
      <c r="K13" s="100" t="s">
        <v>102</v>
      </c>
      <c r="L13" s="101">
        <f>CEILING(B20/L12,1)</f>
        <v>3</v>
      </c>
      <c r="T13" s="62"/>
      <c r="U13" s="62"/>
    </row>
    <row r="14" spans="1:21" ht="15.75" customHeight="1" thickBot="1" x14ac:dyDescent="0.3">
      <c r="A14" s="79">
        <v>19</v>
      </c>
      <c r="B14" s="80">
        <v>7</v>
      </c>
      <c r="C14" s="81">
        <f t="shared" si="0"/>
        <v>7.2368878948512041</v>
      </c>
      <c r="D14" s="71"/>
      <c r="E14" s="82">
        <v>2</v>
      </c>
      <c r="F14" s="94"/>
      <c r="N14" s="213"/>
      <c r="O14" s="213"/>
      <c r="P14" s="213"/>
      <c r="T14" s="62"/>
      <c r="U14" s="62"/>
    </row>
    <row r="15" spans="1:21" x14ac:dyDescent="0.25">
      <c r="A15" s="79" t="s">
        <v>103</v>
      </c>
      <c r="B15" s="80">
        <f>MAX(Operazioni!D25+Operazioni!D26,Operazioni!D27+Operazioni!D28)</f>
        <v>19</v>
      </c>
      <c r="C15" s="81">
        <f t="shared" si="0"/>
        <v>19.642981428881839</v>
      </c>
      <c r="D15" s="71"/>
      <c r="E15" s="82">
        <v>1</v>
      </c>
      <c r="F15" s="94"/>
      <c r="K15" s="63" t="s">
        <v>104</v>
      </c>
      <c r="L15" s="26">
        <v>0.8</v>
      </c>
      <c r="M15" s="237"/>
      <c r="N15" s="213"/>
      <c r="O15" s="213"/>
      <c r="P15" s="213"/>
      <c r="T15" s="62"/>
      <c r="U15" s="62"/>
    </row>
    <row r="16" spans="1:21" x14ac:dyDescent="0.25">
      <c r="A16" s="79" t="s">
        <v>105</v>
      </c>
      <c r="B16" s="80">
        <f>MAX(Operazioni!D29+Operazioni!D30,Operazioni!D31+Operazioni!D32)</f>
        <v>19</v>
      </c>
      <c r="C16" s="81">
        <f t="shared" si="0"/>
        <v>19.642981428881839</v>
      </c>
      <c r="D16" s="71"/>
      <c r="E16" s="82">
        <v>3</v>
      </c>
      <c r="F16" s="94"/>
      <c r="K16" s="102" t="s">
        <v>161</v>
      </c>
      <c r="L16" s="35">
        <v>1</v>
      </c>
      <c r="T16" s="62"/>
      <c r="U16" s="62"/>
    </row>
    <row r="17" spans="1:22" x14ac:dyDescent="0.25">
      <c r="A17" s="79" t="s">
        <v>106</v>
      </c>
      <c r="B17" s="80">
        <f>MAX(Operazioni!D33+Operazioni!D34,Operazioni!D35+Operazioni!D36)</f>
        <v>19</v>
      </c>
      <c r="C17" s="81">
        <f t="shared" si="0"/>
        <v>19.642981428881839</v>
      </c>
      <c r="D17" s="71"/>
      <c r="E17" s="82">
        <v>3</v>
      </c>
      <c r="F17" s="94"/>
      <c r="J17" s="91"/>
      <c r="K17" s="102" t="s">
        <v>107</v>
      </c>
      <c r="L17" s="103">
        <v>3.32E-2</v>
      </c>
      <c r="M17" s="13"/>
      <c r="N17" s="13"/>
      <c r="T17" s="62"/>
      <c r="U17" s="62"/>
    </row>
    <row r="18" spans="1:22" x14ac:dyDescent="0.25">
      <c r="A18" s="79" t="s">
        <v>108</v>
      </c>
      <c r="B18" s="80">
        <f>MAX(Operazioni!D37+Operazioni!D38,Operazioni!D39+Operazioni!D40)</f>
        <v>19</v>
      </c>
      <c r="C18" s="81">
        <f t="shared" si="0"/>
        <v>19.642981428881839</v>
      </c>
      <c r="D18" s="71"/>
      <c r="E18" s="104">
        <v>3</v>
      </c>
      <c r="F18" s="94"/>
      <c r="G18" s="94"/>
      <c r="H18" s="94"/>
      <c r="I18" s="94"/>
      <c r="J18" s="91"/>
      <c r="K18" s="235" t="s">
        <v>109</v>
      </c>
      <c r="L18" s="236">
        <f>((L16*L17)/L10)-L15</f>
        <v>4.9967199999999998</v>
      </c>
      <c r="M18" s="7" t="s">
        <v>175</v>
      </c>
      <c r="T18" s="62"/>
      <c r="U18" s="62"/>
    </row>
    <row r="19" spans="1:22" ht="15.75" thickBot="1" x14ac:dyDescent="0.3">
      <c r="A19" s="105" t="s">
        <v>110</v>
      </c>
      <c r="B19" s="106">
        <f>MAX(Operazioni!D41+Operazioni!D43,Operazioni!D42+Operazioni!D44)</f>
        <v>72</v>
      </c>
      <c r="C19" s="107">
        <f t="shared" si="0"/>
        <v>74.436561204183818</v>
      </c>
      <c r="D19" s="71"/>
      <c r="E19" s="108">
        <v>3</v>
      </c>
      <c r="F19" s="94"/>
      <c r="G19" s="94"/>
      <c r="H19" s="94"/>
      <c r="I19" s="94"/>
      <c r="J19" s="91"/>
      <c r="K19" s="100" t="s">
        <v>171</v>
      </c>
      <c r="L19" s="238">
        <f>L18+L15</f>
        <v>5.7967199999999997</v>
      </c>
      <c r="M19" s="7" t="s">
        <v>174</v>
      </c>
      <c r="O19" s="109"/>
      <c r="T19" s="110"/>
      <c r="U19" s="110"/>
    </row>
    <row r="20" spans="1:22" ht="15.75" thickBot="1" x14ac:dyDescent="0.3">
      <c r="A20" s="92" t="s">
        <v>111</v>
      </c>
      <c r="B20" s="111">
        <f>SUM(B5:B19)</f>
        <v>399</v>
      </c>
      <c r="C20" s="112">
        <f>'Simulazione con Normale'!H49</f>
        <v>412.50261000651864</v>
      </c>
      <c r="D20" s="113"/>
      <c r="E20" s="114"/>
      <c r="J20" s="91"/>
      <c r="T20" s="110"/>
      <c r="U20" s="110"/>
    </row>
    <row r="21" spans="1:22" x14ac:dyDescent="0.25">
      <c r="J21" s="91"/>
      <c r="M21" s="94"/>
      <c r="T21" s="115"/>
      <c r="U21" s="115"/>
    </row>
    <row r="22" spans="1:22" x14ac:dyDescent="0.25">
      <c r="G22" s="13"/>
      <c r="K22" s="224"/>
    </row>
    <row r="23" spans="1:22" ht="15.75" thickBot="1" x14ac:dyDescent="0.3">
      <c r="A23" s="116"/>
      <c r="B23" s="117"/>
      <c r="C23" s="117"/>
      <c r="K23" s="224"/>
    </row>
    <row r="24" spans="1:22" ht="15.75" customHeight="1" thickBot="1" x14ac:dyDescent="0.3">
      <c r="A24" s="118" t="s">
        <v>87</v>
      </c>
      <c r="B24" s="119" t="s">
        <v>168</v>
      </c>
      <c r="C24" s="119" t="s">
        <v>112</v>
      </c>
      <c r="D24" s="119" t="s">
        <v>113</v>
      </c>
      <c r="E24" s="119" t="s">
        <v>114</v>
      </c>
      <c r="F24" s="119" t="s">
        <v>115</v>
      </c>
      <c r="G24" s="119" t="s">
        <v>116</v>
      </c>
      <c r="H24" s="120" t="s">
        <v>117</v>
      </c>
      <c r="K24" s="224"/>
      <c r="Q24" s="217"/>
      <c r="R24" s="217"/>
    </row>
    <row r="25" spans="1:22" x14ac:dyDescent="0.25">
      <c r="A25" s="121">
        <v>1</v>
      </c>
      <c r="B25" s="122">
        <f>SUMIF($E$5:$E$19,"=1",$C$5:$C$19)</f>
        <v>145.77159902486</v>
      </c>
      <c r="C25" s="123">
        <f>1/B25</f>
        <v>6.8600468588497767E-3</v>
      </c>
      <c r="D25" s="123">
        <f>C25*$L$5</f>
        <v>6.6542454530842832E-3</v>
      </c>
      <c r="E25" s="124">
        <f>D25*3600</f>
        <v>23.95528363110342</v>
      </c>
      <c r="F25" s="125">
        <f>MIN($E$25:$E$27,$L$9)</f>
        <v>20.618556701030929</v>
      </c>
      <c r="G25" s="126">
        <f>1/F25*3600</f>
        <v>174.6</v>
      </c>
      <c r="H25" s="127">
        <f>F25/E25</f>
        <v>0.86071018897308726</v>
      </c>
      <c r="K25" s="224"/>
      <c r="P25" s="217"/>
      <c r="Q25" s="217"/>
      <c r="R25" s="217"/>
    </row>
    <row r="26" spans="1:22" x14ac:dyDescent="0.25">
      <c r="A26" s="128">
        <v>2</v>
      </c>
      <c r="B26" s="129">
        <f>SUMIF($E$5:$E$19,"=2",$C$5:$C$19)</f>
        <v>133.36550549082935</v>
      </c>
      <c r="C26" s="130">
        <f t="shared" ref="C26:C27" si="1">1/B26</f>
        <v>7.4981907526962682E-3</v>
      </c>
      <c r="D26" s="130">
        <f>C26*$L$5</f>
        <v>7.27324503011538E-3</v>
      </c>
      <c r="E26" s="131">
        <f t="shared" ref="E26:E27" si="2">D26*3600</f>
        <v>26.183682108415368</v>
      </c>
      <c r="F26" s="132">
        <f>MIN($E$25:$E$27,$L$9)</f>
        <v>20.618556701030929</v>
      </c>
      <c r="G26" s="34">
        <f t="shared" ref="G26:G27" si="3">1/F26*3600</f>
        <v>174.6</v>
      </c>
      <c r="H26" s="133">
        <f>F26/E26</f>
        <v>0.78745825799665425</v>
      </c>
      <c r="K26" s="224"/>
      <c r="P26" s="217"/>
      <c r="Q26" s="217"/>
      <c r="R26" s="217"/>
    </row>
    <row r="27" spans="1:22" ht="15.75" thickBot="1" x14ac:dyDescent="0.3">
      <c r="A27" s="134">
        <v>3</v>
      </c>
      <c r="B27" s="135">
        <f>SUMIF($E$5:$E$19,"=3",$C$5:$C$19)</f>
        <v>133.36550549082932</v>
      </c>
      <c r="C27" s="136">
        <f t="shared" si="1"/>
        <v>7.49819075269627E-3</v>
      </c>
      <c r="D27" s="136">
        <f>C27*$L$5</f>
        <v>7.2732450301153818E-3</v>
      </c>
      <c r="E27" s="137">
        <f t="shared" si="2"/>
        <v>26.183682108415375</v>
      </c>
      <c r="F27" s="138">
        <f>MIN($E$25:$E$27,$L$9)</f>
        <v>20.618556701030929</v>
      </c>
      <c r="G27" s="44">
        <f t="shared" si="3"/>
        <v>174.6</v>
      </c>
      <c r="H27" s="139">
        <f>F27/E27</f>
        <v>0.78745825799665403</v>
      </c>
      <c r="P27" s="217"/>
      <c r="Q27" s="217"/>
      <c r="R27" s="217"/>
    </row>
    <row r="28" spans="1:22" x14ac:dyDescent="0.25">
      <c r="Q28" s="225" t="s">
        <v>173</v>
      </c>
      <c r="R28" s="225"/>
      <c r="S28" s="225"/>
      <c r="T28" s="225"/>
      <c r="U28" s="225"/>
      <c r="V28" s="225"/>
    </row>
    <row r="29" spans="1:22" x14ac:dyDescent="0.25">
      <c r="Q29" s="225"/>
      <c r="R29" s="225"/>
      <c r="S29" s="225"/>
      <c r="T29" s="225"/>
      <c r="U29" s="225"/>
      <c r="V29" s="225"/>
    </row>
    <row r="30" spans="1:22" x14ac:dyDescent="0.25">
      <c r="B30" s="140"/>
      <c r="C30" s="140"/>
      <c r="D30" s="140"/>
      <c r="E30" s="140"/>
      <c r="Q30" s="225"/>
      <c r="R30" s="225"/>
      <c r="S30" s="225"/>
      <c r="T30" s="225"/>
      <c r="U30" s="225"/>
      <c r="V30" s="225"/>
    </row>
    <row r="31" spans="1:22" x14ac:dyDescent="0.25">
      <c r="Q31" s="225"/>
      <c r="R31" s="225"/>
      <c r="S31" s="225"/>
      <c r="T31" s="225"/>
      <c r="U31" s="225"/>
      <c r="V31" s="225"/>
    </row>
    <row r="32" spans="1:22" ht="15.75" thickBot="1" x14ac:dyDescent="0.3">
      <c r="Q32" s="225"/>
      <c r="R32" s="225"/>
      <c r="S32" s="225"/>
      <c r="T32" s="225"/>
      <c r="U32" s="225"/>
      <c r="V32" s="225"/>
    </row>
    <row r="33" spans="11:30" ht="15" customHeight="1" x14ac:dyDescent="0.25">
      <c r="K33" s="242"/>
      <c r="L33" s="243"/>
      <c r="M33" s="244"/>
      <c r="Z33" s="254"/>
      <c r="AA33" s="243"/>
      <c r="AB33" s="255"/>
      <c r="AC33" s="256"/>
      <c r="AD33" s="257"/>
    </row>
    <row r="34" spans="11:30" ht="15" customHeight="1" x14ac:dyDescent="0.25">
      <c r="K34" s="245"/>
      <c r="L34" s="240"/>
      <c r="M34" s="246"/>
      <c r="Z34" s="258"/>
      <c r="AA34" s="240"/>
      <c r="AB34" s="259"/>
      <c r="AC34" s="259"/>
      <c r="AD34" s="260"/>
    </row>
    <row r="35" spans="11:30" ht="15" customHeight="1" x14ac:dyDescent="0.25">
      <c r="K35" s="245"/>
      <c r="L35" s="240"/>
      <c r="M35" s="247"/>
      <c r="Z35" s="261"/>
      <c r="AA35" s="262"/>
      <c r="AB35" s="259"/>
      <c r="AC35" s="259"/>
      <c r="AD35" s="260"/>
    </row>
    <row r="36" spans="11:30" ht="15" customHeight="1" x14ac:dyDescent="0.25">
      <c r="K36" s="245"/>
      <c r="L36" s="240"/>
      <c r="M36" s="246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58"/>
      <c r="AA36" s="240"/>
      <c r="AB36" s="259"/>
      <c r="AC36" s="259"/>
      <c r="AD36" s="260"/>
    </row>
    <row r="37" spans="11:30" ht="15" customHeight="1" x14ac:dyDescent="0.25">
      <c r="K37" s="245"/>
      <c r="L37" s="239"/>
      <c r="M37" s="248"/>
      <c r="N37" s="241"/>
      <c r="O37" s="241"/>
      <c r="P37" s="241"/>
      <c r="Q37" s="241"/>
      <c r="R37" s="241"/>
      <c r="S37" s="241"/>
      <c r="T37" s="241"/>
      <c r="U37" s="241"/>
      <c r="V37" s="241"/>
      <c r="W37" s="241"/>
      <c r="X37" s="241"/>
      <c r="Y37" s="241"/>
      <c r="Z37" s="263"/>
      <c r="AA37" s="250" t="s">
        <v>167</v>
      </c>
      <c r="AB37" s="250"/>
      <c r="AC37" s="250"/>
      <c r="AD37" s="260"/>
    </row>
    <row r="38" spans="11:30" ht="18.75" customHeight="1" x14ac:dyDescent="0.25">
      <c r="K38" s="249" t="s">
        <v>172</v>
      </c>
      <c r="L38" s="250"/>
      <c r="M38" s="248"/>
      <c r="N38" s="241"/>
      <c r="O38" s="241"/>
      <c r="P38" s="241"/>
      <c r="Q38" s="241"/>
      <c r="R38" s="241"/>
      <c r="S38" s="241"/>
      <c r="T38" s="241"/>
      <c r="U38" s="241"/>
      <c r="V38" s="241"/>
      <c r="W38" s="241"/>
      <c r="X38" s="241"/>
      <c r="Y38" s="241"/>
      <c r="Z38" s="263"/>
      <c r="AA38" s="250"/>
      <c r="AB38" s="250"/>
      <c r="AC38" s="250"/>
      <c r="AD38" s="260"/>
    </row>
    <row r="39" spans="11:30" ht="18.75" customHeight="1" x14ac:dyDescent="0.25">
      <c r="K39" s="249"/>
      <c r="L39" s="250"/>
      <c r="M39" s="248"/>
      <c r="N39" s="241"/>
      <c r="O39" s="241"/>
      <c r="P39" s="241"/>
      <c r="Q39" s="241"/>
      <c r="R39" s="241"/>
      <c r="S39" s="241"/>
      <c r="T39" s="241"/>
      <c r="U39" s="241"/>
      <c r="V39" s="241"/>
      <c r="W39" s="241"/>
      <c r="X39" s="241"/>
      <c r="Y39" s="241"/>
      <c r="Z39" s="263"/>
      <c r="AA39" s="250"/>
      <c r="AB39" s="250"/>
      <c r="AC39" s="250"/>
      <c r="AD39" s="260"/>
    </row>
    <row r="40" spans="11:30" ht="15" customHeight="1" x14ac:dyDescent="0.25">
      <c r="K40" s="249"/>
      <c r="L40" s="250"/>
      <c r="M40" s="248"/>
      <c r="N40" s="241"/>
      <c r="O40" s="241"/>
      <c r="P40" s="241"/>
      <c r="Q40" s="241"/>
      <c r="R40" s="241"/>
      <c r="S40" s="241"/>
      <c r="T40" s="241"/>
      <c r="U40" s="241"/>
      <c r="V40" s="241"/>
      <c r="W40" s="241"/>
      <c r="X40" s="241"/>
      <c r="Y40" s="241"/>
      <c r="Z40" s="263"/>
      <c r="AA40" s="250"/>
      <c r="AB40" s="250"/>
      <c r="AC40" s="250"/>
      <c r="AD40" s="260"/>
    </row>
    <row r="41" spans="11:30" ht="15" customHeight="1" x14ac:dyDescent="0.25">
      <c r="K41" s="249"/>
      <c r="L41" s="250"/>
      <c r="M41" s="248"/>
      <c r="N41" s="241"/>
      <c r="O41" s="241"/>
      <c r="P41" s="241"/>
      <c r="Q41" s="241"/>
      <c r="R41" s="241"/>
      <c r="S41" s="241"/>
      <c r="T41" s="241"/>
      <c r="U41" s="241"/>
      <c r="V41" s="241"/>
      <c r="W41" s="241"/>
      <c r="X41" s="241"/>
      <c r="Y41" s="241"/>
      <c r="Z41" s="263"/>
      <c r="AA41" s="250"/>
      <c r="AB41" s="250"/>
      <c r="AC41" s="250"/>
      <c r="AD41" s="260"/>
    </row>
    <row r="42" spans="11:30" ht="15" customHeight="1" x14ac:dyDescent="0.25">
      <c r="K42" s="245"/>
      <c r="L42" s="240"/>
      <c r="M42" s="246"/>
      <c r="N42" s="216"/>
      <c r="O42" s="216"/>
      <c r="P42" s="216"/>
      <c r="Q42" s="216"/>
      <c r="R42" s="216"/>
      <c r="S42" s="216"/>
      <c r="T42" s="216"/>
      <c r="U42" s="216"/>
      <c r="V42" s="216"/>
      <c r="W42" s="216"/>
      <c r="X42" s="216"/>
      <c r="Y42" s="216"/>
      <c r="Z42" s="258"/>
      <c r="AA42" s="240"/>
      <c r="AB42" s="259"/>
      <c r="AC42" s="259"/>
      <c r="AD42" s="260"/>
    </row>
    <row r="43" spans="11:30" ht="15" customHeight="1" x14ac:dyDescent="0.25">
      <c r="K43" s="245"/>
      <c r="L43" s="240"/>
      <c r="M43" s="246"/>
      <c r="Z43" s="258"/>
      <c r="AA43" s="240"/>
      <c r="AB43" s="259"/>
      <c r="AC43" s="259"/>
      <c r="AD43" s="260"/>
    </row>
    <row r="44" spans="11:30" ht="15" customHeight="1" x14ac:dyDescent="0.25">
      <c r="K44" s="245"/>
      <c r="L44" s="240"/>
      <c r="M44" s="246"/>
      <c r="Z44" s="258"/>
      <c r="AA44" s="240"/>
      <c r="AB44" s="259"/>
      <c r="AC44" s="259"/>
      <c r="AD44" s="260"/>
    </row>
    <row r="45" spans="11:30" ht="15" customHeight="1" thickBot="1" x14ac:dyDescent="0.3">
      <c r="K45" s="251"/>
      <c r="L45" s="252"/>
      <c r="M45" s="253"/>
      <c r="Z45" s="264"/>
      <c r="AA45" s="252"/>
      <c r="AB45" s="265"/>
      <c r="AC45" s="265"/>
      <c r="AD45" s="266"/>
    </row>
  </sheetData>
  <mergeCells count="5">
    <mergeCell ref="AA37:AC41"/>
    <mergeCell ref="K38:L41"/>
    <mergeCell ref="E3:I3"/>
    <mergeCell ref="K22:K26"/>
    <mergeCell ref="Q28:V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420A-F626-46DE-9136-ABD6082239B9}">
  <dimension ref="A1:AR163"/>
  <sheetViews>
    <sheetView zoomScaleNormal="100" workbookViewId="0"/>
  </sheetViews>
  <sheetFormatPr defaultColWidth="9.140625" defaultRowHeight="15" x14ac:dyDescent="0.25"/>
  <cols>
    <col min="1" max="1" width="15.28515625" style="7" bestFit="1" customWidth="1"/>
    <col min="2" max="2" width="23.7109375" style="7" customWidth="1"/>
    <col min="3" max="3" width="26.7109375" style="7" bestFit="1" customWidth="1"/>
    <col min="4" max="4" width="21.7109375" style="7" bestFit="1" customWidth="1"/>
    <col min="5" max="5" width="24.7109375" style="7" bestFit="1" customWidth="1"/>
    <col min="6" max="6" width="33.28515625" style="7" bestFit="1" customWidth="1"/>
    <col min="7" max="7" width="34" style="7" customWidth="1"/>
    <col min="8" max="8" width="12.7109375" style="7" bestFit="1" customWidth="1"/>
    <col min="9" max="9" width="30.140625" style="7" customWidth="1"/>
    <col min="10" max="12" width="14.140625" style="7" customWidth="1"/>
    <col min="13" max="27" width="18" style="7" customWidth="1"/>
    <col min="28" max="31" width="18.28515625" style="7" customWidth="1"/>
    <col min="32" max="32" width="18" style="7" customWidth="1"/>
    <col min="33" max="35" width="18.28515625" style="7" customWidth="1"/>
    <col min="36" max="36" width="21.7109375" style="7" bestFit="1" customWidth="1"/>
    <col min="37" max="37" width="25.28515625" style="7" bestFit="1" customWidth="1"/>
    <col min="38" max="38" width="33.28515625" style="7" bestFit="1" customWidth="1"/>
    <col min="39" max="39" width="32.85546875" style="7" bestFit="1" customWidth="1"/>
    <col min="40" max="41" width="9.140625" style="7"/>
    <col min="42" max="42" width="18.140625" style="7" bestFit="1" customWidth="1"/>
    <col min="43" max="43" width="10.7109375" style="7" customWidth="1"/>
    <col min="44" max="44" width="19.85546875" style="7" bestFit="1" customWidth="1"/>
    <col min="45" max="16384" width="9.140625" style="7"/>
  </cols>
  <sheetData>
    <row r="1" spans="1:44" ht="15" customHeight="1" thickBot="1" x14ac:dyDescent="0.3">
      <c r="A1" s="141" t="s">
        <v>28</v>
      </c>
      <c r="B1" s="17" t="s">
        <v>57</v>
      </c>
      <c r="C1" s="17" t="s">
        <v>1</v>
      </c>
      <c r="D1" s="17" t="s">
        <v>87</v>
      </c>
      <c r="E1" s="17" t="s">
        <v>29</v>
      </c>
      <c r="F1" s="17" t="s">
        <v>118</v>
      </c>
      <c r="G1" s="18" t="s">
        <v>119</v>
      </c>
      <c r="M1" s="230" t="s">
        <v>120</v>
      </c>
      <c r="N1" s="231"/>
      <c r="O1" s="231"/>
      <c r="P1" s="232"/>
      <c r="Q1" s="116"/>
      <c r="R1" s="230" t="s">
        <v>121</v>
      </c>
      <c r="S1" s="231"/>
      <c r="T1" s="231"/>
      <c r="U1" s="232"/>
      <c r="V1" s="117"/>
      <c r="W1" s="230" t="s">
        <v>122</v>
      </c>
      <c r="X1" s="231"/>
      <c r="Y1" s="231"/>
      <c r="Z1" s="232"/>
      <c r="AA1" s="117"/>
      <c r="AB1" s="230" t="s">
        <v>162</v>
      </c>
      <c r="AC1" s="231"/>
      <c r="AD1" s="231"/>
      <c r="AE1" s="232"/>
      <c r="AG1" s="141" t="s">
        <v>123</v>
      </c>
      <c r="AH1" s="142" t="s">
        <v>163</v>
      </c>
      <c r="AI1" s="17" t="s">
        <v>28</v>
      </c>
      <c r="AJ1" s="17" t="s">
        <v>124</v>
      </c>
      <c r="AK1" s="17" t="s">
        <v>125</v>
      </c>
      <c r="AL1" s="143" t="s">
        <v>126</v>
      </c>
      <c r="AM1" s="144" t="s">
        <v>127</v>
      </c>
      <c r="AO1" s="226" t="s">
        <v>128</v>
      </c>
      <c r="AP1" s="141" t="s">
        <v>129</v>
      </c>
      <c r="AQ1" s="17" t="s">
        <v>130</v>
      </c>
      <c r="AR1" s="18" t="s">
        <v>131</v>
      </c>
    </row>
    <row r="2" spans="1:44" ht="15" customHeight="1" x14ac:dyDescent="0.25">
      <c r="A2" s="145">
        <v>1</v>
      </c>
      <c r="B2" s="25">
        <v>32</v>
      </c>
      <c r="C2" s="146" t="s">
        <v>24</v>
      </c>
      <c r="D2" s="25">
        <v>3</v>
      </c>
      <c r="E2" s="146" t="s">
        <v>50</v>
      </c>
      <c r="F2" s="25">
        <v>1</v>
      </c>
      <c r="G2" s="26">
        <v>0.66</v>
      </c>
      <c r="I2" s="147" t="s">
        <v>132</v>
      </c>
      <c r="J2" s="148">
        <f>8*3600*Stazioni!L5</f>
        <v>27936</v>
      </c>
      <c r="K2" s="26" t="s">
        <v>133</v>
      </c>
      <c r="AG2" s="149" t="str">
        <f>CONCATENATE(TEXT(AH2,"0"),TEXT(AI2,"0"))</f>
        <v>31</v>
      </c>
      <c r="AH2" s="126">
        <v>3</v>
      </c>
      <c r="AI2" s="126">
        <v>1</v>
      </c>
      <c r="AJ2" s="150" t="s">
        <v>50</v>
      </c>
      <c r="AK2" s="122">
        <f t="shared" ref="AK2:AK7" si="0">AE5</f>
        <v>52.800000000000004</v>
      </c>
      <c r="AL2" s="151">
        <v>2</v>
      </c>
      <c r="AM2" s="152">
        <v>13968</v>
      </c>
      <c r="AO2" s="227"/>
      <c r="AP2" s="153">
        <v>105.60000000000001</v>
      </c>
      <c r="AQ2" s="154" t="s">
        <v>134</v>
      </c>
      <c r="AR2" s="155">
        <f t="shared" ref="AR2:AR33" si="1">AK2*AL2</f>
        <v>105.60000000000001</v>
      </c>
    </row>
    <row r="3" spans="1:44" ht="15.75" thickBot="1" x14ac:dyDescent="0.3">
      <c r="A3" s="156">
        <v>2</v>
      </c>
      <c r="B3" s="34">
        <v>34</v>
      </c>
      <c r="C3" s="5" t="s">
        <v>25</v>
      </c>
      <c r="D3" s="34">
        <v>3</v>
      </c>
      <c r="E3" s="5" t="s">
        <v>51</v>
      </c>
      <c r="F3" s="34">
        <v>1</v>
      </c>
      <c r="G3" s="35">
        <v>0.66</v>
      </c>
      <c r="I3" s="67" t="s">
        <v>135</v>
      </c>
      <c r="J3" s="34">
        <v>60</v>
      </c>
      <c r="K3" s="35" t="s">
        <v>136</v>
      </c>
      <c r="N3" s="229" t="s">
        <v>86</v>
      </c>
      <c r="O3" s="229"/>
      <c r="P3" s="229"/>
      <c r="S3" s="229" t="s">
        <v>86</v>
      </c>
      <c r="T3" s="229"/>
      <c r="U3" s="229"/>
      <c r="V3" s="14"/>
      <c r="X3" s="229" t="s">
        <v>86</v>
      </c>
      <c r="Y3" s="229"/>
      <c r="Z3" s="229"/>
      <c r="AA3" s="62"/>
      <c r="AC3" s="229" t="s">
        <v>86</v>
      </c>
      <c r="AD3" s="229"/>
      <c r="AE3" s="229"/>
      <c r="AG3" s="156" t="str">
        <f t="shared" ref="AG3:AG33" si="2">CONCATENATE(TEXT(AH3,"0"),TEXT(AI3,"0"))</f>
        <v>32</v>
      </c>
      <c r="AH3" s="34">
        <v>3</v>
      </c>
      <c r="AI3" s="34">
        <v>2</v>
      </c>
      <c r="AJ3" s="157" t="s">
        <v>51</v>
      </c>
      <c r="AK3" s="129">
        <f t="shared" si="0"/>
        <v>52.800000000000004</v>
      </c>
      <c r="AL3" s="158">
        <v>2</v>
      </c>
      <c r="AM3" s="159">
        <v>13968</v>
      </c>
      <c r="AO3" s="227"/>
      <c r="AP3" s="160">
        <v>105.60000000000001</v>
      </c>
      <c r="AQ3" s="161" t="s">
        <v>134</v>
      </c>
      <c r="AR3" s="81">
        <f t="shared" si="1"/>
        <v>105.60000000000001</v>
      </c>
    </row>
    <row r="4" spans="1:44" ht="15.75" thickBot="1" x14ac:dyDescent="0.3">
      <c r="A4" s="156">
        <v>3</v>
      </c>
      <c r="B4" s="34">
        <v>28</v>
      </c>
      <c r="C4" s="5" t="s">
        <v>22</v>
      </c>
      <c r="D4" s="34">
        <v>3</v>
      </c>
      <c r="E4" s="5" t="s">
        <v>48</v>
      </c>
      <c r="F4" s="34">
        <v>1</v>
      </c>
      <c r="G4" s="35">
        <v>0.66</v>
      </c>
      <c r="I4" s="67" t="s">
        <v>137</v>
      </c>
      <c r="J4" s="34">
        <v>0.5</v>
      </c>
      <c r="K4" s="35" t="s">
        <v>138</v>
      </c>
      <c r="M4" s="14" t="s">
        <v>29</v>
      </c>
      <c r="N4" s="141">
        <v>1</v>
      </c>
      <c r="O4" s="17">
        <v>2</v>
      </c>
      <c r="P4" s="18">
        <v>3</v>
      </c>
      <c r="R4" s="14" t="s">
        <v>29</v>
      </c>
      <c r="S4" s="141">
        <v>1</v>
      </c>
      <c r="T4" s="17">
        <v>2</v>
      </c>
      <c r="U4" s="18">
        <v>3</v>
      </c>
      <c r="V4" s="62"/>
      <c r="W4" s="14" t="s">
        <v>29</v>
      </c>
      <c r="X4" s="141">
        <v>1</v>
      </c>
      <c r="Y4" s="17">
        <v>2</v>
      </c>
      <c r="Z4" s="18">
        <v>3</v>
      </c>
      <c r="AB4" s="14" t="s">
        <v>29</v>
      </c>
      <c r="AC4" s="141">
        <v>1</v>
      </c>
      <c r="AD4" s="17">
        <v>2</v>
      </c>
      <c r="AE4" s="18">
        <v>3</v>
      </c>
      <c r="AG4" s="156" t="str">
        <f t="shared" si="2"/>
        <v>33</v>
      </c>
      <c r="AH4" s="34">
        <v>3</v>
      </c>
      <c r="AI4" s="34">
        <v>3</v>
      </c>
      <c r="AJ4" s="157" t="s">
        <v>48</v>
      </c>
      <c r="AK4" s="129">
        <f t="shared" si="0"/>
        <v>52.800000000000004</v>
      </c>
      <c r="AL4" s="158">
        <v>2</v>
      </c>
      <c r="AM4" s="159">
        <v>13968</v>
      </c>
      <c r="AO4" s="227"/>
      <c r="AP4" s="160">
        <v>105.60000000000001</v>
      </c>
      <c r="AQ4" s="161" t="s">
        <v>134</v>
      </c>
      <c r="AR4" s="81">
        <f t="shared" si="1"/>
        <v>105.60000000000001</v>
      </c>
    </row>
    <row r="5" spans="1:44" x14ac:dyDescent="0.25">
      <c r="A5" s="156">
        <v>4</v>
      </c>
      <c r="B5" s="34">
        <v>30</v>
      </c>
      <c r="C5" s="5" t="s">
        <v>23</v>
      </c>
      <c r="D5" s="34">
        <v>3</v>
      </c>
      <c r="E5" s="5" t="s">
        <v>49</v>
      </c>
      <c r="F5" s="34">
        <v>1</v>
      </c>
      <c r="G5" s="35">
        <v>0.66</v>
      </c>
      <c r="I5" s="67" t="s">
        <v>139</v>
      </c>
      <c r="J5" s="34">
        <v>80</v>
      </c>
      <c r="K5" s="35" t="s">
        <v>140</v>
      </c>
      <c r="M5" s="23">
        <v>1</v>
      </c>
      <c r="N5" s="162">
        <f>SUMIFS($F$2:$F$68,$A$2:$A$68,$M5,$D$2:$D$68,N$4)*VLOOKUP($M5,$A$2:$G$68,7,FALSE)*Stazioni!$L$9*(Stazioni!$L$6/5)</f>
        <v>0</v>
      </c>
      <c r="O5" s="162">
        <f>SUMIFS($F$2:$F$68,$A$2:$A$68,$M5,$D$2:$D$68,O$4)*VLOOKUP($M5,$A$2:$G$68,7,FALSE)*Stazioni!$L$9*(Stazioni!$L$6/5)</f>
        <v>0</v>
      </c>
      <c r="P5" s="162">
        <f>SUMIFS($F$2:$F$68,$A$2:$A$68,$M5,$D$2:$D$68,P$4)*VLOOKUP($M5,$A$2:$G$68,7,FALSE)*Stazioni!$L$9*(Stazioni!$L$6/5)</f>
        <v>105.60000000000001</v>
      </c>
      <c r="R5" s="23">
        <v>1</v>
      </c>
      <c r="S5" s="163">
        <f t="shared" ref="S5:U32" si="3">IFERROR(AC5*(VLOOKUP(CONCATENATE(TEXT(S$4,"0"),TEXT($R5,"0")),$AG$2:$AM$33,6,FALSE))/(VLOOKUP(CONCATENATE(TEXT(S$4,"0"),TEXT($R5,"0")),$AG$2:$AM$33,5,FALSE))*$J$3,0)</f>
        <v>0</v>
      </c>
      <c r="T5" s="163">
        <f t="shared" si="3"/>
        <v>0</v>
      </c>
      <c r="U5" s="163">
        <f t="shared" si="3"/>
        <v>120</v>
      </c>
      <c r="V5" s="62"/>
      <c r="W5" s="23">
        <v>1</v>
      </c>
      <c r="X5" s="163">
        <f>S5/$J$3</f>
        <v>0</v>
      </c>
      <c r="Y5" s="163">
        <f t="shared" ref="Y5:Z20" si="4">T5/$J$3</f>
        <v>0</v>
      </c>
      <c r="Z5" s="163">
        <f t="shared" si="4"/>
        <v>2</v>
      </c>
      <c r="AA5" s="164"/>
      <c r="AB5" s="23">
        <v>1</v>
      </c>
      <c r="AC5" s="162">
        <f>IFERROR(((SUMIFS($F$2:$F$68,$A$2:$A$68,$AB5,$D$2:$D$68,AC$4)*VLOOKUP($AB5,$A$2:$G$68,7,FALSE)*Stazioni!$L$9)/3600)*VLOOKUP(CONCATENATE(TEXT(AC$4,"0"),TEXT($AB5,"0")),$AG$2:$AM$33,7,FALSE),0)</f>
        <v>0</v>
      </c>
      <c r="AD5" s="162">
        <f>IFERROR(((SUMIFS($F$2:$F$68,$A$2:$A$68,$AB5,$D$2:$D$68,AD$4)*VLOOKUP($AB5,$A$2:$G$68,7,FALSE)*Stazioni!$L$9)/3600)*VLOOKUP(CONCATENATE(TEXT(AD$4,"0"),TEXT($AB5,"0")),$AG$2:$AM$33,7,FALSE),0)</f>
        <v>0</v>
      </c>
      <c r="AE5" s="162">
        <f>IFERROR(((SUMIFS($F$2:$F$68,$A$2:$A$68,$AB5,$D$2:$D$68,AE$4)*VLOOKUP($AB5,$A$2:$G$68,7,FALSE)*Stazioni!$L$9)/3600)*VLOOKUP(CONCATENATE(TEXT(AE$4,"0"),TEXT($AB5,"0")),$AG$2:$AM$33,7,FALSE),0)</f>
        <v>52.800000000000004</v>
      </c>
      <c r="AG5" s="156" t="str">
        <f t="shared" si="2"/>
        <v>34</v>
      </c>
      <c r="AH5" s="34">
        <v>3</v>
      </c>
      <c r="AI5" s="34">
        <v>4</v>
      </c>
      <c r="AJ5" s="157" t="s">
        <v>49</v>
      </c>
      <c r="AK5" s="129">
        <f t="shared" si="0"/>
        <v>52.800000000000004</v>
      </c>
      <c r="AL5" s="158">
        <v>2</v>
      </c>
      <c r="AM5" s="159">
        <v>13968</v>
      </c>
      <c r="AO5" s="227"/>
      <c r="AP5" s="160">
        <v>105.60000000000001</v>
      </c>
      <c r="AQ5" s="161" t="s">
        <v>134</v>
      </c>
      <c r="AR5" s="81">
        <f t="shared" si="1"/>
        <v>105.60000000000001</v>
      </c>
    </row>
    <row r="6" spans="1:44" x14ac:dyDescent="0.25">
      <c r="A6" s="156">
        <v>5</v>
      </c>
      <c r="B6" s="34">
        <v>24</v>
      </c>
      <c r="C6" s="5" t="s">
        <v>20</v>
      </c>
      <c r="D6" s="34">
        <v>3</v>
      </c>
      <c r="E6" s="5" t="s">
        <v>46</v>
      </c>
      <c r="F6" s="34">
        <v>1</v>
      </c>
      <c r="G6" s="35">
        <v>0.66</v>
      </c>
      <c r="I6" s="77" t="s">
        <v>141</v>
      </c>
      <c r="J6" s="165">
        <v>0.93</v>
      </c>
      <c r="K6" s="166"/>
      <c r="M6" s="32">
        <v>2</v>
      </c>
      <c r="N6" s="162">
        <f>SUMIFS($F$2:$F$68,$A$2:$A$68,$M6,$D$2:$D$68,N$4)*VLOOKUP($M6,$A$2:$G$68,7,FALSE)*Stazioni!$L$9*(Stazioni!$L$6/5)</f>
        <v>0</v>
      </c>
      <c r="O6" s="162">
        <f>SUMIFS($F$2:$F$68,$A$2:$A$68,$M6,$D$2:$D$68,O$4)*VLOOKUP($M6,$A$2:$G$68,7,FALSE)*Stazioni!$L$9*(Stazioni!$L$6/5)</f>
        <v>0</v>
      </c>
      <c r="P6" s="162">
        <f>SUMIFS($F$2:$F$68,$A$2:$A$68,$M6,$D$2:$D$68,P$4)*VLOOKUP($M6,$A$2:$G$68,7,FALSE)*Stazioni!$L$9*(Stazioni!$L$6/5)</f>
        <v>105.60000000000001</v>
      </c>
      <c r="R6" s="32">
        <v>2</v>
      </c>
      <c r="S6" s="163">
        <f t="shared" si="3"/>
        <v>0</v>
      </c>
      <c r="T6" s="163">
        <f t="shared" si="3"/>
        <v>0</v>
      </c>
      <c r="U6" s="163">
        <f t="shared" si="3"/>
        <v>120</v>
      </c>
      <c r="V6" s="62"/>
      <c r="W6" s="32">
        <v>2</v>
      </c>
      <c r="X6" s="163">
        <f t="shared" ref="X6:Z32" si="5">S6/$J$3</f>
        <v>0</v>
      </c>
      <c r="Y6" s="163">
        <f t="shared" si="4"/>
        <v>0</v>
      </c>
      <c r="Z6" s="163">
        <f t="shared" si="4"/>
        <v>2</v>
      </c>
      <c r="AA6" s="164"/>
      <c r="AB6" s="32">
        <v>2</v>
      </c>
      <c r="AC6" s="162">
        <f>IFERROR(((SUMIFS($F$2:$F$68,$A$2:$A$68,$AB6,$D$2:$D$68,AC$4)*VLOOKUP($AB6,$A$2:$G$68,7,FALSE)*Stazioni!$L$9)/3600)*VLOOKUP(CONCATENATE(TEXT(AC$4,"0"),TEXT($AB6,"0")),$AG$2:$AM$33,7,FALSE),0)</f>
        <v>0</v>
      </c>
      <c r="AD6" s="162">
        <f>IFERROR(((SUMIFS($F$2:$F$68,$A$2:$A$68,$AB6,$D$2:$D$68,AD$4)*VLOOKUP($AB6,$A$2:$G$68,7,FALSE)*Stazioni!$L$9)/3600)*VLOOKUP(CONCATENATE(TEXT(AD$4,"0"),TEXT($AB6,"0")),$AG$2:$AM$33,7,FALSE),0)</f>
        <v>0</v>
      </c>
      <c r="AE6" s="162">
        <f>IFERROR(((SUMIFS($F$2:$F$68,$A$2:$A$68,$AB6,$D$2:$D$68,AE$4)*VLOOKUP($AB6,$A$2:$G$68,7,FALSE)*Stazioni!$L$9)/3600)*VLOOKUP(CONCATENATE(TEXT(AE$4,"0"),TEXT($AB6,"0")),$AG$2:$AM$33,7,FALSE),0)</f>
        <v>52.800000000000004</v>
      </c>
      <c r="AG6" s="156" t="str">
        <f t="shared" si="2"/>
        <v>35</v>
      </c>
      <c r="AH6" s="34">
        <v>3</v>
      </c>
      <c r="AI6" s="34">
        <v>5</v>
      </c>
      <c r="AJ6" s="157" t="s">
        <v>46</v>
      </c>
      <c r="AK6" s="129">
        <f t="shared" si="0"/>
        <v>52.800000000000004</v>
      </c>
      <c r="AL6" s="158">
        <v>2</v>
      </c>
      <c r="AM6" s="159">
        <v>13968</v>
      </c>
      <c r="AO6" s="227"/>
      <c r="AP6" s="160">
        <v>105.60000000000001</v>
      </c>
      <c r="AQ6" s="161" t="s">
        <v>134</v>
      </c>
      <c r="AR6" s="81">
        <f t="shared" si="1"/>
        <v>105.60000000000001</v>
      </c>
    </row>
    <row r="7" spans="1:44" x14ac:dyDescent="0.25">
      <c r="A7" s="156">
        <v>6</v>
      </c>
      <c r="B7" s="34">
        <v>26</v>
      </c>
      <c r="C7" s="5" t="s">
        <v>21</v>
      </c>
      <c r="D7" s="34">
        <v>3</v>
      </c>
      <c r="E7" s="5" t="s">
        <v>47</v>
      </c>
      <c r="F7" s="34">
        <v>1</v>
      </c>
      <c r="G7" s="35">
        <v>0.66</v>
      </c>
      <c r="I7" s="67" t="s">
        <v>142</v>
      </c>
      <c r="J7" s="34">
        <f>J5*J6</f>
        <v>74.400000000000006</v>
      </c>
      <c r="K7" s="35" t="s">
        <v>140</v>
      </c>
      <c r="M7" s="32">
        <v>3</v>
      </c>
      <c r="N7" s="162">
        <f>SUMIFS($F$2:$F$68,$A$2:$A$68,$M7,$D$2:$D$68,N$4)*VLOOKUP($M7,$A$2:$G$68,7,FALSE)*Stazioni!$L$9*(Stazioni!$L$6/5)</f>
        <v>0</v>
      </c>
      <c r="O7" s="162">
        <f>SUMIFS($F$2:$F$68,$A$2:$A$68,$M7,$D$2:$D$68,O$4)*VLOOKUP($M7,$A$2:$G$68,7,FALSE)*Stazioni!$L$9*(Stazioni!$L$6/5)</f>
        <v>0</v>
      </c>
      <c r="P7" s="162">
        <f>SUMIFS($F$2:$F$68,$A$2:$A$68,$M7,$D$2:$D$68,P$4)*VLOOKUP($M7,$A$2:$G$68,7,FALSE)*Stazioni!$L$9*(Stazioni!$L$6/5)</f>
        <v>105.60000000000001</v>
      </c>
      <c r="R7" s="32">
        <v>3</v>
      </c>
      <c r="S7" s="163">
        <f t="shared" si="3"/>
        <v>0</v>
      </c>
      <c r="T7" s="163">
        <f t="shared" si="3"/>
        <v>0</v>
      </c>
      <c r="U7" s="163">
        <f t="shared" si="3"/>
        <v>120</v>
      </c>
      <c r="V7" s="62"/>
      <c r="W7" s="32">
        <v>3</v>
      </c>
      <c r="X7" s="163">
        <f t="shared" si="5"/>
        <v>0</v>
      </c>
      <c r="Y7" s="163">
        <f t="shared" si="4"/>
        <v>0</v>
      </c>
      <c r="Z7" s="163">
        <f t="shared" si="4"/>
        <v>2</v>
      </c>
      <c r="AA7" s="164"/>
      <c r="AB7" s="32">
        <v>3</v>
      </c>
      <c r="AC7" s="162">
        <f>IFERROR(((SUMIFS($F$2:$F$68,$A$2:$A$68,$AB7,$D$2:$D$68,AC$4)*VLOOKUP($AB7,$A$2:$G$68,7,FALSE)*Stazioni!$L$9)/3600)*VLOOKUP(CONCATENATE(TEXT(AC$4,"0"),TEXT($AB7,"0")),$AG$2:$AM$33,7,FALSE),0)</f>
        <v>0</v>
      </c>
      <c r="AD7" s="162">
        <f>IFERROR(((SUMIFS($F$2:$F$68,$A$2:$A$68,$AB7,$D$2:$D$68,AD$4)*VLOOKUP($AB7,$A$2:$G$68,7,FALSE)*Stazioni!$L$9)/3600)*VLOOKUP(CONCATENATE(TEXT(AD$4,"0"),TEXT($AB7,"0")),$AG$2:$AM$33,7,FALSE),0)</f>
        <v>0</v>
      </c>
      <c r="AE7" s="162">
        <f>IFERROR(((SUMIFS($F$2:$F$68,$A$2:$A$68,$AB7,$D$2:$D$68,AE$4)*VLOOKUP($AB7,$A$2:$G$68,7,FALSE)*Stazioni!$L$9)/3600)*VLOOKUP(CONCATENATE(TEXT(AE$4,"0"),TEXT($AB7,"0")),$AG$2:$AM$33,7,FALSE),0)</f>
        <v>52.800000000000004</v>
      </c>
      <c r="AG7" s="156" t="str">
        <f t="shared" si="2"/>
        <v>36</v>
      </c>
      <c r="AH7" s="34">
        <v>3</v>
      </c>
      <c r="AI7" s="34">
        <v>6</v>
      </c>
      <c r="AJ7" s="157" t="s">
        <v>47</v>
      </c>
      <c r="AK7" s="129">
        <f t="shared" si="0"/>
        <v>52.800000000000004</v>
      </c>
      <c r="AL7" s="158">
        <v>2</v>
      </c>
      <c r="AM7" s="159">
        <v>13968</v>
      </c>
      <c r="AO7" s="227"/>
      <c r="AP7" s="160">
        <v>105.60000000000001</v>
      </c>
      <c r="AQ7" s="161" t="s">
        <v>134</v>
      </c>
      <c r="AR7" s="81">
        <f t="shared" si="1"/>
        <v>105.60000000000001</v>
      </c>
    </row>
    <row r="8" spans="1:44" ht="15.75" thickBot="1" x14ac:dyDescent="0.3">
      <c r="A8" s="156">
        <v>7</v>
      </c>
      <c r="B8" s="34">
        <v>20</v>
      </c>
      <c r="C8" s="5" t="s">
        <v>17</v>
      </c>
      <c r="D8" s="34">
        <v>1</v>
      </c>
      <c r="E8" s="5" t="s">
        <v>42</v>
      </c>
      <c r="F8" s="34">
        <v>1</v>
      </c>
      <c r="G8" s="35">
        <v>0.66</v>
      </c>
      <c r="I8" s="167" t="s">
        <v>143</v>
      </c>
      <c r="J8" s="44">
        <v>1.7</v>
      </c>
      <c r="K8" s="45" t="s">
        <v>144</v>
      </c>
      <c r="M8" s="32">
        <v>4</v>
      </c>
      <c r="N8" s="162">
        <f>SUMIFS($F$2:$F$68,$A$2:$A$68,$M8,$D$2:$D$68,N$4)*VLOOKUP($M8,$A$2:$G$68,7,FALSE)*Stazioni!$L$9*(Stazioni!$L$6/5)</f>
        <v>0</v>
      </c>
      <c r="O8" s="162">
        <f>SUMIFS($F$2:$F$68,$A$2:$A$68,$M8,$D$2:$D$68,O$4)*VLOOKUP($M8,$A$2:$G$68,7,FALSE)*Stazioni!$L$9*(Stazioni!$L$6/5)</f>
        <v>0</v>
      </c>
      <c r="P8" s="162">
        <f>SUMIFS($F$2:$F$68,$A$2:$A$68,$M8,$D$2:$D$68,P$4)*VLOOKUP($M8,$A$2:$G$68,7,FALSE)*Stazioni!$L$9*(Stazioni!$L$6/5)</f>
        <v>105.60000000000001</v>
      </c>
      <c r="R8" s="32">
        <v>4</v>
      </c>
      <c r="S8" s="163">
        <f t="shared" si="3"/>
        <v>0</v>
      </c>
      <c r="T8" s="163">
        <f t="shared" si="3"/>
        <v>0</v>
      </c>
      <c r="U8" s="163">
        <f t="shared" si="3"/>
        <v>120</v>
      </c>
      <c r="V8" s="62"/>
      <c r="W8" s="32">
        <v>4</v>
      </c>
      <c r="X8" s="163">
        <f t="shared" si="5"/>
        <v>0</v>
      </c>
      <c r="Y8" s="163">
        <f t="shared" si="4"/>
        <v>0</v>
      </c>
      <c r="Z8" s="163">
        <f t="shared" si="4"/>
        <v>2</v>
      </c>
      <c r="AA8" s="164"/>
      <c r="AB8" s="32">
        <v>4</v>
      </c>
      <c r="AC8" s="162">
        <f>IFERROR(((SUMIFS($F$2:$F$68,$A$2:$A$68,$AB8,$D$2:$D$68,AC$4)*VLOOKUP($AB8,$A$2:$G$68,7,FALSE)*Stazioni!$L$9)/3600)*VLOOKUP(CONCATENATE(TEXT(AC$4,"0"),TEXT($AB8,"0")),$AG$2:$AM$33,7,FALSE),0)</f>
        <v>0</v>
      </c>
      <c r="AD8" s="162">
        <f>IFERROR(((SUMIFS($F$2:$F$68,$A$2:$A$68,$AB8,$D$2:$D$68,AD$4)*VLOOKUP($AB8,$A$2:$G$68,7,FALSE)*Stazioni!$L$9)/3600)*VLOOKUP(CONCATENATE(TEXT(AD$4,"0"),TEXT($AB8,"0")),$AG$2:$AM$33,7,FALSE),0)</f>
        <v>0</v>
      </c>
      <c r="AE8" s="162">
        <f>IFERROR(((SUMIFS($F$2:$F$68,$A$2:$A$68,$AB8,$D$2:$D$68,AE$4)*VLOOKUP($AB8,$A$2:$G$68,7,FALSE)*Stazioni!$L$9)/3600)*VLOOKUP(CONCATENATE(TEXT(AE$4,"0"),TEXT($AB8,"0")),$AG$2:$AM$33,7,FALSE),0)</f>
        <v>52.800000000000004</v>
      </c>
      <c r="AG8" s="156" t="str">
        <f t="shared" si="2"/>
        <v>17</v>
      </c>
      <c r="AH8" s="34">
        <v>1</v>
      </c>
      <c r="AI8" s="34">
        <v>7</v>
      </c>
      <c r="AJ8" s="157" t="s">
        <v>42</v>
      </c>
      <c r="AK8" s="129">
        <f>AC11</f>
        <v>52.800000000000004</v>
      </c>
      <c r="AL8" s="158">
        <v>2</v>
      </c>
      <c r="AM8" s="159">
        <v>13968</v>
      </c>
      <c r="AO8" s="227"/>
      <c r="AP8" s="160">
        <v>105.60000000000001</v>
      </c>
      <c r="AQ8" s="161" t="s">
        <v>134</v>
      </c>
      <c r="AR8" s="81">
        <f t="shared" si="1"/>
        <v>105.60000000000001</v>
      </c>
    </row>
    <row r="9" spans="1:44" ht="15.75" thickBot="1" x14ac:dyDescent="0.3">
      <c r="A9" s="156">
        <v>8</v>
      </c>
      <c r="B9" s="34">
        <v>22</v>
      </c>
      <c r="C9" s="5" t="s">
        <v>19</v>
      </c>
      <c r="D9" s="34">
        <v>1</v>
      </c>
      <c r="E9" s="5" t="s">
        <v>45</v>
      </c>
      <c r="F9" s="34">
        <v>1</v>
      </c>
      <c r="G9" s="35">
        <v>0.66</v>
      </c>
      <c r="M9" s="32">
        <v>5</v>
      </c>
      <c r="N9" s="162">
        <f>SUMIFS($F$2:$F$68,$A$2:$A$68,$M9,$D$2:$D$68,N$4)*VLOOKUP($M9,$A$2:$G$68,7,FALSE)*Stazioni!$L$9*(Stazioni!$L$6/5)</f>
        <v>0</v>
      </c>
      <c r="O9" s="162">
        <f>SUMIFS($F$2:$F$68,$A$2:$A$68,$M9,$D$2:$D$68,O$4)*VLOOKUP($M9,$A$2:$G$68,7,FALSE)*Stazioni!$L$9*(Stazioni!$L$6/5)</f>
        <v>0</v>
      </c>
      <c r="P9" s="162">
        <f>SUMIFS($F$2:$F$68,$A$2:$A$68,$M9,$D$2:$D$68,P$4)*VLOOKUP($M9,$A$2:$G$68,7,FALSE)*Stazioni!$L$9*(Stazioni!$L$6/5)</f>
        <v>105.60000000000001</v>
      </c>
      <c r="R9" s="32">
        <v>5</v>
      </c>
      <c r="S9" s="163">
        <f t="shared" si="3"/>
        <v>0</v>
      </c>
      <c r="T9" s="163">
        <f t="shared" si="3"/>
        <v>0</v>
      </c>
      <c r="U9" s="163">
        <f t="shared" si="3"/>
        <v>120</v>
      </c>
      <c r="V9" s="62"/>
      <c r="W9" s="32">
        <v>5</v>
      </c>
      <c r="X9" s="163">
        <f t="shared" si="5"/>
        <v>0</v>
      </c>
      <c r="Y9" s="163">
        <f t="shared" si="4"/>
        <v>0</v>
      </c>
      <c r="Z9" s="163">
        <f t="shared" si="4"/>
        <v>2</v>
      </c>
      <c r="AA9" s="164"/>
      <c r="AB9" s="32">
        <v>5</v>
      </c>
      <c r="AC9" s="162">
        <f>IFERROR(((SUMIFS($F$2:$F$68,$A$2:$A$68,$AB9,$D$2:$D$68,AC$4)*VLOOKUP($AB9,$A$2:$G$68,7,FALSE)*Stazioni!$L$9)/3600)*VLOOKUP(CONCATENATE(TEXT(AC$4,"0"),TEXT($AB9,"0")),$AG$2:$AM$33,7,FALSE),0)</f>
        <v>0</v>
      </c>
      <c r="AD9" s="162">
        <f>IFERROR(((SUMIFS($F$2:$F$68,$A$2:$A$68,$AB9,$D$2:$D$68,AD$4)*VLOOKUP($AB9,$A$2:$G$68,7,FALSE)*Stazioni!$L$9)/3600)*VLOOKUP(CONCATENATE(TEXT(AD$4,"0"),TEXT($AB9,"0")),$AG$2:$AM$33,7,FALSE),0)</f>
        <v>0</v>
      </c>
      <c r="AE9" s="162">
        <f>IFERROR(((SUMIFS($F$2:$F$68,$A$2:$A$68,$AB9,$D$2:$D$68,AE$4)*VLOOKUP($AB9,$A$2:$G$68,7,FALSE)*Stazioni!$L$9)/3600)*VLOOKUP(CONCATENATE(TEXT(AE$4,"0"),TEXT($AB9,"0")),$AG$2:$AM$33,7,FALSE),0)</f>
        <v>52.800000000000004</v>
      </c>
      <c r="AG9" s="156" t="str">
        <f t="shared" si="2"/>
        <v>18</v>
      </c>
      <c r="AH9" s="34">
        <v>1</v>
      </c>
      <c r="AI9" s="34">
        <v>8</v>
      </c>
      <c r="AJ9" s="157" t="s">
        <v>45</v>
      </c>
      <c r="AK9" s="129">
        <f>AC12</f>
        <v>52.800000000000004</v>
      </c>
      <c r="AL9" s="158">
        <v>2</v>
      </c>
      <c r="AM9" s="159">
        <v>13968</v>
      </c>
      <c r="AO9" s="227"/>
      <c r="AP9" s="160">
        <v>105.60000000000001</v>
      </c>
      <c r="AQ9" s="161" t="s">
        <v>134</v>
      </c>
      <c r="AR9" s="81">
        <f t="shared" si="1"/>
        <v>105.60000000000001</v>
      </c>
    </row>
    <row r="10" spans="1:44" x14ac:dyDescent="0.25">
      <c r="A10" s="156">
        <v>9</v>
      </c>
      <c r="B10" s="34">
        <v>21</v>
      </c>
      <c r="C10" s="5" t="s">
        <v>18</v>
      </c>
      <c r="D10" s="34">
        <v>1</v>
      </c>
      <c r="E10" s="5" t="s">
        <v>44</v>
      </c>
      <c r="F10" s="34">
        <v>4</v>
      </c>
      <c r="G10" s="35">
        <v>0.04</v>
      </c>
      <c r="I10" s="147" t="s">
        <v>145</v>
      </c>
      <c r="J10" s="148">
        <f>J8*1000/J4</f>
        <v>3400</v>
      </c>
      <c r="K10" s="168" t="s">
        <v>146</v>
      </c>
      <c r="M10" s="32">
        <v>6</v>
      </c>
      <c r="N10" s="162">
        <f>SUMIFS($F$2:$F$68,$A$2:$A$68,$M10,$D$2:$D$68,N$4)*VLOOKUP($M10,$A$2:$G$68,7,FALSE)*Stazioni!$L$9*(Stazioni!$L$6/5)</f>
        <v>0</v>
      </c>
      <c r="O10" s="162">
        <f>SUMIFS($F$2:$F$68,$A$2:$A$68,$M10,$D$2:$D$68,O$4)*VLOOKUP($M10,$A$2:$G$68,7,FALSE)*Stazioni!$L$9*(Stazioni!$L$6/5)</f>
        <v>0</v>
      </c>
      <c r="P10" s="162">
        <f>SUMIFS($F$2:$F$68,$A$2:$A$68,$M10,$D$2:$D$68,P$4)*VLOOKUP($M10,$A$2:$G$68,7,FALSE)*Stazioni!$L$9*(Stazioni!$L$6/5)</f>
        <v>105.60000000000001</v>
      </c>
      <c r="R10" s="32">
        <v>6</v>
      </c>
      <c r="S10" s="163">
        <f t="shared" si="3"/>
        <v>0</v>
      </c>
      <c r="T10" s="163">
        <f t="shared" si="3"/>
        <v>0</v>
      </c>
      <c r="U10" s="163">
        <f t="shared" si="3"/>
        <v>120</v>
      </c>
      <c r="V10" s="62"/>
      <c r="W10" s="32">
        <v>6</v>
      </c>
      <c r="X10" s="163">
        <f t="shared" si="5"/>
        <v>0</v>
      </c>
      <c r="Y10" s="163">
        <f t="shared" si="4"/>
        <v>0</v>
      </c>
      <c r="Z10" s="163">
        <f t="shared" si="4"/>
        <v>2</v>
      </c>
      <c r="AA10" s="164"/>
      <c r="AB10" s="32">
        <v>6</v>
      </c>
      <c r="AC10" s="162">
        <f>IFERROR(((SUMIFS($F$2:$F$68,$A$2:$A$68,$AB10,$D$2:$D$68,AC$4)*VLOOKUP($AB10,$A$2:$G$68,7,FALSE)*Stazioni!$L$9)/3600)*VLOOKUP(CONCATENATE(TEXT(AC$4,"0"),TEXT($AB10,"0")),$AG$2:$AM$33,7,FALSE),0)</f>
        <v>0</v>
      </c>
      <c r="AD10" s="162">
        <f>IFERROR(((SUMIFS($F$2:$F$68,$A$2:$A$68,$AB10,$D$2:$D$68,AD$4)*VLOOKUP($AB10,$A$2:$G$68,7,FALSE)*Stazioni!$L$9)/3600)*VLOOKUP(CONCATENATE(TEXT(AD$4,"0"),TEXT($AB10,"0")),$AG$2:$AM$33,7,FALSE),0)</f>
        <v>0</v>
      </c>
      <c r="AE10" s="162">
        <f>IFERROR(((SUMIFS($F$2:$F$68,$A$2:$A$68,$AB10,$D$2:$D$68,AE$4)*VLOOKUP($AB10,$A$2:$G$68,7,FALSE)*Stazioni!$L$9)/3600)*VLOOKUP(CONCATENATE(TEXT(AE$4,"0"),TEXT($AB10,"0")),$AG$2:$AM$33,7,FALSE),0)</f>
        <v>52.800000000000004</v>
      </c>
      <c r="AG10" s="156" t="str">
        <f t="shared" si="2"/>
        <v>19</v>
      </c>
      <c r="AH10" s="34">
        <v>1</v>
      </c>
      <c r="AI10" s="34">
        <v>9</v>
      </c>
      <c r="AJ10" s="157" t="s">
        <v>44</v>
      </c>
      <c r="AK10" s="129">
        <f>AC13</f>
        <v>51.2</v>
      </c>
      <c r="AL10" s="158">
        <v>1</v>
      </c>
      <c r="AM10" s="159">
        <v>27936</v>
      </c>
      <c r="AO10" s="227"/>
      <c r="AP10" s="160">
        <v>51.2</v>
      </c>
      <c r="AQ10" s="161" t="s">
        <v>134</v>
      </c>
      <c r="AR10" s="81">
        <f t="shared" si="1"/>
        <v>51.2</v>
      </c>
    </row>
    <row r="11" spans="1:44" x14ac:dyDescent="0.25">
      <c r="A11" s="156">
        <v>9</v>
      </c>
      <c r="B11" s="34">
        <v>23</v>
      </c>
      <c r="C11" s="5" t="s">
        <v>18</v>
      </c>
      <c r="D11" s="34">
        <v>1</v>
      </c>
      <c r="E11" s="5" t="s">
        <v>44</v>
      </c>
      <c r="F11" s="34">
        <v>4</v>
      </c>
      <c r="G11" s="35">
        <v>0.04</v>
      </c>
      <c r="I11" s="98" t="s">
        <v>147</v>
      </c>
      <c r="J11" s="169">
        <f>SUM(S5:U32)</f>
        <v>4740</v>
      </c>
      <c r="K11" s="170" t="s">
        <v>133</v>
      </c>
      <c r="M11" s="32">
        <v>7</v>
      </c>
      <c r="N11" s="162">
        <f>SUMIFS($F$2:$F$68,$A$2:$A$68,$M11,$D$2:$D$68,N$4)*VLOOKUP($M11,$A$2:$G$68,7,FALSE)*Stazioni!$L$9*(Stazioni!$L$6/5)</f>
        <v>105.60000000000001</v>
      </c>
      <c r="O11" s="162">
        <f>SUMIFS($F$2:$F$68,$A$2:$A$68,$M11,$D$2:$D$68,O$4)*VLOOKUP($M11,$A$2:$G$68,7,FALSE)*Stazioni!$L$9*(Stazioni!$L$6/5)</f>
        <v>0</v>
      </c>
      <c r="P11" s="162">
        <f>SUMIFS($F$2:$F$68,$A$2:$A$68,$M11,$D$2:$D$68,P$4)*VLOOKUP($M11,$A$2:$G$68,7,FALSE)*Stazioni!$L$9*(Stazioni!$L$6/5)</f>
        <v>0</v>
      </c>
      <c r="R11" s="32">
        <v>7</v>
      </c>
      <c r="S11" s="163">
        <f t="shared" si="3"/>
        <v>120</v>
      </c>
      <c r="T11" s="163">
        <f t="shared" si="3"/>
        <v>0</v>
      </c>
      <c r="U11" s="163">
        <f t="shared" si="3"/>
        <v>0</v>
      </c>
      <c r="V11" s="62"/>
      <c r="W11" s="32">
        <v>7</v>
      </c>
      <c r="X11" s="163">
        <f t="shared" si="5"/>
        <v>2</v>
      </c>
      <c r="Y11" s="163">
        <f t="shared" si="4"/>
        <v>0</v>
      </c>
      <c r="Z11" s="163">
        <f t="shared" si="4"/>
        <v>0</v>
      </c>
      <c r="AA11" s="164"/>
      <c r="AB11" s="32">
        <v>7</v>
      </c>
      <c r="AC11" s="162">
        <f>IFERROR(((SUMIFS($F$2:$F$68,$A$2:$A$68,$AB11,$D$2:$D$68,AC$4)*VLOOKUP($AB11,$A$2:$G$68,7,FALSE)*Stazioni!$L$9)/3600)*VLOOKUP(CONCATENATE(TEXT(AC$4,"0"),TEXT($AB11,"0")),$AG$2:$AM$33,7,FALSE),0)</f>
        <v>52.800000000000004</v>
      </c>
      <c r="AD11" s="162">
        <f>IFERROR(((SUMIFS($F$2:$F$68,$A$2:$A$68,$AB11,$D$2:$D$68,AD$4)*VLOOKUP($AB11,$A$2:$G$68,7,FALSE)*Stazioni!$L$9)/3600)*VLOOKUP(CONCATENATE(TEXT(AD$4,"0"),TEXT($AB11,"0")),$AG$2:$AM$33,7,FALSE),0)</f>
        <v>0</v>
      </c>
      <c r="AE11" s="162">
        <f>IFERROR(((SUMIFS($F$2:$F$68,$A$2:$A$68,$AB11,$D$2:$D$68,AE$4)*VLOOKUP($AB11,$A$2:$G$68,7,FALSE)*Stazioni!$L$9)/3600)*VLOOKUP(CONCATENATE(TEXT(AE$4,"0"),TEXT($AB11,"0")),$AG$2:$AM$33,7,FALSE),0)</f>
        <v>0</v>
      </c>
      <c r="AG11" s="156" t="str">
        <f t="shared" si="2"/>
        <v>39</v>
      </c>
      <c r="AH11" s="34">
        <v>3</v>
      </c>
      <c r="AI11" s="34">
        <v>9</v>
      </c>
      <c r="AJ11" s="157" t="s">
        <v>44</v>
      </c>
      <c r="AK11" s="129">
        <f>AE13</f>
        <v>76.8</v>
      </c>
      <c r="AL11" s="158">
        <v>2</v>
      </c>
      <c r="AM11" s="159">
        <v>13967.999999999998</v>
      </c>
      <c r="AO11" s="227"/>
      <c r="AP11" s="160">
        <v>153.6</v>
      </c>
      <c r="AQ11" s="161" t="s">
        <v>134</v>
      </c>
      <c r="AR11" s="81">
        <f t="shared" si="1"/>
        <v>153.6</v>
      </c>
    </row>
    <row r="12" spans="1:44" x14ac:dyDescent="0.25">
      <c r="A12" s="156">
        <v>9</v>
      </c>
      <c r="B12" s="34">
        <v>25</v>
      </c>
      <c r="C12" s="5" t="s">
        <v>18</v>
      </c>
      <c r="D12" s="34">
        <v>3</v>
      </c>
      <c r="E12" s="5" t="s">
        <v>44</v>
      </c>
      <c r="F12" s="34">
        <v>4</v>
      </c>
      <c r="G12" s="35">
        <v>0.04</v>
      </c>
      <c r="I12" s="67" t="s">
        <v>148</v>
      </c>
      <c r="J12" s="171">
        <f>J2-J11</f>
        <v>23196</v>
      </c>
      <c r="K12" s="172" t="s">
        <v>133</v>
      </c>
      <c r="M12" s="32">
        <v>8</v>
      </c>
      <c r="N12" s="162">
        <f>SUMIFS($F$2:$F$68,$A$2:$A$68,$M12,$D$2:$D$68,N$4)*VLOOKUP($M12,$A$2:$G$68,7,FALSE)*Stazioni!$L$9*(Stazioni!$L$6/5)</f>
        <v>105.60000000000001</v>
      </c>
      <c r="O12" s="162">
        <f>SUMIFS($F$2:$F$68,$A$2:$A$68,$M12,$D$2:$D$68,O$4)*VLOOKUP($M12,$A$2:$G$68,7,FALSE)*Stazioni!$L$9*(Stazioni!$L$6/5)</f>
        <v>0</v>
      </c>
      <c r="P12" s="162">
        <f>SUMIFS($F$2:$F$68,$A$2:$A$68,$M12,$D$2:$D$68,P$4)*VLOOKUP($M12,$A$2:$G$68,7,FALSE)*Stazioni!$L$9*(Stazioni!$L$6/5)</f>
        <v>0</v>
      </c>
      <c r="R12" s="32">
        <v>8</v>
      </c>
      <c r="S12" s="163">
        <f t="shared" si="3"/>
        <v>120</v>
      </c>
      <c r="T12" s="163">
        <f t="shared" si="3"/>
        <v>0</v>
      </c>
      <c r="U12" s="163">
        <f t="shared" si="3"/>
        <v>0</v>
      </c>
      <c r="V12" s="62"/>
      <c r="W12" s="32">
        <v>8</v>
      </c>
      <c r="X12" s="163">
        <f t="shared" si="5"/>
        <v>2</v>
      </c>
      <c r="Y12" s="163">
        <f t="shared" si="4"/>
        <v>0</v>
      </c>
      <c r="Z12" s="163">
        <f t="shared" si="4"/>
        <v>0</v>
      </c>
      <c r="AA12" s="164"/>
      <c r="AB12" s="32">
        <v>8</v>
      </c>
      <c r="AC12" s="162">
        <f>IFERROR(((SUMIFS($F$2:$F$68,$A$2:$A$68,$AB12,$D$2:$D$68,AC$4)*VLOOKUP($AB12,$A$2:$G$68,7,FALSE)*Stazioni!$L$9)/3600)*VLOOKUP(CONCATENATE(TEXT(AC$4,"0"),TEXT($AB12,"0")),$AG$2:$AM$33,7,FALSE),0)</f>
        <v>52.800000000000004</v>
      </c>
      <c r="AD12" s="162">
        <f>IFERROR(((SUMIFS($F$2:$F$68,$A$2:$A$68,$AB12,$D$2:$D$68,AD$4)*VLOOKUP($AB12,$A$2:$G$68,7,FALSE)*Stazioni!$L$9)/3600)*VLOOKUP(CONCATENATE(TEXT(AD$4,"0"),TEXT($AB12,"0")),$AG$2:$AM$33,7,FALSE),0)</f>
        <v>0</v>
      </c>
      <c r="AE12" s="162">
        <f>IFERROR(((SUMIFS($F$2:$F$68,$A$2:$A$68,$AB12,$D$2:$D$68,AE$4)*VLOOKUP($AB12,$A$2:$G$68,7,FALSE)*Stazioni!$L$9)/3600)*VLOOKUP(CONCATENATE(TEXT(AE$4,"0"),TEXT($AB12,"0")),$AG$2:$AM$33,7,FALSE),0)</f>
        <v>0</v>
      </c>
      <c r="AG12" s="156" t="str">
        <f t="shared" si="2"/>
        <v>110</v>
      </c>
      <c r="AH12" s="34">
        <v>1</v>
      </c>
      <c r="AI12" s="34">
        <v>10</v>
      </c>
      <c r="AJ12" s="157" t="s">
        <v>43</v>
      </c>
      <c r="AK12" s="129">
        <f>AC14</f>
        <v>51.2</v>
      </c>
      <c r="AL12" s="158">
        <v>1</v>
      </c>
      <c r="AM12" s="159">
        <v>27936</v>
      </c>
      <c r="AO12" s="227"/>
      <c r="AP12" s="160">
        <v>51.2</v>
      </c>
      <c r="AQ12" s="161" t="s">
        <v>134</v>
      </c>
      <c r="AR12" s="81">
        <f t="shared" si="1"/>
        <v>51.2</v>
      </c>
    </row>
    <row r="13" spans="1:44" ht="15.75" thickBot="1" x14ac:dyDescent="0.3">
      <c r="A13" s="156">
        <v>9</v>
      </c>
      <c r="B13" s="34">
        <v>27</v>
      </c>
      <c r="C13" s="5" t="s">
        <v>18</v>
      </c>
      <c r="D13" s="34">
        <v>3</v>
      </c>
      <c r="E13" s="5" t="s">
        <v>44</v>
      </c>
      <c r="F13" s="34">
        <v>4</v>
      </c>
      <c r="G13" s="35">
        <v>0.04</v>
      </c>
      <c r="I13" s="167" t="s">
        <v>149</v>
      </c>
      <c r="J13" s="44">
        <f>FLOOR(J12/J10,1)</f>
        <v>6</v>
      </c>
      <c r="K13" s="173" t="s">
        <v>150</v>
      </c>
      <c r="M13" s="32">
        <v>9</v>
      </c>
      <c r="N13" s="162">
        <f>SUMIFS($F$2:$F$68,$A$2:$A$68,$M13,$D$2:$D$68,N$4)*VLOOKUP($M13,$A$2:$G$68,7,FALSE)*Stazioni!$L$9*(Stazioni!$L$6/5)</f>
        <v>51.2</v>
      </c>
      <c r="O13" s="162">
        <f>SUMIFS($F$2:$F$68,$A$2:$A$68,$M13,$D$2:$D$68,O$4)*VLOOKUP($M13,$A$2:$G$68,7,FALSE)*Stazioni!$L$9*(Stazioni!$L$6/5)</f>
        <v>0</v>
      </c>
      <c r="P13" s="162">
        <f>SUMIFS($F$2:$F$68,$A$2:$A$68,$M13,$D$2:$D$68,P$4)*VLOOKUP($M13,$A$2:$G$68,7,FALSE)*Stazioni!$L$9*(Stazioni!$L$6/5)</f>
        <v>153.6</v>
      </c>
      <c r="R13" s="32">
        <v>9</v>
      </c>
      <c r="S13" s="163">
        <f t="shared" si="3"/>
        <v>60</v>
      </c>
      <c r="T13" s="163">
        <f t="shared" si="3"/>
        <v>0</v>
      </c>
      <c r="U13" s="163">
        <f t="shared" si="3"/>
        <v>120</v>
      </c>
      <c r="V13" s="62"/>
      <c r="W13" s="32">
        <v>9</v>
      </c>
      <c r="X13" s="163">
        <f t="shared" si="5"/>
        <v>1</v>
      </c>
      <c r="Y13" s="163">
        <f t="shared" si="4"/>
        <v>0</v>
      </c>
      <c r="Z13" s="163">
        <f t="shared" si="4"/>
        <v>2</v>
      </c>
      <c r="AA13" s="164"/>
      <c r="AB13" s="32">
        <v>9</v>
      </c>
      <c r="AC13" s="162">
        <f>IFERROR(((SUMIFS($F$2:$F$68,$A$2:$A$68,$AB13,$D$2:$D$68,AC$4)*VLOOKUP($AB13,$A$2:$G$68,7,FALSE)*Stazioni!$L$9)/3600)*VLOOKUP(CONCATENATE(TEXT(AC$4,"0"),TEXT($AB13,"0")),$AG$2:$AM$33,7,FALSE),0)</f>
        <v>51.2</v>
      </c>
      <c r="AD13" s="162">
        <f>IFERROR(((SUMIFS($F$2:$F$68,$A$2:$A$68,$AB13,$D$2:$D$68,AD$4)*VLOOKUP($AB13,$A$2:$G$68,7,FALSE)*Stazioni!$L$9)/3600)*VLOOKUP(CONCATENATE(TEXT(AD$4,"0"),TEXT($AB13,"0")),$AG$2:$AM$33,7,FALSE),0)</f>
        <v>0</v>
      </c>
      <c r="AE13" s="162">
        <f>IFERROR(((SUMIFS($F$2:$F$68,$A$2:$A$68,$AB13,$D$2:$D$68,AE$4)*VLOOKUP($AB13,$A$2:$G$68,7,FALSE)*Stazioni!$L$9)/3600)*VLOOKUP(CONCATENATE(TEXT(AE$4,"0"),TEXT($AB13,"0")),$AG$2:$AM$33,7,FALSE),0)</f>
        <v>76.8</v>
      </c>
      <c r="AG13" s="156" t="str">
        <f t="shared" si="2"/>
        <v>310</v>
      </c>
      <c r="AH13" s="34">
        <v>3</v>
      </c>
      <c r="AI13" s="34">
        <v>10</v>
      </c>
      <c r="AJ13" s="157" t="s">
        <v>43</v>
      </c>
      <c r="AK13" s="129">
        <f>AE14</f>
        <v>76.800000000000011</v>
      </c>
      <c r="AL13" s="158">
        <v>2</v>
      </c>
      <c r="AM13" s="159">
        <v>13968</v>
      </c>
      <c r="AO13" s="227"/>
      <c r="AP13" s="160">
        <v>153.6</v>
      </c>
      <c r="AQ13" s="161" t="s">
        <v>134</v>
      </c>
      <c r="AR13" s="81">
        <f t="shared" si="1"/>
        <v>153.60000000000002</v>
      </c>
    </row>
    <row r="14" spans="1:44" ht="15.75" thickBot="1" x14ac:dyDescent="0.3">
      <c r="A14" s="156">
        <v>9</v>
      </c>
      <c r="B14" s="34">
        <v>29</v>
      </c>
      <c r="C14" s="5" t="s">
        <v>18</v>
      </c>
      <c r="D14" s="34">
        <v>3</v>
      </c>
      <c r="E14" s="5" t="s">
        <v>44</v>
      </c>
      <c r="F14" s="34">
        <v>4</v>
      </c>
      <c r="G14" s="35">
        <v>0.04</v>
      </c>
      <c r="J14" s="62"/>
      <c r="M14" s="32">
        <v>10</v>
      </c>
      <c r="N14" s="162">
        <f>SUMIFS($F$2:$F$68,$A$2:$A$68,$M14,$D$2:$D$68,N$4)*VLOOKUP($M14,$A$2:$G$68,7,FALSE)*Stazioni!$L$9*(Stazioni!$L$6/5)</f>
        <v>51.2</v>
      </c>
      <c r="O14" s="162">
        <f>SUMIFS($F$2:$F$68,$A$2:$A$68,$M14,$D$2:$D$68,O$4)*VLOOKUP($M14,$A$2:$G$68,7,FALSE)*Stazioni!$L$9*(Stazioni!$L$6/5)</f>
        <v>0</v>
      </c>
      <c r="P14" s="162">
        <f>SUMIFS($F$2:$F$68,$A$2:$A$68,$M14,$D$2:$D$68,P$4)*VLOOKUP($M14,$A$2:$G$68,7,FALSE)*Stazioni!$L$9*(Stazioni!$L$6/5)</f>
        <v>153.6</v>
      </c>
      <c r="R14" s="32">
        <v>10</v>
      </c>
      <c r="S14" s="163">
        <f t="shared" si="3"/>
        <v>60</v>
      </c>
      <c r="T14" s="163">
        <f t="shared" si="3"/>
        <v>0</v>
      </c>
      <c r="U14" s="163">
        <f t="shared" si="3"/>
        <v>120</v>
      </c>
      <c r="V14" s="62"/>
      <c r="W14" s="32">
        <v>10</v>
      </c>
      <c r="X14" s="163">
        <f t="shared" si="5"/>
        <v>1</v>
      </c>
      <c r="Y14" s="163">
        <f t="shared" si="4"/>
        <v>0</v>
      </c>
      <c r="Z14" s="163">
        <f t="shared" si="4"/>
        <v>2</v>
      </c>
      <c r="AA14" s="164"/>
      <c r="AB14" s="32">
        <v>10</v>
      </c>
      <c r="AC14" s="162">
        <f>IFERROR(((SUMIFS($F$2:$F$68,$A$2:$A$68,$AB14,$D$2:$D$68,AC$4)*VLOOKUP($AB14,$A$2:$G$68,7,FALSE)*Stazioni!$L$9)/3600)*VLOOKUP(CONCATENATE(TEXT(AC$4,"0"),TEXT($AB14,"0")),$AG$2:$AM$33,7,FALSE),0)</f>
        <v>51.2</v>
      </c>
      <c r="AD14" s="162">
        <f>IFERROR(((SUMIFS($F$2:$F$68,$A$2:$A$68,$AB14,$D$2:$D$68,AD$4)*VLOOKUP($AB14,$A$2:$G$68,7,FALSE)*Stazioni!$L$9)/3600)*VLOOKUP(CONCATENATE(TEXT(AD$4,"0"),TEXT($AB14,"0")),$AG$2:$AM$33,7,FALSE),0)</f>
        <v>0</v>
      </c>
      <c r="AE14" s="162">
        <f>IFERROR(((SUMIFS($F$2:$F$68,$A$2:$A$68,$AB14,$D$2:$D$68,AE$4)*VLOOKUP($AB14,$A$2:$G$68,7,FALSE)*Stazioni!$L$9)/3600)*VLOOKUP(CONCATENATE(TEXT(AE$4,"0"),TEXT($AB14,"0")),$AG$2:$AM$33,7,FALSE),0)</f>
        <v>76.800000000000011</v>
      </c>
      <c r="AG14" s="156" t="str">
        <f t="shared" si="2"/>
        <v>211</v>
      </c>
      <c r="AH14" s="34">
        <v>2</v>
      </c>
      <c r="AI14" s="34">
        <v>11</v>
      </c>
      <c r="AJ14" s="157" t="s">
        <v>37</v>
      </c>
      <c r="AK14" s="129">
        <f>AD15</f>
        <v>52.8</v>
      </c>
      <c r="AL14" s="158">
        <v>2</v>
      </c>
      <c r="AM14" s="159">
        <v>13967.999999999998</v>
      </c>
      <c r="AO14" s="227"/>
      <c r="AP14" s="160">
        <v>105.60000000000001</v>
      </c>
      <c r="AQ14" s="161" t="s">
        <v>134</v>
      </c>
      <c r="AR14" s="81">
        <f t="shared" si="1"/>
        <v>105.6</v>
      </c>
    </row>
    <row r="15" spans="1:44" x14ac:dyDescent="0.25">
      <c r="A15" s="156">
        <v>9</v>
      </c>
      <c r="B15" s="34">
        <v>31</v>
      </c>
      <c r="C15" s="5" t="s">
        <v>18</v>
      </c>
      <c r="D15" s="34">
        <v>3</v>
      </c>
      <c r="E15" s="5" t="s">
        <v>44</v>
      </c>
      <c r="F15" s="34">
        <v>4</v>
      </c>
      <c r="G15" s="35">
        <v>0.04</v>
      </c>
      <c r="I15" s="147" t="s">
        <v>151</v>
      </c>
      <c r="J15" s="148">
        <f>SUM(N34:P34)</f>
        <v>4880</v>
      </c>
      <c r="K15" s="168" t="s">
        <v>152</v>
      </c>
      <c r="M15" s="32">
        <v>11</v>
      </c>
      <c r="N15" s="162">
        <f>SUMIFS($F$2:$F$68,$A$2:$A$68,$M15,$D$2:$D$68,N$4)*VLOOKUP($M15,$A$2:$G$68,7,FALSE)*Stazioni!$L$9*(Stazioni!$L$6/5)</f>
        <v>0</v>
      </c>
      <c r="O15" s="162">
        <f>SUMIFS($F$2:$F$68,$A$2:$A$68,$M15,$D$2:$D$68,O$4)*VLOOKUP($M15,$A$2:$G$68,7,FALSE)*Stazioni!$L$9*(Stazioni!$L$6/5)</f>
        <v>105.60000000000001</v>
      </c>
      <c r="P15" s="162">
        <f>SUMIFS($F$2:$F$68,$A$2:$A$68,$M15,$D$2:$D$68,P$4)*VLOOKUP($M15,$A$2:$G$68,7,FALSE)*Stazioni!$L$9*(Stazioni!$L$6/5)</f>
        <v>0</v>
      </c>
      <c r="R15" s="32">
        <v>11</v>
      </c>
      <c r="S15" s="163">
        <f t="shared" si="3"/>
        <v>0</v>
      </c>
      <c r="T15" s="163">
        <f t="shared" si="3"/>
        <v>120</v>
      </c>
      <c r="U15" s="163">
        <f t="shared" si="3"/>
        <v>0</v>
      </c>
      <c r="V15" s="62"/>
      <c r="W15" s="32">
        <v>11</v>
      </c>
      <c r="X15" s="163">
        <f t="shared" si="5"/>
        <v>0</v>
      </c>
      <c r="Y15" s="163">
        <f t="shared" si="4"/>
        <v>2</v>
      </c>
      <c r="Z15" s="163">
        <f t="shared" si="4"/>
        <v>0</v>
      </c>
      <c r="AA15" s="164"/>
      <c r="AB15" s="32">
        <v>11</v>
      </c>
      <c r="AC15" s="162">
        <f>IFERROR(((SUMIFS($F$2:$F$68,$A$2:$A$68,$AB15,$D$2:$D$68,AC$4)*VLOOKUP($AB15,$A$2:$G$68,7,FALSE)*Stazioni!$L$9)/3600)*VLOOKUP(CONCATENATE(TEXT(AC$4,"0"),TEXT($AB15,"0")),$AG$2:$AM$33,7,FALSE),0)</f>
        <v>0</v>
      </c>
      <c r="AD15" s="162">
        <f>IFERROR(((SUMIFS($F$2:$F$68,$A$2:$A$68,$AB15,$D$2:$D$68,AD$4)*VLOOKUP($AB15,$A$2:$G$68,7,FALSE)*Stazioni!$L$9)/3600)*VLOOKUP(CONCATENATE(TEXT(AD$4,"0"),TEXT($AB15,"0")),$AG$2:$AM$33,7,FALSE),0)</f>
        <v>52.8</v>
      </c>
      <c r="AE15" s="162">
        <f>IFERROR(((SUMIFS($F$2:$F$68,$A$2:$A$68,$AB15,$D$2:$D$68,AE$4)*VLOOKUP($AB15,$A$2:$G$68,7,FALSE)*Stazioni!$L$9)/3600)*VLOOKUP(CONCATENATE(TEXT(AE$4,"0"),TEXT($AB15,"0")),$AG$2:$AM$33,7,FALSE),0)</f>
        <v>0</v>
      </c>
      <c r="AG15" s="156" t="str">
        <f t="shared" si="2"/>
        <v>312</v>
      </c>
      <c r="AH15" s="34">
        <v>3</v>
      </c>
      <c r="AI15" s="34">
        <v>12</v>
      </c>
      <c r="AJ15" s="157" t="s">
        <v>54</v>
      </c>
      <c r="AK15" s="129">
        <f>AE16</f>
        <v>25.6</v>
      </c>
      <c r="AL15" s="158">
        <v>1</v>
      </c>
      <c r="AM15" s="159">
        <v>27936</v>
      </c>
      <c r="AO15" s="227"/>
      <c r="AP15" s="160">
        <v>25.6</v>
      </c>
      <c r="AQ15" s="161" t="s">
        <v>134</v>
      </c>
      <c r="AR15" s="81">
        <f t="shared" si="1"/>
        <v>25.6</v>
      </c>
    </row>
    <row r="16" spans="1:44" ht="15.75" thickBot="1" x14ac:dyDescent="0.3">
      <c r="A16" s="156">
        <v>9</v>
      </c>
      <c r="B16" s="34">
        <v>33</v>
      </c>
      <c r="C16" s="5" t="s">
        <v>18</v>
      </c>
      <c r="D16" s="34">
        <v>3</v>
      </c>
      <c r="E16" s="5" t="s">
        <v>44</v>
      </c>
      <c r="F16" s="34">
        <v>4</v>
      </c>
      <c r="G16" s="35">
        <v>0.04</v>
      </c>
      <c r="I16" s="167" t="s">
        <v>153</v>
      </c>
      <c r="J16" s="44">
        <f>CEILING(J15/J7,1)</f>
        <v>66</v>
      </c>
      <c r="K16" s="173" t="s">
        <v>154</v>
      </c>
      <c r="M16" s="32">
        <v>12</v>
      </c>
      <c r="N16" s="162">
        <f>SUMIFS($F$2:$F$68,$A$2:$A$68,$M16,$D$2:$D$68,N$4)*VLOOKUP($M16,$A$2:$G$68,7,FALSE)*Stazioni!$L$9*(Stazioni!$L$6/5)</f>
        <v>0</v>
      </c>
      <c r="O16" s="162">
        <f>SUMIFS($F$2:$F$68,$A$2:$A$68,$M16,$D$2:$D$68,O$4)*VLOOKUP($M16,$A$2:$G$68,7,FALSE)*Stazioni!$L$9*(Stazioni!$L$6/5)</f>
        <v>0</v>
      </c>
      <c r="P16" s="162">
        <f>SUMIFS($F$2:$F$68,$A$2:$A$68,$M16,$D$2:$D$68,P$4)*VLOOKUP($M16,$A$2:$G$68,7,FALSE)*Stazioni!$L$9*(Stazioni!$L$6/5)</f>
        <v>25.6</v>
      </c>
      <c r="R16" s="32">
        <v>12</v>
      </c>
      <c r="S16" s="163">
        <f t="shared" si="3"/>
        <v>0</v>
      </c>
      <c r="T16" s="163">
        <f t="shared" si="3"/>
        <v>0</v>
      </c>
      <c r="U16" s="163">
        <f t="shared" si="3"/>
        <v>60</v>
      </c>
      <c r="V16" s="62"/>
      <c r="W16" s="32">
        <v>12</v>
      </c>
      <c r="X16" s="163">
        <f t="shared" si="5"/>
        <v>0</v>
      </c>
      <c r="Y16" s="163">
        <f t="shared" si="4"/>
        <v>0</v>
      </c>
      <c r="Z16" s="163">
        <f t="shared" si="4"/>
        <v>1</v>
      </c>
      <c r="AA16" s="164"/>
      <c r="AB16" s="32">
        <v>12</v>
      </c>
      <c r="AC16" s="162">
        <f>IFERROR(((SUMIFS($F$2:$F$68,$A$2:$A$68,$AB16,$D$2:$D$68,AC$4)*VLOOKUP($AB16,$A$2:$G$68,7,FALSE)*Stazioni!$L$9)/3600)*VLOOKUP(CONCATENATE(TEXT(AC$4,"0"),TEXT($AB16,"0")),$AG$2:$AM$33,7,FALSE),0)</f>
        <v>0</v>
      </c>
      <c r="AD16" s="162">
        <f>IFERROR(((SUMIFS($F$2:$F$68,$A$2:$A$68,$AB16,$D$2:$D$68,AD$4)*VLOOKUP($AB16,$A$2:$G$68,7,FALSE)*Stazioni!$L$9)/3600)*VLOOKUP(CONCATENATE(TEXT(AD$4,"0"),TEXT($AB16,"0")),$AG$2:$AM$33,7,FALSE),0)</f>
        <v>0</v>
      </c>
      <c r="AE16" s="162">
        <f>IFERROR(((SUMIFS($F$2:$F$68,$A$2:$A$68,$AB16,$D$2:$D$68,AE$4)*VLOOKUP($AB16,$A$2:$G$68,7,FALSE)*Stazioni!$L$9)/3600)*VLOOKUP(CONCATENATE(TEXT(AE$4,"0"),TEXT($AB16,"0")),$AG$2:$AM$33,7,FALSE),0)</f>
        <v>25.6</v>
      </c>
      <c r="AG16" s="156" t="str">
        <f t="shared" si="2"/>
        <v>313</v>
      </c>
      <c r="AH16" s="34">
        <v>3</v>
      </c>
      <c r="AI16" s="34">
        <v>13</v>
      </c>
      <c r="AJ16" s="157" t="s">
        <v>73</v>
      </c>
      <c r="AK16" s="129">
        <f>AE17</f>
        <v>25.6</v>
      </c>
      <c r="AL16" s="158">
        <v>1</v>
      </c>
      <c r="AM16" s="159">
        <v>27936</v>
      </c>
      <c r="AO16" s="227"/>
      <c r="AP16" s="160">
        <v>25.6</v>
      </c>
      <c r="AQ16" s="161" t="s">
        <v>134</v>
      </c>
      <c r="AR16" s="81">
        <f t="shared" si="1"/>
        <v>25.6</v>
      </c>
    </row>
    <row r="17" spans="1:44" ht="15.75" thickBot="1" x14ac:dyDescent="0.3">
      <c r="A17" s="156">
        <v>9</v>
      </c>
      <c r="B17" s="34">
        <v>35</v>
      </c>
      <c r="C17" s="5" t="s">
        <v>18</v>
      </c>
      <c r="D17" s="34">
        <v>3</v>
      </c>
      <c r="E17" s="5" t="s">
        <v>44</v>
      </c>
      <c r="F17" s="34">
        <v>4</v>
      </c>
      <c r="G17" s="35">
        <v>0.04</v>
      </c>
      <c r="M17" s="32">
        <v>13</v>
      </c>
      <c r="N17" s="162">
        <f>SUMIFS($F$2:$F$68,$A$2:$A$68,$M17,$D$2:$D$68,N$4)*VLOOKUP($M17,$A$2:$G$68,7,FALSE)*Stazioni!$L$9*(Stazioni!$L$6/5)</f>
        <v>0</v>
      </c>
      <c r="O17" s="162">
        <f>SUMIFS($F$2:$F$68,$A$2:$A$68,$M17,$D$2:$D$68,O$4)*VLOOKUP($M17,$A$2:$G$68,7,FALSE)*Stazioni!$L$9*(Stazioni!$L$6/5)</f>
        <v>0</v>
      </c>
      <c r="P17" s="162">
        <f>SUMIFS($F$2:$F$68,$A$2:$A$68,$M17,$D$2:$D$68,P$4)*VLOOKUP($M17,$A$2:$G$68,7,FALSE)*Stazioni!$L$9*(Stazioni!$L$6/5)</f>
        <v>25.6</v>
      </c>
      <c r="R17" s="32">
        <v>13</v>
      </c>
      <c r="S17" s="163">
        <f t="shared" si="3"/>
        <v>0</v>
      </c>
      <c r="T17" s="163">
        <f t="shared" si="3"/>
        <v>0</v>
      </c>
      <c r="U17" s="163">
        <f t="shared" si="3"/>
        <v>60</v>
      </c>
      <c r="V17" s="62"/>
      <c r="W17" s="32">
        <v>13</v>
      </c>
      <c r="X17" s="163">
        <f t="shared" si="5"/>
        <v>0</v>
      </c>
      <c r="Y17" s="163">
        <f t="shared" si="4"/>
        <v>0</v>
      </c>
      <c r="Z17" s="163">
        <f t="shared" si="4"/>
        <v>1</v>
      </c>
      <c r="AA17" s="164"/>
      <c r="AB17" s="32">
        <v>13</v>
      </c>
      <c r="AC17" s="162">
        <f>IFERROR(((SUMIFS($F$2:$F$68,$A$2:$A$68,$AB17,$D$2:$D$68,AC$4)*VLOOKUP($AB17,$A$2:$G$68,7,FALSE)*Stazioni!$L$9)/3600)*VLOOKUP(CONCATENATE(TEXT(AC$4,"0"),TEXT($AB17,"0")),$AG$2:$AM$33,7,FALSE),0)</f>
        <v>0</v>
      </c>
      <c r="AD17" s="162">
        <f>IFERROR(((SUMIFS($F$2:$F$68,$A$2:$A$68,$AB17,$D$2:$D$68,AD$4)*VLOOKUP($AB17,$A$2:$G$68,7,FALSE)*Stazioni!$L$9)/3600)*VLOOKUP(CONCATENATE(TEXT(AD$4,"0"),TEXT($AB17,"0")),$AG$2:$AM$33,7,FALSE),0)</f>
        <v>0</v>
      </c>
      <c r="AE17" s="162">
        <f>IFERROR(((SUMIFS($F$2:$F$68,$A$2:$A$68,$AB17,$D$2:$D$68,AE$4)*VLOOKUP($AB17,$A$2:$G$68,7,FALSE)*Stazioni!$L$9)/3600)*VLOOKUP(CONCATENATE(TEXT(AE$4,"0"),TEXT($AB17,"0")),$AG$2:$AM$33,7,FALSE),0)</f>
        <v>25.6</v>
      </c>
      <c r="AG17" s="156" t="str">
        <f t="shared" si="2"/>
        <v>214</v>
      </c>
      <c r="AH17" s="34">
        <v>2</v>
      </c>
      <c r="AI17" s="34">
        <v>14</v>
      </c>
      <c r="AJ17" s="157" t="s">
        <v>41</v>
      </c>
      <c r="AK17" s="129">
        <f>AD18</f>
        <v>76.800000000000011</v>
      </c>
      <c r="AL17" s="158">
        <v>1</v>
      </c>
      <c r="AM17" s="159">
        <v>27936</v>
      </c>
      <c r="AO17" s="227"/>
      <c r="AP17" s="160">
        <v>76.8</v>
      </c>
      <c r="AQ17" s="161" t="s">
        <v>134</v>
      </c>
      <c r="AR17" s="81">
        <f t="shared" si="1"/>
        <v>76.800000000000011</v>
      </c>
    </row>
    <row r="18" spans="1:44" ht="15.75" thickBot="1" x14ac:dyDescent="0.3">
      <c r="A18" s="156">
        <v>10</v>
      </c>
      <c r="B18" s="34">
        <v>21</v>
      </c>
      <c r="C18" s="5" t="s">
        <v>18</v>
      </c>
      <c r="D18" s="34">
        <v>1</v>
      </c>
      <c r="E18" s="5" t="s">
        <v>43</v>
      </c>
      <c r="F18" s="34">
        <v>4</v>
      </c>
      <c r="G18" s="35">
        <v>0.04</v>
      </c>
      <c r="I18" s="174" t="s">
        <v>155</v>
      </c>
      <c r="J18" s="175">
        <f>CEILING(J16/J13,1)</f>
        <v>11</v>
      </c>
      <c r="K18" s="176" t="s">
        <v>156</v>
      </c>
      <c r="M18" s="32">
        <v>14</v>
      </c>
      <c r="N18" s="162">
        <f>SUMIFS($F$2:$F$68,$A$2:$A$68,$M18,$D$2:$D$68,N$4)*VLOOKUP($M18,$A$2:$G$68,7,FALSE)*Stazioni!$L$9*(Stazioni!$L$6/5)</f>
        <v>0</v>
      </c>
      <c r="O18" s="162">
        <f>SUMIFS($F$2:$F$68,$A$2:$A$68,$M18,$D$2:$D$68,O$4)*VLOOKUP($M18,$A$2:$G$68,7,FALSE)*Stazioni!$L$9*(Stazioni!$L$6/5)</f>
        <v>76.8</v>
      </c>
      <c r="P18" s="162">
        <f>SUMIFS($F$2:$F$68,$A$2:$A$68,$M18,$D$2:$D$68,P$4)*VLOOKUP($M18,$A$2:$G$68,7,FALSE)*Stazioni!$L$9*(Stazioni!$L$6/5)</f>
        <v>0</v>
      </c>
      <c r="R18" s="32">
        <v>14</v>
      </c>
      <c r="S18" s="163">
        <f t="shared" si="3"/>
        <v>0</v>
      </c>
      <c r="T18" s="163">
        <f t="shared" si="3"/>
        <v>60</v>
      </c>
      <c r="U18" s="163">
        <f t="shared" si="3"/>
        <v>0</v>
      </c>
      <c r="V18" s="62"/>
      <c r="W18" s="32">
        <v>14</v>
      </c>
      <c r="X18" s="163">
        <f t="shared" si="5"/>
        <v>0</v>
      </c>
      <c r="Y18" s="163">
        <f t="shared" si="4"/>
        <v>1</v>
      </c>
      <c r="Z18" s="163">
        <f t="shared" si="4"/>
        <v>0</v>
      </c>
      <c r="AA18" s="164"/>
      <c r="AB18" s="32">
        <v>14</v>
      </c>
      <c r="AC18" s="162">
        <f>IFERROR(((SUMIFS($F$2:$F$68,$A$2:$A$68,$AB18,$D$2:$D$68,AC$4)*VLOOKUP($AB18,$A$2:$G$68,7,FALSE)*Stazioni!$L$9)/3600)*VLOOKUP(CONCATENATE(TEXT(AC$4,"0"),TEXT($AB18,"0")),$AG$2:$AM$33,7,FALSE),0)</f>
        <v>0</v>
      </c>
      <c r="AD18" s="162">
        <f>IFERROR(((SUMIFS($F$2:$F$68,$A$2:$A$68,$AB18,$D$2:$D$68,AD$4)*VLOOKUP($AB18,$A$2:$G$68,7,FALSE)*Stazioni!$L$9)/3600)*VLOOKUP(CONCATENATE(TEXT(AD$4,"0"),TEXT($AB18,"0")),$AG$2:$AM$33,7,FALSE),0)</f>
        <v>76.800000000000011</v>
      </c>
      <c r="AE18" s="162">
        <f>IFERROR(((SUMIFS($F$2:$F$68,$A$2:$A$68,$AB18,$D$2:$D$68,AE$4)*VLOOKUP($AB18,$A$2:$G$68,7,FALSE)*Stazioni!$L$9)/3600)*VLOOKUP(CONCATENATE(TEXT(AE$4,"0"),TEXT($AB18,"0")),$AG$2:$AM$33,7,FALSE),0)</f>
        <v>0</v>
      </c>
      <c r="AG18" s="156" t="str">
        <f t="shared" si="2"/>
        <v>215</v>
      </c>
      <c r="AH18" s="34">
        <v>2</v>
      </c>
      <c r="AI18" s="34">
        <v>15</v>
      </c>
      <c r="AJ18" s="157" t="s">
        <v>38</v>
      </c>
      <c r="AK18" s="129">
        <f>AD19</f>
        <v>76.218181785454561</v>
      </c>
      <c r="AL18" s="158">
        <v>11</v>
      </c>
      <c r="AM18" s="159">
        <v>2539.6363625458712</v>
      </c>
      <c r="AO18" s="227"/>
      <c r="AP18" s="160">
        <v>838.40000000000009</v>
      </c>
      <c r="AQ18" s="161" t="s">
        <v>134</v>
      </c>
      <c r="AR18" s="81">
        <f t="shared" si="1"/>
        <v>838.39999964000015</v>
      </c>
    </row>
    <row r="19" spans="1:44" x14ac:dyDescent="0.25">
      <c r="A19" s="156">
        <v>10</v>
      </c>
      <c r="B19" s="34">
        <v>23</v>
      </c>
      <c r="C19" s="5" t="s">
        <v>18</v>
      </c>
      <c r="D19" s="34">
        <v>1</v>
      </c>
      <c r="E19" s="5" t="s">
        <v>43</v>
      </c>
      <c r="F19" s="34">
        <v>4</v>
      </c>
      <c r="G19" s="35">
        <v>0.04</v>
      </c>
      <c r="M19" s="32">
        <v>15</v>
      </c>
      <c r="N19" s="162">
        <f>SUMIFS($F$2:$F$68,$A$2:$A$68,$M19,$D$2:$D$68,N$4)*VLOOKUP($M19,$A$2:$G$68,7,FALSE)*Stazioni!$L$9*(Stazioni!$L$6/5)</f>
        <v>0</v>
      </c>
      <c r="O19" s="162">
        <f>SUMIFS($F$2:$F$68,$A$2:$A$68,$M19,$D$2:$D$68,O$4)*VLOOKUP($M19,$A$2:$G$68,7,FALSE)*Stazioni!$L$9*(Stazioni!$L$6/5)</f>
        <v>838.40000000000009</v>
      </c>
      <c r="P19" s="162">
        <f>SUMIFS($F$2:$F$68,$A$2:$A$68,$M19,$D$2:$D$68,P$4)*VLOOKUP($M19,$A$2:$G$68,7,FALSE)*Stazioni!$L$9*(Stazioni!$L$6/5)</f>
        <v>0</v>
      </c>
      <c r="R19" s="32">
        <v>15</v>
      </c>
      <c r="S19" s="163">
        <f t="shared" si="3"/>
        <v>0</v>
      </c>
      <c r="T19" s="163">
        <f t="shared" si="3"/>
        <v>660</v>
      </c>
      <c r="U19" s="163">
        <f t="shared" si="3"/>
        <v>0</v>
      </c>
      <c r="V19" s="62"/>
      <c r="W19" s="32">
        <v>15</v>
      </c>
      <c r="X19" s="163">
        <f t="shared" si="5"/>
        <v>0</v>
      </c>
      <c r="Y19" s="163">
        <f t="shared" si="4"/>
        <v>11</v>
      </c>
      <c r="Z19" s="163">
        <f t="shared" si="4"/>
        <v>0</v>
      </c>
      <c r="AA19" s="164"/>
      <c r="AB19" s="32">
        <v>15</v>
      </c>
      <c r="AC19" s="162">
        <f>IFERROR(((SUMIFS($F$2:$F$68,$A$2:$A$68,$AB19,$D$2:$D$68,AC$4)*VLOOKUP($AB19,$A$2:$G$68,7,FALSE)*Stazioni!$L$9)/3600)*VLOOKUP(CONCATENATE(TEXT(AC$4,"0"),TEXT($AB19,"0")),$AG$2:$AM$33,7,FALSE),0)</f>
        <v>0</v>
      </c>
      <c r="AD19" s="162">
        <f>IFERROR(((SUMIFS($F$2:$F$68,$A$2:$A$68,$AB19,$D$2:$D$68,AD$4)*VLOOKUP($AB19,$A$2:$G$68,7,FALSE)*Stazioni!$L$9)/3600)*VLOOKUP(CONCATENATE(TEXT(AD$4,"0"),TEXT($AB19,"0")),$AG$2:$AM$33,7,FALSE),0)</f>
        <v>76.218181785454561</v>
      </c>
      <c r="AE19" s="162">
        <f>IFERROR(((SUMIFS($F$2:$F$68,$A$2:$A$68,$AB19,$D$2:$D$68,AE$4)*VLOOKUP($AB19,$A$2:$G$68,7,FALSE)*Stazioni!$L$9)/3600)*VLOOKUP(CONCATENATE(TEXT(AE$4,"0"),TEXT($AB19,"0")),$AG$2:$AM$33,7,FALSE),0)</f>
        <v>0</v>
      </c>
      <c r="AG19" s="156" t="str">
        <f t="shared" si="2"/>
        <v>116</v>
      </c>
      <c r="AH19" s="34">
        <v>1</v>
      </c>
      <c r="AI19" s="34">
        <v>16</v>
      </c>
      <c r="AJ19" s="157" t="s">
        <v>35</v>
      </c>
      <c r="AK19" s="129">
        <f>AC20</f>
        <v>70.079999928000021</v>
      </c>
      <c r="AL19" s="158">
        <v>5</v>
      </c>
      <c r="AM19" s="159">
        <v>5587.1999942597276</v>
      </c>
      <c r="AO19" s="227"/>
      <c r="AP19" s="160">
        <v>350.40000000000003</v>
      </c>
      <c r="AQ19" s="161" t="s">
        <v>134</v>
      </c>
      <c r="AR19" s="81">
        <f t="shared" si="1"/>
        <v>350.39999964000009</v>
      </c>
    </row>
    <row r="20" spans="1:44" x14ac:dyDescent="0.25">
      <c r="A20" s="156">
        <v>10</v>
      </c>
      <c r="B20" s="34">
        <v>25</v>
      </c>
      <c r="C20" s="5" t="s">
        <v>18</v>
      </c>
      <c r="D20" s="34">
        <v>3</v>
      </c>
      <c r="E20" s="5" t="s">
        <v>43</v>
      </c>
      <c r="F20" s="34">
        <v>4</v>
      </c>
      <c r="G20" s="35">
        <v>0.04</v>
      </c>
      <c r="M20" s="32">
        <v>16</v>
      </c>
      <c r="N20" s="162">
        <f>SUMIFS($F$2:$F$68,$A$2:$A$68,$M20,$D$2:$D$68,N$4)*VLOOKUP($M20,$A$2:$G$68,7,FALSE)*Stazioni!$L$9*(Stazioni!$L$6/5)</f>
        <v>350.40000000000003</v>
      </c>
      <c r="O20" s="162">
        <f>SUMIFS($F$2:$F$68,$A$2:$A$68,$M20,$D$2:$D$68,O$4)*VLOOKUP($M20,$A$2:$G$68,7,FALSE)*Stazioni!$L$9*(Stazioni!$L$6/5)</f>
        <v>0</v>
      </c>
      <c r="P20" s="162">
        <f>SUMIFS($F$2:$F$68,$A$2:$A$68,$M20,$D$2:$D$68,P$4)*VLOOKUP($M20,$A$2:$G$68,7,FALSE)*Stazioni!$L$9*(Stazioni!$L$6/5)</f>
        <v>0</v>
      </c>
      <c r="R20" s="32">
        <v>16</v>
      </c>
      <c r="S20" s="163">
        <f t="shared" si="3"/>
        <v>300</v>
      </c>
      <c r="T20" s="163">
        <f t="shared" si="3"/>
        <v>0</v>
      </c>
      <c r="U20" s="163">
        <f t="shared" si="3"/>
        <v>0</v>
      </c>
      <c r="V20" s="62"/>
      <c r="W20" s="32">
        <v>16</v>
      </c>
      <c r="X20" s="163">
        <f t="shared" si="5"/>
        <v>5</v>
      </c>
      <c r="Y20" s="163">
        <f t="shared" si="4"/>
        <v>0</v>
      </c>
      <c r="Z20" s="163">
        <f t="shared" si="4"/>
        <v>0</v>
      </c>
      <c r="AA20" s="164"/>
      <c r="AB20" s="32">
        <v>16</v>
      </c>
      <c r="AC20" s="162">
        <f>IFERROR(((SUMIFS($F$2:$F$68,$A$2:$A$68,$AB20,$D$2:$D$68,AC$4)*VLOOKUP($AB20,$A$2:$G$68,7,FALSE)*Stazioni!$L$9)/3600)*VLOOKUP(CONCATENATE(TEXT(AC$4,"0"),TEXT($AB20,"0")),$AG$2:$AM$33,7,FALSE),0)</f>
        <v>70.079999928000021</v>
      </c>
      <c r="AD20" s="162">
        <f>IFERROR(((SUMIFS($F$2:$F$68,$A$2:$A$68,$AB20,$D$2:$D$68,AD$4)*VLOOKUP($AB20,$A$2:$G$68,7,FALSE)*Stazioni!$L$9)/3600)*VLOOKUP(CONCATENATE(TEXT(AD$4,"0"),TEXT($AB20,"0")),$AG$2:$AM$33,7,FALSE),0)</f>
        <v>0</v>
      </c>
      <c r="AE20" s="162">
        <f>IFERROR(((SUMIFS($F$2:$F$68,$A$2:$A$68,$AB20,$D$2:$D$68,AE$4)*VLOOKUP($AB20,$A$2:$G$68,7,FALSE)*Stazioni!$L$9)/3600)*VLOOKUP(CONCATENATE(TEXT(AE$4,"0"),TEXT($AB20,"0")),$AG$2:$AM$33,7,FALSE),0)</f>
        <v>0</v>
      </c>
      <c r="AG20" s="156" t="str">
        <f t="shared" si="2"/>
        <v>117</v>
      </c>
      <c r="AH20" s="34">
        <v>1</v>
      </c>
      <c r="AI20" s="34">
        <v>17</v>
      </c>
      <c r="AJ20" s="157" t="s">
        <v>31</v>
      </c>
      <c r="AK20" s="129">
        <f>AC21</f>
        <v>76.800000000000011</v>
      </c>
      <c r="AL20" s="158">
        <v>1</v>
      </c>
      <c r="AM20" s="159">
        <v>27936</v>
      </c>
      <c r="AO20" s="227"/>
      <c r="AP20" s="160">
        <v>76.8</v>
      </c>
      <c r="AQ20" s="161" t="s">
        <v>134</v>
      </c>
      <c r="AR20" s="81">
        <f t="shared" si="1"/>
        <v>76.800000000000011</v>
      </c>
    </row>
    <row r="21" spans="1:44" x14ac:dyDescent="0.25">
      <c r="A21" s="156">
        <v>10</v>
      </c>
      <c r="B21" s="34">
        <v>27</v>
      </c>
      <c r="C21" s="5" t="s">
        <v>18</v>
      </c>
      <c r="D21" s="34">
        <v>3</v>
      </c>
      <c r="E21" s="5" t="s">
        <v>43</v>
      </c>
      <c r="F21" s="34">
        <v>4</v>
      </c>
      <c r="G21" s="35">
        <v>0.04</v>
      </c>
      <c r="I21" s="13"/>
      <c r="M21" s="32">
        <v>17</v>
      </c>
      <c r="N21" s="162">
        <f>SUMIFS($F$2:$F$68,$A$2:$A$68,$M21,$D$2:$D$68,N$4)*VLOOKUP($M21,$A$2:$G$68,7,FALSE)*Stazioni!$L$9*(Stazioni!$L$6/5)</f>
        <v>76.8</v>
      </c>
      <c r="O21" s="162">
        <f>SUMIFS($F$2:$F$68,$A$2:$A$68,$M21,$D$2:$D$68,O$4)*VLOOKUP($M21,$A$2:$G$68,7,FALSE)*Stazioni!$L$9*(Stazioni!$L$6/5)</f>
        <v>0</v>
      </c>
      <c r="P21" s="162">
        <f>SUMIFS($F$2:$F$68,$A$2:$A$68,$M21,$D$2:$D$68,P$4)*VLOOKUP($M21,$A$2:$G$68,7,FALSE)*Stazioni!$L$9*(Stazioni!$L$6/5)</f>
        <v>0</v>
      </c>
      <c r="R21" s="32">
        <v>17</v>
      </c>
      <c r="S21" s="163">
        <f t="shared" si="3"/>
        <v>60</v>
      </c>
      <c r="T21" s="163">
        <f t="shared" si="3"/>
        <v>0</v>
      </c>
      <c r="U21" s="163">
        <f t="shared" si="3"/>
        <v>0</v>
      </c>
      <c r="V21" s="62"/>
      <c r="W21" s="32">
        <v>17</v>
      </c>
      <c r="X21" s="163">
        <f t="shared" si="5"/>
        <v>1</v>
      </c>
      <c r="Y21" s="163">
        <f t="shared" si="5"/>
        <v>0</v>
      </c>
      <c r="Z21" s="163">
        <f t="shared" si="5"/>
        <v>0</v>
      </c>
      <c r="AA21" s="164"/>
      <c r="AB21" s="32">
        <v>17</v>
      </c>
      <c r="AC21" s="162">
        <f>IFERROR(((SUMIFS($F$2:$F$68,$A$2:$A$68,$AB21,$D$2:$D$68,AC$4)*VLOOKUP($AB21,$A$2:$G$68,7,FALSE)*Stazioni!$L$9)/3600)*VLOOKUP(CONCATENATE(TEXT(AC$4,"0"),TEXT($AB21,"0")),$AG$2:$AM$33,7,FALSE),0)</f>
        <v>76.800000000000011</v>
      </c>
      <c r="AD21" s="162">
        <f>IFERROR(((SUMIFS($F$2:$F$68,$A$2:$A$68,$AB21,$D$2:$D$68,AD$4)*VLOOKUP($AB21,$A$2:$G$68,7,FALSE)*Stazioni!$L$9)/3600)*VLOOKUP(CONCATENATE(TEXT(AD$4,"0"),TEXT($AB21,"0")),$AG$2:$AM$33,7,FALSE),0)</f>
        <v>0</v>
      </c>
      <c r="AE21" s="162">
        <f>IFERROR(((SUMIFS($F$2:$F$68,$A$2:$A$68,$AB21,$D$2:$D$68,AE$4)*VLOOKUP($AB21,$A$2:$G$68,7,FALSE)*Stazioni!$L$9)/3600)*VLOOKUP(CONCATENATE(TEXT(AE$4,"0"),TEXT($AB21,"0")),$AG$2:$AM$33,7,FALSE),0)</f>
        <v>0</v>
      </c>
      <c r="AG21" s="156" t="str">
        <f t="shared" si="2"/>
        <v>318</v>
      </c>
      <c r="AH21" s="34">
        <v>3</v>
      </c>
      <c r="AI21" s="34">
        <v>18</v>
      </c>
      <c r="AJ21" s="157" t="s">
        <v>52</v>
      </c>
      <c r="AK21" s="129">
        <f>AE22</f>
        <v>57.599999700000026</v>
      </c>
      <c r="AL21" s="158">
        <v>2</v>
      </c>
      <c r="AM21" s="159">
        <v>13967.999927250006</v>
      </c>
      <c r="AO21" s="227"/>
      <c r="AP21" s="160">
        <v>115.2</v>
      </c>
      <c r="AQ21" s="161" t="s">
        <v>134</v>
      </c>
      <c r="AR21" s="81">
        <f t="shared" si="1"/>
        <v>115.19999940000005</v>
      </c>
    </row>
    <row r="22" spans="1:44" x14ac:dyDescent="0.25">
      <c r="A22" s="156">
        <v>10</v>
      </c>
      <c r="B22" s="34">
        <v>29</v>
      </c>
      <c r="C22" s="5" t="s">
        <v>18</v>
      </c>
      <c r="D22" s="34">
        <v>3</v>
      </c>
      <c r="E22" s="5" t="s">
        <v>43</v>
      </c>
      <c r="F22" s="34">
        <v>4</v>
      </c>
      <c r="G22" s="35">
        <v>0.04</v>
      </c>
      <c r="I22" s="13"/>
      <c r="M22" s="32">
        <v>18</v>
      </c>
      <c r="N22" s="162">
        <f>SUMIFS($F$2:$F$68,$A$2:$A$68,$M22,$D$2:$D$68,N$4)*VLOOKUP($M22,$A$2:$G$68,7,FALSE)*Stazioni!$L$9*(Stazioni!$L$6/5)</f>
        <v>0</v>
      </c>
      <c r="O22" s="162">
        <f>SUMIFS($F$2:$F$68,$A$2:$A$68,$M22,$D$2:$D$68,O$4)*VLOOKUP($M22,$A$2:$G$68,7,FALSE)*Stazioni!$L$9*(Stazioni!$L$6/5)</f>
        <v>0</v>
      </c>
      <c r="P22" s="162">
        <f>SUMIFS($F$2:$F$68,$A$2:$A$68,$M22,$D$2:$D$68,P$4)*VLOOKUP($M22,$A$2:$G$68,7,FALSE)*Stazioni!$L$9*(Stazioni!$L$6/5)</f>
        <v>115.2</v>
      </c>
      <c r="R22" s="32">
        <v>18</v>
      </c>
      <c r="S22" s="163">
        <f t="shared" si="3"/>
        <v>0</v>
      </c>
      <c r="T22" s="163">
        <f t="shared" si="3"/>
        <v>0</v>
      </c>
      <c r="U22" s="163">
        <f t="shared" si="3"/>
        <v>120</v>
      </c>
      <c r="V22" s="62"/>
      <c r="W22" s="32">
        <v>18</v>
      </c>
      <c r="X22" s="163">
        <f t="shared" si="5"/>
        <v>0</v>
      </c>
      <c r="Y22" s="163">
        <f t="shared" si="5"/>
        <v>0</v>
      </c>
      <c r="Z22" s="163">
        <f t="shared" si="5"/>
        <v>2</v>
      </c>
      <c r="AA22" s="164"/>
      <c r="AB22" s="32">
        <v>18</v>
      </c>
      <c r="AC22" s="162">
        <f>IFERROR(((SUMIFS($F$2:$F$68,$A$2:$A$68,$AB22,$D$2:$D$68,AC$4)*VLOOKUP($AB22,$A$2:$G$68,7,FALSE)*Stazioni!$L$9)/3600)*VLOOKUP(CONCATENATE(TEXT(AC$4,"0"),TEXT($AB22,"0")),$AG$2:$AM$33,7,FALSE),0)</f>
        <v>0</v>
      </c>
      <c r="AD22" s="162">
        <f>IFERROR(((SUMIFS($F$2:$F$68,$A$2:$A$68,$AB22,$D$2:$D$68,AD$4)*VLOOKUP($AB22,$A$2:$G$68,7,FALSE)*Stazioni!$L$9)/3600)*VLOOKUP(CONCATENATE(TEXT(AD$4,"0"),TEXT($AB22,"0")),$AG$2:$AM$33,7,FALSE),0)</f>
        <v>0</v>
      </c>
      <c r="AE22" s="162">
        <f>IFERROR(((SUMIFS($F$2:$F$68,$A$2:$A$68,$AB22,$D$2:$D$68,AE$4)*VLOOKUP($AB22,$A$2:$G$68,7,FALSE)*Stazioni!$L$9)/3600)*VLOOKUP(CONCATENATE(TEXT(AE$4,"0"),TEXT($AB22,"0")),$AG$2:$AM$33,7,FALSE),0)</f>
        <v>57.599999700000026</v>
      </c>
      <c r="AG22" s="156" t="str">
        <f t="shared" si="2"/>
        <v>219</v>
      </c>
      <c r="AH22" s="34">
        <v>2</v>
      </c>
      <c r="AI22" s="34">
        <v>19</v>
      </c>
      <c r="AJ22" s="157" t="s">
        <v>40</v>
      </c>
      <c r="AK22" s="129">
        <f>AD23</f>
        <v>76.800000000000011</v>
      </c>
      <c r="AL22" s="158">
        <v>1</v>
      </c>
      <c r="AM22" s="159">
        <v>27936</v>
      </c>
      <c r="AO22" s="227"/>
      <c r="AP22" s="160">
        <v>76.8</v>
      </c>
      <c r="AQ22" s="161" t="s">
        <v>134</v>
      </c>
      <c r="AR22" s="81">
        <f t="shared" si="1"/>
        <v>76.800000000000011</v>
      </c>
    </row>
    <row r="23" spans="1:44" x14ac:dyDescent="0.25">
      <c r="A23" s="156">
        <v>10</v>
      </c>
      <c r="B23" s="34">
        <v>31</v>
      </c>
      <c r="C23" s="5" t="s">
        <v>18</v>
      </c>
      <c r="D23" s="34">
        <v>3</v>
      </c>
      <c r="E23" s="5" t="s">
        <v>43</v>
      </c>
      <c r="F23" s="34">
        <v>4</v>
      </c>
      <c r="G23" s="35">
        <v>0.04</v>
      </c>
      <c r="M23" s="32">
        <v>19</v>
      </c>
      <c r="N23" s="162">
        <f>SUMIFS($F$2:$F$68,$A$2:$A$68,$M23,$D$2:$D$68,N$4)*VLOOKUP($M23,$A$2:$G$68,7,FALSE)*Stazioni!$L$9*(Stazioni!$L$6/5)</f>
        <v>0</v>
      </c>
      <c r="O23" s="162">
        <f>SUMIFS($F$2:$F$68,$A$2:$A$68,$M23,$D$2:$D$68,O$4)*VLOOKUP($M23,$A$2:$G$68,7,FALSE)*Stazioni!$L$9*(Stazioni!$L$6/5)</f>
        <v>76.8</v>
      </c>
      <c r="P23" s="162">
        <f>SUMIFS($F$2:$F$68,$A$2:$A$68,$M23,$D$2:$D$68,P$4)*VLOOKUP($M23,$A$2:$G$68,7,FALSE)*Stazioni!$L$9*(Stazioni!$L$6/5)</f>
        <v>0</v>
      </c>
      <c r="R23" s="32">
        <v>19</v>
      </c>
      <c r="S23" s="163">
        <f t="shared" si="3"/>
        <v>0</v>
      </c>
      <c r="T23" s="163">
        <f t="shared" si="3"/>
        <v>60</v>
      </c>
      <c r="U23" s="163">
        <f t="shared" si="3"/>
        <v>0</v>
      </c>
      <c r="V23" s="62"/>
      <c r="W23" s="32">
        <v>19</v>
      </c>
      <c r="X23" s="163">
        <f t="shared" si="5"/>
        <v>0</v>
      </c>
      <c r="Y23" s="163">
        <f t="shared" si="5"/>
        <v>1</v>
      </c>
      <c r="Z23" s="163">
        <f t="shared" si="5"/>
        <v>0</v>
      </c>
      <c r="AA23" s="164"/>
      <c r="AB23" s="32">
        <v>19</v>
      </c>
      <c r="AC23" s="162">
        <f>IFERROR(((SUMIFS($F$2:$F$68,$A$2:$A$68,$AB23,$D$2:$D$68,AC$4)*VLOOKUP($AB23,$A$2:$G$68,7,FALSE)*Stazioni!$L$9)/3600)*VLOOKUP(CONCATENATE(TEXT(AC$4,"0"),TEXT($AB23,"0")),$AG$2:$AM$33,7,FALSE),0)</f>
        <v>0</v>
      </c>
      <c r="AD23" s="162">
        <f>IFERROR(((SUMIFS($F$2:$F$68,$A$2:$A$68,$AB23,$D$2:$D$68,AD$4)*VLOOKUP($AB23,$A$2:$G$68,7,FALSE)*Stazioni!$L$9)/3600)*VLOOKUP(CONCATENATE(TEXT(AD$4,"0"),TEXT($AB23,"0")),$AG$2:$AM$33,7,FALSE),0)</f>
        <v>76.800000000000011</v>
      </c>
      <c r="AE23" s="162">
        <f>IFERROR(((SUMIFS($F$2:$F$68,$A$2:$A$68,$AB23,$D$2:$D$68,AE$4)*VLOOKUP($AB23,$A$2:$G$68,7,FALSE)*Stazioni!$L$9)/3600)*VLOOKUP(CONCATENATE(TEXT(AE$4,"0"),TEXT($AB23,"0")),$AG$2:$AM$33,7,FALSE),0)</f>
        <v>0</v>
      </c>
      <c r="AG23" s="156" t="str">
        <f t="shared" si="2"/>
        <v>120</v>
      </c>
      <c r="AH23" s="34">
        <v>1</v>
      </c>
      <c r="AI23" s="34">
        <v>20</v>
      </c>
      <c r="AJ23" s="157" t="s">
        <v>34</v>
      </c>
      <c r="AK23" s="129">
        <f>AC24</f>
        <v>12.8</v>
      </c>
      <c r="AL23" s="158">
        <v>1</v>
      </c>
      <c r="AM23" s="159">
        <v>27936</v>
      </c>
      <c r="AO23" s="227"/>
      <c r="AP23" s="160">
        <v>12.8</v>
      </c>
      <c r="AQ23" s="161" t="s">
        <v>134</v>
      </c>
      <c r="AR23" s="81">
        <f t="shared" si="1"/>
        <v>12.8</v>
      </c>
    </row>
    <row r="24" spans="1:44" x14ac:dyDescent="0.25">
      <c r="A24" s="156">
        <v>10</v>
      </c>
      <c r="B24" s="34">
        <v>33</v>
      </c>
      <c r="C24" s="5" t="s">
        <v>18</v>
      </c>
      <c r="D24" s="34">
        <v>3</v>
      </c>
      <c r="E24" s="5" t="s">
        <v>43</v>
      </c>
      <c r="F24" s="34">
        <v>4</v>
      </c>
      <c r="G24" s="35">
        <v>0.04</v>
      </c>
      <c r="M24" s="32">
        <v>20</v>
      </c>
      <c r="N24" s="162">
        <f>SUMIFS($F$2:$F$68,$A$2:$A$68,$M24,$D$2:$D$68,N$4)*VLOOKUP($M24,$A$2:$G$68,7,FALSE)*Stazioni!$L$9*(Stazioni!$L$6/5)</f>
        <v>12.8</v>
      </c>
      <c r="O24" s="162">
        <f>SUMIFS($F$2:$F$68,$A$2:$A$68,$M24,$D$2:$D$68,O$4)*VLOOKUP($M24,$A$2:$G$68,7,FALSE)*Stazioni!$L$9*(Stazioni!$L$6/5)</f>
        <v>12.8</v>
      </c>
      <c r="P24" s="162">
        <f>SUMIFS($F$2:$F$68,$A$2:$A$68,$M24,$D$2:$D$68,P$4)*VLOOKUP($M24,$A$2:$G$68,7,FALSE)*Stazioni!$L$9*(Stazioni!$L$6/5)</f>
        <v>0</v>
      </c>
      <c r="R24" s="32">
        <v>20</v>
      </c>
      <c r="S24" s="163">
        <f t="shared" si="3"/>
        <v>60</v>
      </c>
      <c r="T24" s="163">
        <f t="shared" si="3"/>
        <v>60</v>
      </c>
      <c r="U24" s="163">
        <f t="shared" si="3"/>
        <v>0</v>
      </c>
      <c r="V24" s="62"/>
      <c r="W24" s="32">
        <v>20</v>
      </c>
      <c r="X24" s="163">
        <f t="shared" si="5"/>
        <v>1</v>
      </c>
      <c r="Y24" s="163">
        <f t="shared" si="5"/>
        <v>1</v>
      </c>
      <c r="Z24" s="163">
        <f t="shared" si="5"/>
        <v>0</v>
      </c>
      <c r="AA24" s="164"/>
      <c r="AB24" s="32">
        <v>20</v>
      </c>
      <c r="AC24" s="162">
        <f>IFERROR(((SUMIFS($F$2:$F$68,$A$2:$A$68,$AB24,$D$2:$D$68,AC$4)*VLOOKUP($AB24,$A$2:$G$68,7,FALSE)*Stazioni!$L$9)/3600)*VLOOKUP(CONCATENATE(TEXT(AC$4,"0"),TEXT($AB24,"0")),$AG$2:$AM$33,7,FALSE),0)</f>
        <v>12.8</v>
      </c>
      <c r="AD24" s="162">
        <f>IFERROR(((SUMIFS($F$2:$F$68,$A$2:$A$68,$AB24,$D$2:$D$68,AD$4)*VLOOKUP($AB24,$A$2:$G$68,7,FALSE)*Stazioni!$L$9)/3600)*VLOOKUP(CONCATENATE(TEXT(AD$4,"0"),TEXT($AB24,"0")),$AG$2:$AM$33,7,FALSE),0)</f>
        <v>12.8</v>
      </c>
      <c r="AE24" s="162">
        <f>IFERROR(((SUMIFS($F$2:$F$68,$A$2:$A$68,$AB24,$D$2:$D$68,AE$4)*VLOOKUP($AB24,$A$2:$G$68,7,FALSE)*Stazioni!$L$9)/3600)*VLOOKUP(CONCATENATE(TEXT(AE$4,"0"),TEXT($AB24,"0")),$AG$2:$AM$33,7,FALSE),0)</f>
        <v>0</v>
      </c>
      <c r="AG24" s="156" t="str">
        <f t="shared" si="2"/>
        <v>220</v>
      </c>
      <c r="AH24" s="34">
        <v>2</v>
      </c>
      <c r="AI24" s="34">
        <v>20</v>
      </c>
      <c r="AJ24" s="157" t="s">
        <v>34</v>
      </c>
      <c r="AK24" s="129">
        <f>AD24</f>
        <v>12.8</v>
      </c>
      <c r="AL24" s="158">
        <v>1</v>
      </c>
      <c r="AM24" s="159">
        <v>27936</v>
      </c>
      <c r="AO24" s="227"/>
      <c r="AP24" s="160">
        <v>12.8</v>
      </c>
      <c r="AQ24" s="161" t="s">
        <v>134</v>
      </c>
      <c r="AR24" s="81">
        <f t="shared" si="1"/>
        <v>12.8</v>
      </c>
    </row>
    <row r="25" spans="1:44" x14ac:dyDescent="0.25">
      <c r="A25" s="156">
        <v>10</v>
      </c>
      <c r="B25" s="34">
        <v>35</v>
      </c>
      <c r="C25" s="5" t="s">
        <v>18</v>
      </c>
      <c r="D25" s="34">
        <v>3</v>
      </c>
      <c r="E25" s="5" t="s">
        <v>43</v>
      </c>
      <c r="F25" s="34">
        <v>4</v>
      </c>
      <c r="G25" s="35">
        <v>0.04</v>
      </c>
      <c r="I25" s="62"/>
      <c r="M25" s="32">
        <v>21</v>
      </c>
      <c r="N25" s="162">
        <f>SUMIFS($F$2:$F$68,$A$2:$A$68,$M25,$D$2:$D$68,N$4)*VLOOKUP($M25,$A$2:$G$68,7,FALSE)*Stazioni!$L$9*(Stazioni!$L$6/5)</f>
        <v>0</v>
      </c>
      <c r="O25" s="162">
        <f>SUMIFS($F$2:$F$68,$A$2:$A$68,$M25,$D$2:$D$68,O$4)*VLOOKUP($M25,$A$2:$G$68,7,FALSE)*Stazioni!$L$9*(Stazioni!$L$6/5)</f>
        <v>0</v>
      </c>
      <c r="P25" s="162">
        <f>SUMIFS($F$2:$F$68,$A$2:$A$68,$M25,$D$2:$D$68,P$4)*VLOOKUP($M25,$A$2:$G$68,7,FALSE)*Stazioni!$L$9*(Stazioni!$L$6/5)</f>
        <v>115.2</v>
      </c>
      <c r="R25" s="32">
        <v>21</v>
      </c>
      <c r="S25" s="163">
        <f t="shared" si="3"/>
        <v>0</v>
      </c>
      <c r="T25" s="163">
        <f t="shared" si="3"/>
        <v>0</v>
      </c>
      <c r="U25" s="163">
        <f t="shared" si="3"/>
        <v>120</v>
      </c>
      <c r="V25" s="62"/>
      <c r="W25" s="32">
        <v>21</v>
      </c>
      <c r="X25" s="163">
        <f t="shared" si="5"/>
        <v>0</v>
      </c>
      <c r="Y25" s="163">
        <f t="shared" si="5"/>
        <v>0</v>
      </c>
      <c r="Z25" s="163">
        <f t="shared" si="5"/>
        <v>2</v>
      </c>
      <c r="AA25" s="164"/>
      <c r="AB25" s="32">
        <v>21</v>
      </c>
      <c r="AC25" s="162">
        <f>IFERROR(((SUMIFS($F$2:$F$68,$A$2:$A$68,$AB25,$D$2:$D$68,AC$4)*VLOOKUP($AB25,$A$2:$G$68,7,FALSE)*Stazioni!$L$9)/3600)*VLOOKUP(CONCATENATE(TEXT(AC$4,"0"),TEXT($AB25,"0")),$AG$2:$AM$33,7,FALSE),0)</f>
        <v>0</v>
      </c>
      <c r="AD25" s="162">
        <f>IFERROR(((SUMIFS($F$2:$F$68,$A$2:$A$68,$AB25,$D$2:$D$68,AD$4)*VLOOKUP($AB25,$A$2:$G$68,7,FALSE)*Stazioni!$L$9)/3600)*VLOOKUP(CONCATENATE(TEXT(AD$4,"0"),TEXT($AB25,"0")),$AG$2:$AM$33,7,FALSE),0)</f>
        <v>0</v>
      </c>
      <c r="AE25" s="162">
        <f>IFERROR(((SUMIFS($F$2:$F$68,$A$2:$A$68,$AB25,$D$2:$D$68,AE$4)*VLOOKUP($AB25,$A$2:$G$68,7,FALSE)*Stazioni!$L$9)/3600)*VLOOKUP(CONCATENATE(TEXT(AE$4,"0"),TEXT($AB25,"0")),$AG$2:$AM$33,7,FALSE),0)</f>
        <v>57.599999500000003</v>
      </c>
      <c r="AG25" s="156" t="str">
        <f t="shared" si="2"/>
        <v>321</v>
      </c>
      <c r="AH25" s="34">
        <v>3</v>
      </c>
      <c r="AI25" s="34">
        <v>21</v>
      </c>
      <c r="AJ25" s="157" t="s">
        <v>55</v>
      </c>
      <c r="AK25" s="129">
        <f>AE25</f>
        <v>57.599999500000003</v>
      </c>
      <c r="AL25" s="158">
        <v>2</v>
      </c>
      <c r="AM25" s="159">
        <v>13967.999878750001</v>
      </c>
      <c r="AO25" s="227"/>
      <c r="AP25" s="160">
        <v>115.2</v>
      </c>
      <c r="AQ25" s="161" t="s">
        <v>134</v>
      </c>
      <c r="AR25" s="81">
        <f t="shared" si="1"/>
        <v>115.19999900000001</v>
      </c>
    </row>
    <row r="26" spans="1:44" x14ac:dyDescent="0.25">
      <c r="A26" s="156">
        <v>11</v>
      </c>
      <c r="B26" s="34">
        <v>13</v>
      </c>
      <c r="C26" s="5" t="s">
        <v>11</v>
      </c>
      <c r="D26" s="34">
        <v>2</v>
      </c>
      <c r="E26" s="5" t="s">
        <v>37</v>
      </c>
      <c r="F26" s="34">
        <v>6</v>
      </c>
      <c r="G26" s="35">
        <v>0.11</v>
      </c>
      <c r="M26" s="32">
        <v>22</v>
      </c>
      <c r="N26" s="162">
        <f>SUMIFS($F$2:$F$68,$A$2:$A$68,$M26,$D$2:$D$68,N$4)*VLOOKUP($M26,$A$2:$G$68,7,FALSE)*Stazioni!$L$9*(Stazioni!$L$6/5)</f>
        <v>652.80000000000007</v>
      </c>
      <c r="O26" s="162">
        <f>SUMIFS($F$2:$F$68,$A$2:$A$68,$M26,$D$2:$D$68,O$4)*VLOOKUP($M26,$A$2:$G$68,7,FALSE)*Stazioni!$L$9*(Stazioni!$L$6/5)</f>
        <v>0</v>
      </c>
      <c r="P26" s="162">
        <f>SUMIFS($F$2:$F$68,$A$2:$A$68,$M26,$D$2:$D$68,P$4)*VLOOKUP($M26,$A$2:$G$68,7,FALSE)*Stazioni!$L$9*(Stazioni!$L$6/5)</f>
        <v>0</v>
      </c>
      <c r="R26" s="32">
        <v>22</v>
      </c>
      <c r="S26" s="163">
        <f t="shared" si="3"/>
        <v>540</v>
      </c>
      <c r="T26" s="163">
        <f t="shared" si="3"/>
        <v>0</v>
      </c>
      <c r="U26" s="163">
        <f t="shared" si="3"/>
        <v>0</v>
      </c>
      <c r="V26" s="62"/>
      <c r="W26" s="32">
        <v>22</v>
      </c>
      <c r="X26" s="163">
        <f t="shared" si="5"/>
        <v>9</v>
      </c>
      <c r="Y26" s="163">
        <f t="shared" si="5"/>
        <v>0</v>
      </c>
      <c r="Z26" s="163">
        <f t="shared" si="5"/>
        <v>0</v>
      </c>
      <c r="AA26" s="164"/>
      <c r="AB26" s="32">
        <v>22</v>
      </c>
      <c r="AC26" s="162">
        <f>IFERROR(((SUMIFS($F$2:$F$68,$A$2:$A$68,$AB26,$D$2:$D$68,AC$4)*VLOOKUP($AB26,$A$2:$G$68,7,FALSE)*Stazioni!$L$9)/3600)*VLOOKUP(CONCATENATE(TEXT(AC$4,"0"),TEXT($AB26,"0")),$AG$2:$AM$33,7,FALSE),0)</f>
        <v>72.53333322222224</v>
      </c>
      <c r="AD26" s="162">
        <f>IFERROR(((SUMIFS($F$2:$F$68,$A$2:$A$68,$AB26,$D$2:$D$68,AD$4)*VLOOKUP($AB26,$A$2:$G$68,7,FALSE)*Stazioni!$L$9)/3600)*VLOOKUP(CONCATENATE(TEXT(AD$4,"0"),TEXT($AB26,"0")),$AG$2:$AM$33,7,FALSE),0)</f>
        <v>0</v>
      </c>
      <c r="AE26" s="162">
        <f>IFERROR(((SUMIFS($F$2:$F$68,$A$2:$A$68,$AB26,$D$2:$D$68,AE$4)*VLOOKUP($AB26,$A$2:$G$68,7,FALSE)*Stazioni!$L$9)/3600)*VLOOKUP(CONCATENATE(TEXT(AE$4,"0"),TEXT($AB26,"0")),$AG$2:$AM$33,7,FALSE),0)</f>
        <v>0</v>
      </c>
      <c r="AG26" s="156" t="str">
        <f t="shared" si="2"/>
        <v>122</v>
      </c>
      <c r="AH26" s="34">
        <v>1</v>
      </c>
      <c r="AI26" s="34">
        <v>22</v>
      </c>
      <c r="AJ26" s="157" t="s">
        <v>30</v>
      </c>
      <c r="AK26" s="129">
        <f>AC26</f>
        <v>72.53333322222224</v>
      </c>
      <c r="AL26" s="158">
        <v>9</v>
      </c>
      <c r="AM26" s="159">
        <v>3103.999995245098</v>
      </c>
      <c r="AO26" s="227"/>
      <c r="AP26" s="160">
        <v>652.80000000000007</v>
      </c>
      <c r="AQ26" s="161" t="s">
        <v>134</v>
      </c>
      <c r="AR26" s="81">
        <f t="shared" si="1"/>
        <v>652.79999900000018</v>
      </c>
    </row>
    <row r="27" spans="1:44" x14ac:dyDescent="0.25">
      <c r="A27" s="156">
        <v>12</v>
      </c>
      <c r="B27" s="34">
        <v>36</v>
      </c>
      <c r="C27" s="5" t="s">
        <v>26</v>
      </c>
      <c r="D27" s="34">
        <v>3</v>
      </c>
      <c r="E27" s="5" t="s">
        <v>54</v>
      </c>
      <c r="F27" s="34">
        <v>2</v>
      </c>
      <c r="G27" s="35">
        <v>0.04</v>
      </c>
      <c r="M27" s="32">
        <v>23</v>
      </c>
      <c r="N27" s="162">
        <f>SUMIFS($F$2:$F$68,$A$2:$A$68,$M27,$D$2:$D$68,N$4)*VLOOKUP($M27,$A$2:$G$68,7,FALSE)*Stazioni!$L$9*(Stazioni!$L$6/5)</f>
        <v>723.19999999999993</v>
      </c>
      <c r="O27" s="162">
        <f>SUMIFS($F$2:$F$68,$A$2:$A$68,$M27,$D$2:$D$68,O$4)*VLOOKUP($M27,$A$2:$G$68,7,FALSE)*Stazioni!$L$9*(Stazioni!$L$6/5)</f>
        <v>0</v>
      </c>
      <c r="P27" s="162">
        <f>SUMIFS($F$2:$F$68,$A$2:$A$68,$M27,$D$2:$D$68,P$4)*VLOOKUP($M27,$A$2:$G$68,7,FALSE)*Stazioni!$L$9*(Stazioni!$L$6/5)</f>
        <v>0</v>
      </c>
      <c r="R27" s="32">
        <v>23</v>
      </c>
      <c r="S27" s="163">
        <f t="shared" si="3"/>
        <v>600</v>
      </c>
      <c r="T27" s="163">
        <f t="shared" si="3"/>
        <v>0</v>
      </c>
      <c r="U27" s="163">
        <f t="shared" si="3"/>
        <v>0</v>
      </c>
      <c r="V27" s="62"/>
      <c r="W27" s="32">
        <v>23</v>
      </c>
      <c r="X27" s="163">
        <f t="shared" si="5"/>
        <v>10</v>
      </c>
      <c r="Y27" s="163">
        <f t="shared" si="5"/>
        <v>0</v>
      </c>
      <c r="Z27" s="163">
        <f t="shared" si="5"/>
        <v>0</v>
      </c>
      <c r="AA27" s="164"/>
      <c r="AB27" s="32">
        <v>23</v>
      </c>
      <c r="AC27" s="162">
        <f>IFERROR(((SUMIFS($F$2:$F$68,$A$2:$A$68,$AB27,$D$2:$D$68,AC$4)*VLOOKUP($AB27,$A$2:$G$68,7,FALSE)*Stazioni!$L$9)/3600)*VLOOKUP(CONCATENATE(TEXT(AC$4,"0"),TEXT($AB27,"0")),$AG$2:$AM$33,7,FALSE),0)</f>
        <v>72.319999899999999</v>
      </c>
      <c r="AD27" s="162">
        <f>IFERROR(((SUMIFS($F$2:$F$68,$A$2:$A$68,$AB27,$D$2:$D$68,AD$4)*VLOOKUP($AB27,$A$2:$G$68,7,FALSE)*Stazioni!$L$9)/3600)*VLOOKUP(CONCATENATE(TEXT(AD$4,"0"),TEXT($AB27,"0")),$AG$2:$AM$33,7,FALSE),0)</f>
        <v>0</v>
      </c>
      <c r="AE27" s="162">
        <f>IFERROR(((SUMIFS($F$2:$F$68,$A$2:$A$68,$AB27,$D$2:$D$68,AE$4)*VLOOKUP($AB27,$A$2:$G$68,7,FALSE)*Stazioni!$L$9)/3600)*VLOOKUP(CONCATENATE(TEXT(AE$4,"0"),TEXT($AB27,"0")),$AG$2:$AM$33,7,FALSE),0)</f>
        <v>0</v>
      </c>
      <c r="AG27" s="156" t="str">
        <f t="shared" si="2"/>
        <v>123</v>
      </c>
      <c r="AH27" s="34">
        <v>1</v>
      </c>
      <c r="AI27" s="34">
        <v>23</v>
      </c>
      <c r="AJ27" s="157" t="s">
        <v>32</v>
      </c>
      <c r="AK27" s="129">
        <f>AC27</f>
        <v>72.319999899999999</v>
      </c>
      <c r="AL27" s="158">
        <v>10</v>
      </c>
      <c r="AM27" s="159">
        <v>2793.5999961371681</v>
      </c>
      <c r="AO27" s="227"/>
      <c r="AP27" s="160">
        <v>723.19999999999993</v>
      </c>
      <c r="AQ27" s="161" t="s">
        <v>134</v>
      </c>
      <c r="AR27" s="81">
        <f t="shared" si="1"/>
        <v>723.19999899999993</v>
      </c>
    </row>
    <row r="28" spans="1:44" x14ac:dyDescent="0.25">
      <c r="A28" s="156">
        <v>12</v>
      </c>
      <c r="B28" s="34">
        <v>37</v>
      </c>
      <c r="C28" s="5" t="s">
        <v>27</v>
      </c>
      <c r="D28" s="34">
        <v>3</v>
      </c>
      <c r="E28" s="5" t="s">
        <v>54</v>
      </c>
      <c r="F28" s="34">
        <v>2</v>
      </c>
      <c r="G28" s="35">
        <v>0.04</v>
      </c>
      <c r="M28" s="32">
        <v>24</v>
      </c>
      <c r="N28" s="162">
        <f>SUMIFS($F$2:$F$68,$A$2:$A$68,$M28,$D$2:$D$68,N$4)*VLOOKUP($M28,$A$2:$G$68,7,FALSE)*Stazioni!$L$9*(Stazioni!$L$6/5)</f>
        <v>0</v>
      </c>
      <c r="O28" s="162">
        <f>SUMIFS($F$2:$F$68,$A$2:$A$68,$M28,$D$2:$D$68,O$4)*VLOOKUP($M28,$A$2:$G$68,7,FALSE)*Stazioni!$L$9*(Stazioni!$L$6/5)</f>
        <v>264.00000000000006</v>
      </c>
      <c r="P28" s="162">
        <f>SUMIFS($F$2:$F$68,$A$2:$A$68,$M28,$D$2:$D$68,P$4)*VLOOKUP($M28,$A$2:$G$68,7,FALSE)*Stazioni!$L$9*(Stazioni!$L$6/5)</f>
        <v>0</v>
      </c>
      <c r="R28" s="32">
        <v>24</v>
      </c>
      <c r="S28" s="163">
        <f t="shared" si="3"/>
        <v>0</v>
      </c>
      <c r="T28" s="163">
        <f t="shared" si="3"/>
        <v>240</v>
      </c>
      <c r="U28" s="163">
        <f t="shared" si="3"/>
        <v>0</v>
      </c>
      <c r="V28" s="62"/>
      <c r="W28" s="32">
        <v>24</v>
      </c>
      <c r="X28" s="163">
        <f t="shared" si="5"/>
        <v>0</v>
      </c>
      <c r="Y28" s="163">
        <f t="shared" si="5"/>
        <v>4</v>
      </c>
      <c r="Z28" s="163">
        <f t="shared" si="5"/>
        <v>0</v>
      </c>
      <c r="AA28" s="164"/>
      <c r="AB28" s="32">
        <v>24</v>
      </c>
      <c r="AC28" s="162">
        <f>IFERROR(((SUMIFS($F$2:$F$68,$A$2:$A$68,$AB28,$D$2:$D$68,AC$4)*VLOOKUP($AB28,$A$2:$G$68,7,FALSE)*Stazioni!$L$9)/3600)*VLOOKUP(CONCATENATE(TEXT(AC$4,"0"),TEXT($AB28,"0")),$AG$2:$AM$33,7,FALSE),0)</f>
        <v>0</v>
      </c>
      <c r="AD28" s="162">
        <f>IFERROR(((SUMIFS($F$2:$F$68,$A$2:$A$68,$AB28,$D$2:$D$68,AD$4)*VLOOKUP($AB28,$A$2:$G$68,7,FALSE)*Stazioni!$L$9)/3600)*VLOOKUP(CONCATENATE(TEXT(AD$4,"0"),TEXT($AB28,"0")),$AG$2:$AM$33,7,FALSE),0)</f>
        <v>65.999999750000015</v>
      </c>
      <c r="AE28" s="162">
        <f>IFERROR(((SUMIFS($F$2:$F$68,$A$2:$A$68,$AB28,$D$2:$D$68,AE$4)*VLOOKUP($AB28,$A$2:$G$68,7,FALSE)*Stazioni!$L$9)/3600)*VLOOKUP(CONCATENATE(TEXT(AE$4,"0"),TEXT($AB28,"0")),$AG$2:$AM$33,7,FALSE),0)</f>
        <v>0</v>
      </c>
      <c r="AG28" s="156" t="str">
        <f t="shared" si="2"/>
        <v>224</v>
      </c>
      <c r="AH28" s="34">
        <v>2</v>
      </c>
      <c r="AI28" s="34">
        <v>24</v>
      </c>
      <c r="AJ28" s="157" t="s">
        <v>36</v>
      </c>
      <c r="AK28" s="129">
        <f>AD28</f>
        <v>65.999999750000015</v>
      </c>
      <c r="AL28" s="158">
        <v>4</v>
      </c>
      <c r="AM28" s="159">
        <v>6983.9999735454548</v>
      </c>
      <c r="AO28" s="227"/>
      <c r="AP28" s="160">
        <v>264.00000000000006</v>
      </c>
      <c r="AQ28" s="161" t="s">
        <v>134</v>
      </c>
      <c r="AR28" s="81">
        <f t="shared" si="1"/>
        <v>263.99999900000006</v>
      </c>
    </row>
    <row r="29" spans="1:44" x14ac:dyDescent="0.25">
      <c r="A29" s="156">
        <v>13</v>
      </c>
      <c r="B29" s="34">
        <v>38</v>
      </c>
      <c r="C29" s="5" t="s">
        <v>66</v>
      </c>
      <c r="D29" s="34">
        <v>3</v>
      </c>
      <c r="E29" s="5" t="s">
        <v>73</v>
      </c>
      <c r="F29" s="34">
        <v>2</v>
      </c>
      <c r="G29" s="35">
        <v>0.04</v>
      </c>
      <c r="M29" s="32">
        <v>25</v>
      </c>
      <c r="N29" s="162">
        <f>SUMIFS($F$2:$F$68,$A$2:$A$68,$M29,$D$2:$D$68,N$4)*VLOOKUP($M29,$A$2:$G$68,7,FALSE)*Stazioni!$L$9*(Stazioni!$L$6/5)</f>
        <v>0</v>
      </c>
      <c r="O29" s="162">
        <f>SUMIFS($F$2:$F$68,$A$2:$A$68,$M29,$D$2:$D$68,O$4)*VLOOKUP($M29,$A$2:$G$68,7,FALSE)*Stazioni!$L$9*(Stazioni!$L$6/5)</f>
        <v>76.8</v>
      </c>
      <c r="P29" s="162">
        <f>SUMIFS($F$2:$F$68,$A$2:$A$68,$M29,$D$2:$D$68,P$4)*VLOOKUP($M29,$A$2:$G$68,7,FALSE)*Stazioni!$L$9*(Stazioni!$L$6/5)</f>
        <v>0</v>
      </c>
      <c r="R29" s="32">
        <v>25</v>
      </c>
      <c r="S29" s="163">
        <f t="shared" si="3"/>
        <v>0</v>
      </c>
      <c r="T29" s="163">
        <f t="shared" si="3"/>
        <v>60</v>
      </c>
      <c r="U29" s="163">
        <f t="shared" si="3"/>
        <v>0</v>
      </c>
      <c r="V29" s="62"/>
      <c r="W29" s="32">
        <v>25</v>
      </c>
      <c r="X29" s="163">
        <f t="shared" si="5"/>
        <v>0</v>
      </c>
      <c r="Y29" s="163">
        <f t="shared" si="5"/>
        <v>1</v>
      </c>
      <c r="Z29" s="163">
        <f t="shared" si="5"/>
        <v>0</v>
      </c>
      <c r="AA29" s="164"/>
      <c r="AB29" s="32">
        <v>25</v>
      </c>
      <c r="AC29" s="162">
        <f>IFERROR(((SUMIFS($F$2:$F$68,$A$2:$A$68,$AB29,$D$2:$D$68,AC$4)*VLOOKUP($AB29,$A$2:$G$68,7,FALSE)*Stazioni!$L$9)/3600)*VLOOKUP(CONCATENATE(TEXT(AC$4,"0"),TEXT($AB29,"0")),$AG$2:$AM$33,7,FALSE),0)</f>
        <v>0</v>
      </c>
      <c r="AD29" s="162">
        <f>IFERROR(((SUMIFS($F$2:$F$68,$A$2:$A$68,$AB29,$D$2:$D$68,AD$4)*VLOOKUP($AB29,$A$2:$G$68,7,FALSE)*Stazioni!$L$9)/3600)*VLOOKUP(CONCATENATE(TEXT(AD$4,"0"),TEXT($AB29,"0")),$AG$2:$AM$33,7,FALSE),0)</f>
        <v>76.800000000000011</v>
      </c>
      <c r="AE29" s="162">
        <f>IFERROR(((SUMIFS($F$2:$F$68,$A$2:$A$68,$AB29,$D$2:$D$68,AE$4)*VLOOKUP($AB29,$A$2:$G$68,7,FALSE)*Stazioni!$L$9)/3600)*VLOOKUP(CONCATENATE(TEXT(AE$4,"0"),TEXT($AB29,"0")),$AG$2:$AM$33,7,FALSE),0)</f>
        <v>0</v>
      </c>
      <c r="AG29" s="156" t="str">
        <f t="shared" si="2"/>
        <v>225</v>
      </c>
      <c r="AH29" s="34">
        <v>2</v>
      </c>
      <c r="AI29" s="34">
        <v>25</v>
      </c>
      <c r="AJ29" s="157" t="s">
        <v>39</v>
      </c>
      <c r="AK29" s="129">
        <f>AD29</f>
        <v>76.800000000000011</v>
      </c>
      <c r="AL29" s="158">
        <v>1</v>
      </c>
      <c r="AM29" s="159">
        <v>27936</v>
      </c>
      <c r="AO29" s="227"/>
      <c r="AP29" s="160">
        <v>76.8</v>
      </c>
      <c r="AQ29" s="161" t="s">
        <v>134</v>
      </c>
      <c r="AR29" s="81">
        <f t="shared" si="1"/>
        <v>76.800000000000011</v>
      </c>
    </row>
    <row r="30" spans="1:44" x14ac:dyDescent="0.25">
      <c r="A30" s="156">
        <v>13</v>
      </c>
      <c r="B30" s="34">
        <v>39</v>
      </c>
      <c r="C30" s="5" t="s">
        <v>67</v>
      </c>
      <c r="D30" s="34">
        <v>3</v>
      </c>
      <c r="E30" s="5" t="s">
        <v>73</v>
      </c>
      <c r="F30" s="34">
        <v>2</v>
      </c>
      <c r="G30" s="35">
        <v>0.04</v>
      </c>
      <c r="M30" s="32">
        <v>26</v>
      </c>
      <c r="N30" s="162">
        <f>SUMIFS($F$2:$F$68,$A$2:$A$68,$M30,$D$2:$D$68,N$4)*VLOOKUP($M30,$A$2:$G$68,7,FALSE)*Stazioni!$L$9*(Stazioni!$L$6/5)</f>
        <v>0</v>
      </c>
      <c r="O30" s="162">
        <f>SUMIFS($F$2:$F$68,$A$2:$A$68,$M30,$D$2:$D$68,O$4)*VLOOKUP($M30,$A$2:$G$68,7,FALSE)*Stazioni!$L$9*(Stazioni!$L$6/5)</f>
        <v>0</v>
      </c>
      <c r="P30" s="162">
        <f>SUMIFS($F$2:$F$68,$A$2:$A$68,$M30,$D$2:$D$68,P$4)*VLOOKUP($M30,$A$2:$G$68,7,FALSE)*Stazioni!$L$9*(Stazioni!$L$6/5)</f>
        <v>25.6</v>
      </c>
      <c r="R30" s="32">
        <v>26</v>
      </c>
      <c r="S30" s="163">
        <f t="shared" si="3"/>
        <v>0</v>
      </c>
      <c r="T30" s="163">
        <f t="shared" si="3"/>
        <v>0</v>
      </c>
      <c r="U30" s="163">
        <f t="shared" si="3"/>
        <v>60</v>
      </c>
      <c r="V30" s="62"/>
      <c r="W30" s="32">
        <v>26</v>
      </c>
      <c r="X30" s="163">
        <f t="shared" si="5"/>
        <v>0</v>
      </c>
      <c r="Y30" s="163">
        <f t="shared" si="5"/>
        <v>0</v>
      </c>
      <c r="Z30" s="163">
        <f t="shared" si="5"/>
        <v>1</v>
      </c>
      <c r="AA30" s="164"/>
      <c r="AB30" s="32">
        <v>26</v>
      </c>
      <c r="AC30" s="162">
        <f>IFERROR(((SUMIFS($F$2:$F$68,$A$2:$A$68,$AB30,$D$2:$D$68,AC$4)*VLOOKUP($AB30,$A$2:$G$68,7,FALSE)*Stazioni!$L$9)/3600)*VLOOKUP(CONCATENATE(TEXT(AC$4,"0"),TEXT($AB30,"0")),$AG$2:$AM$33,7,FALSE),0)</f>
        <v>0</v>
      </c>
      <c r="AD30" s="162">
        <f>IFERROR(((SUMIFS($F$2:$F$68,$A$2:$A$68,$AB30,$D$2:$D$68,AD$4)*VLOOKUP($AB30,$A$2:$G$68,7,FALSE)*Stazioni!$L$9)/3600)*VLOOKUP(CONCATENATE(TEXT(AD$4,"0"),TEXT($AB30,"0")),$AG$2:$AM$33,7,FALSE),0)</f>
        <v>0</v>
      </c>
      <c r="AE30" s="162">
        <f>IFERROR(((SUMIFS($F$2:$F$68,$A$2:$A$68,$AB30,$D$2:$D$68,AE$4)*VLOOKUP($AB30,$A$2:$G$68,7,FALSE)*Stazioni!$L$9)/3600)*VLOOKUP(CONCATENATE(TEXT(AE$4,"0"),TEXT($AB30,"0")),$AG$2:$AM$33,7,FALSE),0)</f>
        <v>25.6</v>
      </c>
      <c r="AG30" s="156" t="str">
        <f t="shared" si="2"/>
        <v>326</v>
      </c>
      <c r="AH30" s="34">
        <v>3</v>
      </c>
      <c r="AI30" s="34">
        <v>26</v>
      </c>
      <c r="AJ30" s="157" t="s">
        <v>53</v>
      </c>
      <c r="AK30" s="129">
        <f>AE30</f>
        <v>25.6</v>
      </c>
      <c r="AL30" s="158">
        <v>1</v>
      </c>
      <c r="AM30" s="159">
        <v>27936</v>
      </c>
      <c r="AO30" s="227"/>
      <c r="AP30" s="160">
        <v>25.6</v>
      </c>
      <c r="AQ30" s="161" t="s">
        <v>134</v>
      </c>
      <c r="AR30" s="81">
        <f t="shared" si="1"/>
        <v>25.6</v>
      </c>
    </row>
    <row r="31" spans="1:44" x14ac:dyDescent="0.25">
      <c r="A31" s="156">
        <v>14</v>
      </c>
      <c r="B31" s="34">
        <v>15</v>
      </c>
      <c r="C31" s="5" t="s">
        <v>13</v>
      </c>
      <c r="D31" s="34">
        <v>2</v>
      </c>
      <c r="E31" s="5" t="s">
        <v>41</v>
      </c>
      <c r="F31" s="34">
        <v>3</v>
      </c>
      <c r="G31" s="35">
        <v>0.04</v>
      </c>
      <c r="M31" s="32">
        <v>27</v>
      </c>
      <c r="N31" s="162">
        <f>SUMIFS($F$2:$F$68,$A$2:$A$68,$M31,$D$2:$D$68,N$4)*VLOOKUP($M31,$A$2:$G$68,7,FALSE)*Stazioni!$L$9*(Stazioni!$L$6/5)</f>
        <v>0</v>
      </c>
      <c r="O31" s="162">
        <f>SUMIFS($F$2:$F$68,$A$2:$A$68,$M31,$D$2:$D$68,O$4)*VLOOKUP($M31,$A$2:$G$68,7,FALSE)*Stazioni!$L$9*(Stazioni!$L$6/5)</f>
        <v>0</v>
      </c>
      <c r="P31" s="162">
        <f>SUMIFS($F$2:$F$68,$A$2:$A$68,$M31,$D$2:$D$68,P$4)*VLOOKUP($M31,$A$2:$G$68,7,FALSE)*Stazioni!$L$9*(Stazioni!$L$6/5)</f>
        <v>25.6</v>
      </c>
      <c r="R31" s="32">
        <v>27</v>
      </c>
      <c r="S31" s="163">
        <f t="shared" si="3"/>
        <v>0</v>
      </c>
      <c r="T31" s="163">
        <f t="shared" si="3"/>
        <v>0</v>
      </c>
      <c r="U31" s="163">
        <f t="shared" si="3"/>
        <v>60</v>
      </c>
      <c r="V31" s="62"/>
      <c r="W31" s="32">
        <v>27</v>
      </c>
      <c r="X31" s="163">
        <f t="shared" si="5"/>
        <v>0</v>
      </c>
      <c r="Y31" s="163">
        <f t="shared" si="5"/>
        <v>0</v>
      </c>
      <c r="Z31" s="163">
        <f t="shared" si="5"/>
        <v>1</v>
      </c>
      <c r="AA31" s="164"/>
      <c r="AB31" s="32">
        <v>27</v>
      </c>
      <c r="AC31" s="162">
        <f>IFERROR(((SUMIFS($F$2:$F$68,$A$2:$A$68,$AB31,$D$2:$D$68,AC$4)*VLOOKUP($AB31,$A$2:$G$68,7,FALSE)*Stazioni!$L$9)/3600)*VLOOKUP(CONCATENATE(TEXT(AC$4,"0"),TEXT($AB31,"0")),$AG$2:$AM$33,7,FALSE),0)</f>
        <v>0</v>
      </c>
      <c r="AD31" s="162">
        <f>IFERROR(((SUMIFS($F$2:$F$68,$A$2:$A$68,$AB31,$D$2:$D$68,AD$4)*VLOOKUP($AB31,$A$2:$G$68,7,FALSE)*Stazioni!$L$9)/3600)*VLOOKUP(CONCATENATE(TEXT(AD$4,"0"),TEXT($AB31,"0")),$AG$2:$AM$33,7,FALSE),0)</f>
        <v>0</v>
      </c>
      <c r="AE31" s="162">
        <f>IFERROR(((SUMIFS($F$2:$F$68,$A$2:$A$68,$AB31,$D$2:$D$68,AE$4)*VLOOKUP($AB31,$A$2:$G$68,7,FALSE)*Stazioni!$L$9)/3600)*VLOOKUP(CONCATENATE(TEXT(AE$4,"0"),TEXT($AB31,"0")),$AG$2:$AM$33,7,FALSE),0)</f>
        <v>25.6</v>
      </c>
      <c r="AG31" s="156" t="str">
        <f t="shared" si="2"/>
        <v>327</v>
      </c>
      <c r="AH31" s="34">
        <v>3</v>
      </c>
      <c r="AI31" s="34">
        <v>27</v>
      </c>
      <c r="AJ31" s="157" t="s">
        <v>56</v>
      </c>
      <c r="AK31" s="129">
        <f>AE31</f>
        <v>25.6</v>
      </c>
      <c r="AL31" s="158">
        <v>1</v>
      </c>
      <c r="AM31" s="159">
        <v>27936</v>
      </c>
      <c r="AO31" s="227"/>
      <c r="AP31" s="160">
        <v>25.6</v>
      </c>
      <c r="AQ31" s="161" t="s">
        <v>134</v>
      </c>
      <c r="AR31" s="81">
        <f t="shared" si="1"/>
        <v>25.6</v>
      </c>
    </row>
    <row r="32" spans="1:44" ht="15.75" thickBot="1" x14ac:dyDescent="0.3">
      <c r="A32" s="156">
        <v>14</v>
      </c>
      <c r="B32" s="34">
        <v>16</v>
      </c>
      <c r="C32" s="5" t="s">
        <v>14</v>
      </c>
      <c r="D32" s="34">
        <v>2</v>
      </c>
      <c r="E32" s="5" t="s">
        <v>41</v>
      </c>
      <c r="F32" s="34">
        <v>3</v>
      </c>
      <c r="G32" s="35">
        <v>0.04</v>
      </c>
      <c r="M32" s="177">
        <v>28</v>
      </c>
      <c r="N32" s="162">
        <f>SUMIFS($F$2:$F$68,$A$2:$A$68,$M32,$D$2:$D$68,N$4)*VLOOKUP($M32,$A$2:$G$68,7,FALSE)*Stazioni!$L$9*(Stazioni!$L$6/5)</f>
        <v>12.8</v>
      </c>
      <c r="O32" s="162">
        <f>SUMIFS($F$2:$F$68,$A$2:$A$68,$M32,$D$2:$D$68,O$4)*VLOOKUP($M32,$A$2:$G$68,7,FALSE)*Stazioni!$L$9*(Stazioni!$L$6/5)</f>
        <v>12.8</v>
      </c>
      <c r="P32" s="162">
        <f>SUMIFS($F$2:$F$68,$A$2:$A$68,$M32,$D$2:$D$68,P$4)*VLOOKUP($M32,$A$2:$G$68,7,FALSE)*Stazioni!$L$9*(Stazioni!$L$6/5)</f>
        <v>0</v>
      </c>
      <c r="R32" s="177">
        <v>28</v>
      </c>
      <c r="S32" s="163">
        <f t="shared" si="3"/>
        <v>60</v>
      </c>
      <c r="T32" s="163">
        <f t="shared" si="3"/>
        <v>60</v>
      </c>
      <c r="U32" s="163">
        <f t="shared" si="3"/>
        <v>0</v>
      </c>
      <c r="V32" s="62"/>
      <c r="W32" s="177">
        <v>28</v>
      </c>
      <c r="X32" s="163">
        <f t="shared" si="5"/>
        <v>1</v>
      </c>
      <c r="Y32" s="163">
        <f t="shared" si="5"/>
        <v>1</v>
      </c>
      <c r="Z32" s="163">
        <f t="shared" si="5"/>
        <v>0</v>
      </c>
      <c r="AA32" s="164"/>
      <c r="AB32" s="177">
        <v>28</v>
      </c>
      <c r="AC32" s="162">
        <f>IFERROR(((SUMIFS($F$2:$F$68,$A$2:$A$68,$AB32,$D$2:$D$68,AC$4)*VLOOKUP($AB32,$A$2:$G$68,7,FALSE)*Stazioni!$L$9)/3600)*VLOOKUP(CONCATENATE(TEXT(AC$4,"0"),TEXT($AB32,"0")),$AG$2:$AM$33,7,FALSE),0)</f>
        <v>12.8</v>
      </c>
      <c r="AD32" s="162">
        <f>IFERROR(((SUMIFS($F$2:$F$68,$A$2:$A$68,$AB32,$D$2:$D$68,AD$4)*VLOOKUP($AB32,$A$2:$G$68,7,FALSE)*Stazioni!$L$9)/3600)*VLOOKUP(CONCATENATE(TEXT(AD$4,"0"),TEXT($AB32,"0")),$AG$2:$AM$33,7,FALSE),0)</f>
        <v>12.8</v>
      </c>
      <c r="AE32" s="162">
        <f>IFERROR(((SUMIFS($F$2:$F$68,$A$2:$A$68,$AB32,$D$2:$D$68,AE$4)*VLOOKUP($AB32,$A$2:$G$68,7,FALSE)*Stazioni!$L$9)/3600)*VLOOKUP(CONCATENATE(TEXT(AE$4,"0"),TEXT($AB32,"0")),$AG$2:$AM$33,7,FALSE),0)</f>
        <v>0</v>
      </c>
      <c r="AG32" s="156" t="str">
        <f t="shared" si="2"/>
        <v>128</v>
      </c>
      <c r="AH32" s="34">
        <v>1</v>
      </c>
      <c r="AI32" s="34">
        <v>28</v>
      </c>
      <c r="AJ32" s="157" t="s">
        <v>33</v>
      </c>
      <c r="AK32" s="129">
        <f>AC32</f>
        <v>12.8</v>
      </c>
      <c r="AL32" s="158">
        <v>1</v>
      </c>
      <c r="AM32" s="159">
        <v>27936</v>
      </c>
      <c r="AO32" s="227"/>
      <c r="AP32" s="160">
        <v>12.8</v>
      </c>
      <c r="AQ32" s="161" t="s">
        <v>134</v>
      </c>
      <c r="AR32" s="81">
        <f t="shared" si="1"/>
        <v>12.8</v>
      </c>
    </row>
    <row r="33" spans="1:44" ht="15.75" thickBot="1" x14ac:dyDescent="0.3">
      <c r="A33" s="156">
        <v>14</v>
      </c>
      <c r="B33" s="34">
        <v>17</v>
      </c>
      <c r="C33" s="5" t="s">
        <v>15</v>
      </c>
      <c r="D33" s="34">
        <v>2</v>
      </c>
      <c r="E33" s="5" t="s">
        <v>41</v>
      </c>
      <c r="F33" s="34">
        <v>3</v>
      </c>
      <c r="G33" s="35">
        <v>0.04</v>
      </c>
      <c r="AG33" s="178" t="str">
        <f t="shared" si="2"/>
        <v>228</v>
      </c>
      <c r="AH33" s="44">
        <v>2</v>
      </c>
      <c r="AI33" s="44">
        <v>28</v>
      </c>
      <c r="AJ33" s="179" t="s">
        <v>33</v>
      </c>
      <c r="AK33" s="135">
        <f>AD32</f>
        <v>12.8</v>
      </c>
      <c r="AL33" s="180">
        <v>1</v>
      </c>
      <c r="AM33" s="181">
        <v>27936</v>
      </c>
      <c r="AO33" s="228"/>
      <c r="AP33" s="182">
        <v>12.8</v>
      </c>
      <c r="AQ33" s="183" t="s">
        <v>134</v>
      </c>
      <c r="AR33" s="107">
        <f t="shared" si="1"/>
        <v>12.8</v>
      </c>
    </row>
    <row r="34" spans="1:44" ht="15.75" thickBot="1" x14ac:dyDescent="0.3">
      <c r="A34" s="156">
        <v>14</v>
      </c>
      <c r="B34" s="34">
        <v>18</v>
      </c>
      <c r="C34" s="5" t="s">
        <v>16</v>
      </c>
      <c r="D34" s="34">
        <v>2</v>
      </c>
      <c r="E34" s="5" t="s">
        <v>41</v>
      </c>
      <c r="F34" s="34">
        <v>3</v>
      </c>
      <c r="G34" s="35">
        <v>0.04</v>
      </c>
      <c r="M34" s="141" t="s">
        <v>157</v>
      </c>
      <c r="N34" s="184">
        <f>SUM(N5:N32)</f>
        <v>2142.4</v>
      </c>
      <c r="O34" s="184">
        <f t="shared" ref="O34:P34" si="6">SUM(O5:O32)</f>
        <v>1464</v>
      </c>
      <c r="P34" s="185">
        <f t="shared" si="6"/>
        <v>1273.5999999999999</v>
      </c>
      <c r="R34" s="141" t="s">
        <v>157</v>
      </c>
      <c r="S34" s="186">
        <f>SUM(S5:S32)</f>
        <v>1980</v>
      </c>
      <c r="T34" s="186">
        <f t="shared" ref="T34:U34" si="7">SUM(T5:T32)</f>
        <v>1320</v>
      </c>
      <c r="U34" s="187">
        <f t="shared" si="7"/>
        <v>1440</v>
      </c>
      <c r="V34" s="188"/>
      <c r="W34" s="141" t="s">
        <v>157</v>
      </c>
      <c r="X34" s="189">
        <f>SUM(X5:X32)</f>
        <v>33</v>
      </c>
      <c r="Y34" s="189">
        <f>SUM(Y5:Y32)</f>
        <v>22</v>
      </c>
      <c r="Z34" s="190">
        <f>SUM(Z5:Z32)</f>
        <v>24</v>
      </c>
      <c r="AB34" s="141" t="s">
        <v>157</v>
      </c>
      <c r="AC34" s="191">
        <f>SUM(AC5:AC32)</f>
        <v>525.33333305022222</v>
      </c>
      <c r="AD34" s="191">
        <f t="shared" ref="AD34:AE34" si="8">SUM(AD5:AD32)</f>
        <v>451.01818153545463</v>
      </c>
      <c r="AE34" s="192">
        <f t="shared" si="8"/>
        <v>687.99999920000005</v>
      </c>
    </row>
    <row r="35" spans="1:44" x14ac:dyDescent="0.25">
      <c r="A35" s="156">
        <v>15</v>
      </c>
      <c r="B35" s="34">
        <v>15</v>
      </c>
      <c r="C35" s="5" t="s">
        <v>13</v>
      </c>
      <c r="D35" s="34">
        <v>2</v>
      </c>
      <c r="E35" s="5" t="s">
        <v>38</v>
      </c>
      <c r="F35" s="34">
        <v>1</v>
      </c>
      <c r="G35" s="35">
        <v>1.31</v>
      </c>
      <c r="R35" s="13"/>
    </row>
    <row r="36" spans="1:44" x14ac:dyDescent="0.25">
      <c r="A36" s="156">
        <v>15</v>
      </c>
      <c r="B36" s="34">
        <v>16</v>
      </c>
      <c r="C36" s="5" t="s">
        <v>14</v>
      </c>
      <c r="D36" s="34">
        <v>2</v>
      </c>
      <c r="E36" s="5" t="s">
        <v>38</v>
      </c>
      <c r="F36" s="34">
        <v>1</v>
      </c>
      <c r="G36" s="35">
        <v>1.31</v>
      </c>
      <c r="R36" s="109"/>
      <c r="AB36" s="91"/>
      <c r="AC36" s="91"/>
      <c r="AD36" s="91"/>
      <c r="AE36" s="91"/>
    </row>
    <row r="37" spans="1:44" ht="15.75" customHeight="1" x14ac:dyDescent="0.25">
      <c r="A37" s="156">
        <v>15</v>
      </c>
      <c r="B37" s="34">
        <v>17</v>
      </c>
      <c r="C37" s="5" t="s">
        <v>15</v>
      </c>
      <c r="D37" s="34">
        <v>2</v>
      </c>
      <c r="E37" s="5" t="s">
        <v>38</v>
      </c>
      <c r="F37" s="34">
        <v>1</v>
      </c>
      <c r="G37" s="35">
        <v>1.31</v>
      </c>
      <c r="R37" s="193"/>
      <c r="S37" s="193"/>
      <c r="T37" s="194"/>
      <c r="U37" s="194"/>
      <c r="V37" s="194"/>
      <c r="W37" s="194"/>
      <c r="X37" s="194"/>
      <c r="Y37" s="194"/>
      <c r="Z37" s="194"/>
      <c r="AB37" s="91"/>
      <c r="AC37" s="91"/>
      <c r="AD37" s="91"/>
      <c r="AE37" s="91"/>
    </row>
    <row r="38" spans="1:44" ht="15.75" customHeight="1" x14ac:dyDescent="0.25">
      <c r="A38" s="156">
        <v>15</v>
      </c>
      <c r="B38" s="34">
        <v>18</v>
      </c>
      <c r="C38" s="5" t="s">
        <v>16</v>
      </c>
      <c r="D38" s="34">
        <v>2</v>
      </c>
      <c r="E38" s="5" t="s">
        <v>38</v>
      </c>
      <c r="F38" s="34">
        <v>1</v>
      </c>
      <c r="G38" s="35">
        <v>1.31</v>
      </c>
      <c r="H38" s="14"/>
      <c r="I38" s="62"/>
      <c r="J38" s="62"/>
      <c r="K38" s="62"/>
      <c r="R38" s="193"/>
      <c r="S38" s="193"/>
      <c r="T38" s="194"/>
      <c r="U38" s="194"/>
      <c r="V38" s="194"/>
      <c r="W38" s="194"/>
      <c r="X38" s="194"/>
      <c r="Y38" s="194"/>
      <c r="Z38" s="194"/>
      <c r="AB38" s="91"/>
      <c r="AC38" s="91"/>
      <c r="AD38" s="91"/>
      <c r="AE38" s="91"/>
    </row>
    <row r="39" spans="1:44" x14ac:dyDescent="0.25">
      <c r="A39" s="156">
        <v>16</v>
      </c>
      <c r="B39" s="34">
        <v>7</v>
      </c>
      <c r="C39" s="5" t="s">
        <v>8</v>
      </c>
      <c r="D39" s="34">
        <v>1</v>
      </c>
      <c r="E39" s="5" t="s">
        <v>35</v>
      </c>
      <c r="F39" s="34">
        <v>1</v>
      </c>
      <c r="G39" s="35">
        <v>2.19</v>
      </c>
      <c r="H39" s="62"/>
      <c r="I39" s="62"/>
      <c r="J39" s="62"/>
      <c r="K39" s="62"/>
      <c r="R39" s="193"/>
      <c r="S39" s="193"/>
      <c r="V39" s="6"/>
      <c r="W39" s="6"/>
      <c r="X39" s="6"/>
      <c r="Y39" s="6"/>
      <c r="Z39" s="6"/>
      <c r="AB39" s="91"/>
      <c r="AC39" s="91"/>
      <c r="AD39" s="91"/>
      <c r="AE39" s="91"/>
    </row>
    <row r="40" spans="1:44" x14ac:dyDescent="0.25">
      <c r="A40" s="156">
        <v>17</v>
      </c>
      <c r="B40" s="34">
        <v>2</v>
      </c>
      <c r="C40" s="5" t="s">
        <v>3</v>
      </c>
      <c r="D40" s="34">
        <v>1</v>
      </c>
      <c r="E40" s="5" t="s">
        <v>31</v>
      </c>
      <c r="F40" s="34">
        <v>3</v>
      </c>
      <c r="G40" s="35">
        <v>0.04</v>
      </c>
      <c r="H40" s="62"/>
      <c r="I40" s="62"/>
      <c r="J40" s="62"/>
      <c r="K40" s="62"/>
      <c r="T40" s="14"/>
      <c r="U40" s="62"/>
      <c r="V40" s="62"/>
      <c r="W40" s="62"/>
      <c r="X40" s="62"/>
      <c r="Y40" s="62"/>
      <c r="Z40" s="62"/>
    </row>
    <row r="41" spans="1:44" x14ac:dyDescent="0.25">
      <c r="A41" s="156">
        <v>17</v>
      </c>
      <c r="B41" s="34">
        <v>4</v>
      </c>
      <c r="C41" s="5" t="s">
        <v>5</v>
      </c>
      <c r="D41" s="34">
        <v>1</v>
      </c>
      <c r="E41" s="5" t="s">
        <v>31</v>
      </c>
      <c r="F41" s="34">
        <v>3</v>
      </c>
      <c r="G41" s="35">
        <v>0.04</v>
      </c>
      <c r="H41" s="62"/>
      <c r="I41" s="62"/>
      <c r="J41" s="62"/>
      <c r="K41" s="62"/>
      <c r="T41" s="62"/>
      <c r="U41" s="62"/>
      <c r="V41" s="62"/>
      <c r="Y41" s="62"/>
      <c r="Z41" s="62"/>
      <c r="AA41" s="62"/>
      <c r="AB41" s="62"/>
      <c r="AC41" s="62"/>
      <c r="AD41" s="62"/>
      <c r="AE41" s="62"/>
    </row>
    <row r="42" spans="1:44" x14ac:dyDescent="0.25">
      <c r="A42" s="156">
        <v>17</v>
      </c>
      <c r="B42" s="34">
        <v>8</v>
      </c>
      <c r="C42" s="5" t="s">
        <v>9</v>
      </c>
      <c r="D42" s="34">
        <v>1</v>
      </c>
      <c r="E42" s="5" t="s">
        <v>31</v>
      </c>
      <c r="F42" s="34">
        <v>3</v>
      </c>
      <c r="G42" s="35">
        <v>0.04</v>
      </c>
      <c r="H42" s="62"/>
      <c r="I42" s="62"/>
      <c r="J42" s="62"/>
      <c r="K42" s="62"/>
      <c r="Y42" s="62"/>
      <c r="Z42" s="62"/>
      <c r="AB42" s="195"/>
      <c r="AC42" s="196"/>
    </row>
    <row r="43" spans="1:44" x14ac:dyDescent="0.25">
      <c r="A43" s="156">
        <v>17</v>
      </c>
      <c r="B43" s="34">
        <v>9</v>
      </c>
      <c r="C43" s="5" t="s">
        <v>10</v>
      </c>
      <c r="D43" s="34">
        <v>1</v>
      </c>
      <c r="E43" s="5" t="s">
        <v>31</v>
      </c>
      <c r="F43" s="34">
        <v>3</v>
      </c>
      <c r="G43" s="35">
        <v>0.04</v>
      </c>
      <c r="H43" s="62"/>
      <c r="I43" s="62"/>
      <c r="J43" s="62"/>
      <c r="K43" s="62"/>
      <c r="Y43" s="62"/>
      <c r="Z43" s="62"/>
      <c r="AB43" s="195"/>
      <c r="AC43" s="196"/>
    </row>
    <row r="44" spans="1:44" x14ac:dyDescent="0.25">
      <c r="A44" s="156">
        <v>18</v>
      </c>
      <c r="B44" s="34">
        <v>36</v>
      </c>
      <c r="C44" s="5" t="s">
        <v>26</v>
      </c>
      <c r="D44" s="34">
        <v>3</v>
      </c>
      <c r="E44" s="5" t="s">
        <v>52</v>
      </c>
      <c r="F44" s="34">
        <v>1</v>
      </c>
      <c r="G44" s="35">
        <v>0.36</v>
      </c>
      <c r="H44" s="62"/>
      <c r="I44" s="62"/>
      <c r="J44" s="62"/>
      <c r="K44" s="62"/>
      <c r="Y44" s="62"/>
      <c r="Z44" s="62"/>
      <c r="AB44" s="94"/>
      <c r="AC44" s="196"/>
    </row>
    <row r="45" spans="1:44" x14ac:dyDescent="0.25">
      <c r="A45" s="156">
        <v>18</v>
      </c>
      <c r="B45" s="34">
        <v>37</v>
      </c>
      <c r="C45" s="5" t="s">
        <v>27</v>
      </c>
      <c r="D45" s="34">
        <v>3</v>
      </c>
      <c r="E45" s="5" t="s">
        <v>52</v>
      </c>
      <c r="F45" s="34">
        <v>1</v>
      </c>
      <c r="G45" s="35">
        <v>0.36</v>
      </c>
      <c r="H45" s="62"/>
      <c r="I45" s="62"/>
      <c r="J45" s="62"/>
      <c r="K45" s="62"/>
      <c r="Y45" s="62"/>
      <c r="Z45" s="62"/>
      <c r="AB45" s="94"/>
    </row>
    <row r="46" spans="1:44" x14ac:dyDescent="0.25">
      <c r="A46" s="156">
        <v>19</v>
      </c>
      <c r="B46" s="34">
        <v>15</v>
      </c>
      <c r="C46" s="5" t="s">
        <v>13</v>
      </c>
      <c r="D46" s="34">
        <v>2</v>
      </c>
      <c r="E46" s="5" t="s">
        <v>40</v>
      </c>
      <c r="F46" s="34">
        <v>3</v>
      </c>
      <c r="G46" s="35">
        <v>0.04</v>
      </c>
      <c r="H46" s="62"/>
      <c r="I46" s="62"/>
      <c r="J46" s="62"/>
      <c r="K46" s="62"/>
      <c r="Y46" s="62"/>
      <c r="Z46" s="62"/>
      <c r="AB46" s="94"/>
    </row>
    <row r="47" spans="1:44" x14ac:dyDescent="0.25">
      <c r="A47" s="156">
        <v>19</v>
      </c>
      <c r="B47" s="34">
        <v>16</v>
      </c>
      <c r="C47" s="5" t="s">
        <v>14</v>
      </c>
      <c r="D47" s="34">
        <v>2</v>
      </c>
      <c r="E47" s="5" t="s">
        <v>40</v>
      </c>
      <c r="F47" s="34">
        <v>3</v>
      </c>
      <c r="G47" s="35">
        <v>0.04</v>
      </c>
      <c r="H47" s="62"/>
      <c r="I47" s="62"/>
      <c r="J47" s="62"/>
      <c r="K47" s="62"/>
      <c r="Y47" s="62"/>
      <c r="Z47" s="62"/>
      <c r="AB47" s="94"/>
    </row>
    <row r="48" spans="1:44" x14ac:dyDescent="0.25">
      <c r="A48" s="156">
        <v>19</v>
      </c>
      <c r="B48" s="34">
        <v>17</v>
      </c>
      <c r="C48" s="5" t="s">
        <v>15</v>
      </c>
      <c r="D48" s="34">
        <v>2</v>
      </c>
      <c r="E48" s="5" t="s">
        <v>40</v>
      </c>
      <c r="F48" s="34">
        <v>3</v>
      </c>
      <c r="G48" s="35">
        <v>0.04</v>
      </c>
      <c r="H48" s="62"/>
      <c r="I48" s="62"/>
      <c r="J48" s="62"/>
      <c r="K48" s="62"/>
      <c r="Y48" s="62"/>
      <c r="Z48" s="62"/>
      <c r="AB48" s="94"/>
    </row>
    <row r="49" spans="1:29" x14ac:dyDescent="0.25">
      <c r="A49" s="156">
        <v>19</v>
      </c>
      <c r="B49" s="34">
        <v>18</v>
      </c>
      <c r="C49" s="5" t="s">
        <v>16</v>
      </c>
      <c r="D49" s="34">
        <v>2</v>
      </c>
      <c r="E49" s="5" t="s">
        <v>40</v>
      </c>
      <c r="F49" s="34">
        <v>3</v>
      </c>
      <c r="G49" s="35">
        <v>0.04</v>
      </c>
      <c r="H49" s="62"/>
      <c r="I49" s="62"/>
      <c r="J49" s="62"/>
      <c r="K49" s="62"/>
      <c r="Y49" s="62"/>
      <c r="Z49" s="62"/>
    </row>
    <row r="50" spans="1:29" x14ac:dyDescent="0.25">
      <c r="A50" s="156">
        <v>20</v>
      </c>
      <c r="B50" s="34">
        <v>6</v>
      </c>
      <c r="C50" s="5" t="s">
        <v>7</v>
      </c>
      <c r="D50" s="34">
        <v>1</v>
      </c>
      <c r="E50" s="5" t="s">
        <v>34</v>
      </c>
      <c r="F50" s="34">
        <v>2</v>
      </c>
      <c r="G50" s="35">
        <v>0.04</v>
      </c>
      <c r="H50" s="62"/>
      <c r="I50" s="62"/>
      <c r="J50" s="62"/>
      <c r="K50" s="62"/>
      <c r="Y50" s="62"/>
      <c r="Z50" s="62"/>
    </row>
    <row r="51" spans="1:29" x14ac:dyDescent="0.25">
      <c r="A51" s="156">
        <v>20</v>
      </c>
      <c r="B51" s="34">
        <v>11</v>
      </c>
      <c r="C51" s="5" t="s">
        <v>7</v>
      </c>
      <c r="D51" s="34">
        <v>2</v>
      </c>
      <c r="E51" s="5" t="s">
        <v>34</v>
      </c>
      <c r="F51" s="34">
        <v>2</v>
      </c>
      <c r="G51" s="35">
        <v>0.04</v>
      </c>
      <c r="H51" s="62"/>
      <c r="I51" s="62"/>
      <c r="J51" s="62"/>
      <c r="K51" s="62"/>
      <c r="Y51" s="62"/>
      <c r="Z51" s="62"/>
    </row>
    <row r="52" spans="1:29" x14ac:dyDescent="0.25">
      <c r="A52" s="156">
        <v>21</v>
      </c>
      <c r="B52" s="34">
        <v>38</v>
      </c>
      <c r="C52" s="5" t="s">
        <v>66</v>
      </c>
      <c r="D52" s="34">
        <v>3</v>
      </c>
      <c r="E52" s="5" t="s">
        <v>55</v>
      </c>
      <c r="F52" s="34">
        <v>1</v>
      </c>
      <c r="G52" s="35">
        <v>0.36</v>
      </c>
      <c r="H52" s="62"/>
      <c r="I52" s="62"/>
      <c r="J52" s="62"/>
      <c r="K52" s="62"/>
    </row>
    <row r="53" spans="1:29" x14ac:dyDescent="0.25">
      <c r="A53" s="156">
        <v>21</v>
      </c>
      <c r="B53" s="34">
        <v>39</v>
      </c>
      <c r="C53" s="5" t="s">
        <v>67</v>
      </c>
      <c r="D53" s="34">
        <v>3</v>
      </c>
      <c r="E53" s="5" t="s">
        <v>55</v>
      </c>
      <c r="F53" s="34">
        <v>1</v>
      </c>
      <c r="G53" s="35">
        <v>0.36</v>
      </c>
      <c r="H53" s="62"/>
      <c r="I53" s="62"/>
      <c r="J53" s="62"/>
      <c r="K53" s="62"/>
    </row>
    <row r="54" spans="1:29" x14ac:dyDescent="0.25">
      <c r="A54" s="156">
        <v>22</v>
      </c>
      <c r="B54" s="34">
        <v>1</v>
      </c>
      <c r="C54" s="5" t="s">
        <v>2</v>
      </c>
      <c r="D54" s="34">
        <v>1</v>
      </c>
      <c r="E54" s="5" t="s">
        <v>30</v>
      </c>
      <c r="F54" s="34">
        <v>1</v>
      </c>
      <c r="G54" s="35">
        <v>2.04</v>
      </c>
      <c r="H54" s="62"/>
      <c r="I54" s="62"/>
      <c r="J54" s="62"/>
      <c r="K54" s="62"/>
    </row>
    <row r="55" spans="1:29" ht="15" customHeight="1" x14ac:dyDescent="0.25">
      <c r="A55" s="156">
        <v>22</v>
      </c>
      <c r="B55" s="34">
        <v>3</v>
      </c>
      <c r="C55" s="5" t="s">
        <v>4</v>
      </c>
      <c r="D55" s="34">
        <v>1</v>
      </c>
      <c r="E55" s="5" t="s">
        <v>30</v>
      </c>
      <c r="F55" s="34">
        <v>1</v>
      </c>
      <c r="G55" s="35">
        <v>2.04</v>
      </c>
      <c r="H55" s="62"/>
      <c r="I55" s="62"/>
      <c r="J55" s="62"/>
      <c r="K55" s="62"/>
      <c r="Y55" s="194"/>
      <c r="Z55" s="194"/>
    </row>
    <row r="56" spans="1:29" ht="15.75" customHeight="1" x14ac:dyDescent="0.25">
      <c r="A56" s="156">
        <v>23</v>
      </c>
      <c r="B56" s="34">
        <v>5</v>
      </c>
      <c r="C56" s="5" t="s">
        <v>6</v>
      </c>
      <c r="D56" s="34">
        <v>1</v>
      </c>
      <c r="E56" s="5" t="s">
        <v>32</v>
      </c>
      <c r="F56" s="34">
        <v>1</v>
      </c>
      <c r="G56" s="35">
        <v>2.2599999999999998</v>
      </c>
      <c r="H56" s="62"/>
      <c r="I56" s="62"/>
      <c r="J56" s="62"/>
      <c r="K56" s="62"/>
      <c r="Y56" s="194"/>
      <c r="Z56" s="194"/>
    </row>
    <row r="57" spans="1:29" x14ac:dyDescent="0.25">
      <c r="A57" s="156">
        <v>23</v>
      </c>
      <c r="B57" s="34">
        <v>10</v>
      </c>
      <c r="C57" s="5" t="s">
        <v>72</v>
      </c>
      <c r="D57" s="34">
        <v>1</v>
      </c>
      <c r="E57" s="5" t="s">
        <v>32</v>
      </c>
      <c r="F57" s="34">
        <v>1</v>
      </c>
      <c r="G57" s="35">
        <v>2.2599999999999998</v>
      </c>
      <c r="H57" s="62"/>
      <c r="I57" s="62"/>
      <c r="J57" s="62"/>
      <c r="K57" s="62"/>
      <c r="Y57" s="6"/>
      <c r="Z57" s="6"/>
    </row>
    <row r="58" spans="1:29" x14ac:dyDescent="0.25">
      <c r="A58" s="156">
        <v>24</v>
      </c>
      <c r="B58" s="34">
        <v>13</v>
      </c>
      <c r="C58" s="5" t="s">
        <v>11</v>
      </c>
      <c r="D58" s="34">
        <v>2</v>
      </c>
      <c r="E58" s="5" t="s">
        <v>36</v>
      </c>
      <c r="F58" s="34">
        <v>3</v>
      </c>
      <c r="G58" s="35">
        <v>0.55000000000000004</v>
      </c>
      <c r="H58" s="62"/>
      <c r="I58" s="62"/>
      <c r="J58" s="62"/>
      <c r="K58" s="62"/>
      <c r="Y58" s="62"/>
      <c r="Z58" s="62"/>
      <c r="AB58" s="14"/>
      <c r="AC58" s="14"/>
    </row>
    <row r="59" spans="1:29" x14ac:dyDescent="0.25">
      <c r="A59" s="156">
        <v>25</v>
      </c>
      <c r="B59" s="34">
        <v>15</v>
      </c>
      <c r="C59" s="5" t="s">
        <v>13</v>
      </c>
      <c r="D59" s="34">
        <v>2</v>
      </c>
      <c r="E59" s="5" t="s">
        <v>39</v>
      </c>
      <c r="F59" s="34">
        <v>3</v>
      </c>
      <c r="G59" s="35">
        <v>0.04</v>
      </c>
      <c r="H59" s="62"/>
      <c r="I59" s="62"/>
      <c r="J59" s="62"/>
      <c r="K59" s="62"/>
      <c r="Y59" s="71"/>
      <c r="Z59" s="71"/>
      <c r="AB59" s="71"/>
      <c r="AC59" s="110"/>
    </row>
    <row r="60" spans="1:29" x14ac:dyDescent="0.25">
      <c r="A60" s="156">
        <v>25</v>
      </c>
      <c r="B60" s="34">
        <v>16</v>
      </c>
      <c r="C60" s="5" t="s">
        <v>14</v>
      </c>
      <c r="D60" s="34">
        <v>2</v>
      </c>
      <c r="E60" s="5" t="s">
        <v>39</v>
      </c>
      <c r="F60" s="34">
        <v>3</v>
      </c>
      <c r="G60" s="35">
        <v>0.04</v>
      </c>
      <c r="H60" s="62"/>
      <c r="I60" s="62"/>
      <c r="J60" s="62"/>
      <c r="K60" s="62"/>
      <c r="Y60" s="71"/>
      <c r="Z60" s="71"/>
      <c r="AB60" s="71"/>
      <c r="AC60" s="110"/>
    </row>
    <row r="61" spans="1:29" x14ac:dyDescent="0.25">
      <c r="A61" s="156">
        <v>25</v>
      </c>
      <c r="B61" s="34">
        <v>17</v>
      </c>
      <c r="C61" s="5" t="s">
        <v>15</v>
      </c>
      <c r="D61" s="34">
        <v>2</v>
      </c>
      <c r="E61" s="5" t="s">
        <v>39</v>
      </c>
      <c r="F61" s="34">
        <v>3</v>
      </c>
      <c r="G61" s="35">
        <v>0.04</v>
      </c>
      <c r="H61" s="62"/>
      <c r="I61" s="62"/>
      <c r="J61" s="62"/>
      <c r="K61" s="62"/>
      <c r="Y61" s="71"/>
      <c r="Z61" s="71"/>
      <c r="AB61" s="71"/>
      <c r="AC61" s="110"/>
    </row>
    <row r="62" spans="1:29" x14ac:dyDescent="0.25">
      <c r="A62" s="156">
        <v>25</v>
      </c>
      <c r="B62" s="34">
        <v>18</v>
      </c>
      <c r="C62" s="5" t="s">
        <v>16</v>
      </c>
      <c r="D62" s="34">
        <v>2</v>
      </c>
      <c r="E62" s="5" t="s">
        <v>39</v>
      </c>
      <c r="F62" s="34">
        <v>3</v>
      </c>
      <c r="G62" s="35">
        <v>0.04</v>
      </c>
      <c r="H62" s="62"/>
      <c r="I62" s="62"/>
      <c r="J62" s="62"/>
      <c r="K62" s="62"/>
      <c r="Y62" s="71"/>
      <c r="Z62" s="71"/>
      <c r="AB62" s="71"/>
      <c r="AC62" s="110"/>
    </row>
    <row r="63" spans="1:29" x14ac:dyDescent="0.25">
      <c r="A63" s="156">
        <v>26</v>
      </c>
      <c r="B63" s="34">
        <v>36</v>
      </c>
      <c r="C63" s="5" t="s">
        <v>26</v>
      </c>
      <c r="D63" s="34">
        <v>3</v>
      </c>
      <c r="E63" s="5" t="s">
        <v>53</v>
      </c>
      <c r="F63" s="34">
        <v>2</v>
      </c>
      <c r="G63" s="35">
        <v>0.04</v>
      </c>
      <c r="H63" s="62"/>
      <c r="I63" s="62"/>
      <c r="J63" s="62"/>
      <c r="K63" s="62"/>
      <c r="Y63" s="71"/>
      <c r="Z63" s="71"/>
      <c r="AB63" s="71"/>
      <c r="AC63" s="110"/>
    </row>
    <row r="64" spans="1:29" x14ac:dyDescent="0.25">
      <c r="A64" s="156">
        <v>26</v>
      </c>
      <c r="B64" s="34">
        <v>37</v>
      </c>
      <c r="C64" s="5" t="s">
        <v>27</v>
      </c>
      <c r="D64" s="34">
        <v>3</v>
      </c>
      <c r="E64" s="5" t="s">
        <v>53</v>
      </c>
      <c r="F64" s="34">
        <v>2</v>
      </c>
      <c r="G64" s="35">
        <v>0.04</v>
      </c>
      <c r="H64" s="62"/>
      <c r="I64" s="62"/>
      <c r="J64" s="62"/>
      <c r="K64" s="62"/>
      <c r="Y64" s="71"/>
      <c r="Z64" s="71"/>
      <c r="AB64" s="71"/>
      <c r="AC64" s="110"/>
    </row>
    <row r="65" spans="1:29" x14ac:dyDescent="0.25">
      <c r="A65" s="156">
        <v>27</v>
      </c>
      <c r="B65" s="34">
        <v>38</v>
      </c>
      <c r="C65" s="5" t="s">
        <v>66</v>
      </c>
      <c r="D65" s="34">
        <v>3</v>
      </c>
      <c r="E65" s="5" t="s">
        <v>56</v>
      </c>
      <c r="F65" s="34">
        <v>2</v>
      </c>
      <c r="G65" s="35">
        <v>0.04</v>
      </c>
      <c r="H65" s="62"/>
      <c r="I65" s="62"/>
      <c r="J65" s="62"/>
      <c r="K65" s="62"/>
      <c r="Y65" s="71"/>
      <c r="Z65" s="71"/>
      <c r="AB65" s="71"/>
      <c r="AC65" s="110"/>
    </row>
    <row r="66" spans="1:29" x14ac:dyDescent="0.25">
      <c r="A66" s="156">
        <v>27</v>
      </c>
      <c r="B66" s="34">
        <v>39</v>
      </c>
      <c r="C66" s="5" t="s">
        <v>67</v>
      </c>
      <c r="D66" s="34">
        <v>3</v>
      </c>
      <c r="E66" s="5" t="s">
        <v>56</v>
      </c>
      <c r="F66" s="34">
        <v>2</v>
      </c>
      <c r="G66" s="35">
        <v>0.04</v>
      </c>
      <c r="H66" s="62"/>
      <c r="I66" s="62"/>
      <c r="J66" s="62"/>
      <c r="K66" s="62"/>
      <c r="Y66" s="71"/>
      <c r="Z66" s="71"/>
      <c r="AB66" s="71"/>
      <c r="AC66" s="110"/>
    </row>
    <row r="67" spans="1:29" x14ac:dyDescent="0.25">
      <c r="A67" s="156">
        <v>28</v>
      </c>
      <c r="B67" s="34">
        <v>6</v>
      </c>
      <c r="C67" s="5" t="s">
        <v>7</v>
      </c>
      <c r="D67" s="34">
        <v>1</v>
      </c>
      <c r="E67" s="5" t="s">
        <v>33</v>
      </c>
      <c r="F67" s="34">
        <v>2</v>
      </c>
      <c r="G67" s="35">
        <v>0.04</v>
      </c>
      <c r="Y67" s="71"/>
      <c r="Z67" s="71"/>
      <c r="AB67" s="71"/>
      <c r="AC67" s="110"/>
    </row>
    <row r="68" spans="1:29" ht="15.75" thickBot="1" x14ac:dyDescent="0.3">
      <c r="A68" s="178">
        <v>28</v>
      </c>
      <c r="B68" s="44">
        <v>11</v>
      </c>
      <c r="C68" s="197" t="s">
        <v>7</v>
      </c>
      <c r="D68" s="44">
        <v>2</v>
      </c>
      <c r="E68" s="197" t="s">
        <v>33</v>
      </c>
      <c r="F68" s="44">
        <v>2</v>
      </c>
      <c r="G68" s="45">
        <v>0.04</v>
      </c>
      <c r="Y68" s="71"/>
      <c r="Z68" s="71"/>
      <c r="AB68" s="71"/>
      <c r="AC68" s="110"/>
    </row>
    <row r="69" spans="1:29" x14ac:dyDescent="0.25">
      <c r="Y69" s="71"/>
      <c r="Z69" s="71"/>
      <c r="AB69" s="71"/>
      <c r="AC69" s="110"/>
    </row>
    <row r="71" spans="1:29" x14ac:dyDescent="0.25">
      <c r="Y71" s="71"/>
      <c r="Z71" s="71"/>
    </row>
    <row r="72" spans="1:29" x14ac:dyDescent="0.25">
      <c r="Y72" s="110"/>
      <c r="Z72" s="110"/>
      <c r="AB72" s="198"/>
      <c r="AC72" s="110"/>
    </row>
    <row r="74" spans="1:29" x14ac:dyDescent="0.25">
      <c r="M74" s="6"/>
      <c r="N74" s="6"/>
      <c r="O74" s="6"/>
      <c r="P74" s="6"/>
    </row>
    <row r="75" spans="1:29" ht="15" customHeight="1" x14ac:dyDescent="0.25">
      <c r="T75" s="13"/>
    </row>
    <row r="76" spans="1:29" ht="15" customHeight="1" x14ac:dyDescent="0.25">
      <c r="N76" s="229"/>
      <c r="O76" s="229"/>
      <c r="P76" s="229"/>
      <c r="T76" s="13"/>
    </row>
    <row r="77" spans="1:29" ht="15.75" customHeight="1" x14ac:dyDescent="0.25">
      <c r="B77" s="14"/>
      <c r="M77" s="14"/>
      <c r="N77" s="62"/>
      <c r="O77" s="62"/>
      <c r="P77" s="62"/>
    </row>
    <row r="78" spans="1:29" ht="15.75" customHeight="1" x14ac:dyDescent="0.25"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199"/>
      <c r="O78" s="199"/>
      <c r="P78" s="199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</row>
    <row r="79" spans="1:29" ht="15" customHeight="1" x14ac:dyDescent="0.25"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62"/>
      <c r="N79" s="199"/>
      <c r="O79" s="199"/>
      <c r="P79" s="199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</row>
    <row r="80" spans="1:29" ht="15" customHeight="1" x14ac:dyDescent="0.25"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62"/>
      <c r="N80" s="199"/>
      <c r="O80" s="199"/>
      <c r="P80" s="199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</row>
    <row r="81" spans="2:29" ht="15" customHeight="1" x14ac:dyDescent="0.25"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62"/>
      <c r="N81" s="199"/>
      <c r="O81" s="199"/>
      <c r="P81" s="199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</row>
    <row r="82" spans="2:29" ht="15" customHeight="1" x14ac:dyDescent="0.25"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62"/>
      <c r="N82" s="199"/>
      <c r="O82" s="199"/>
      <c r="P82" s="199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</row>
    <row r="83" spans="2:29" ht="15" customHeight="1" x14ac:dyDescent="0.25"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62"/>
      <c r="N83" s="199"/>
      <c r="O83" s="199"/>
      <c r="P83" s="199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</row>
    <row r="84" spans="2:29" ht="15" customHeight="1" x14ac:dyDescent="0.25"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62"/>
      <c r="N84" s="199"/>
      <c r="O84" s="199"/>
      <c r="P84" s="199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</row>
    <row r="85" spans="2:29" ht="15" customHeight="1" x14ac:dyDescent="0.25"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62"/>
      <c r="N85" s="199"/>
      <c r="O85" s="199"/>
      <c r="P85" s="199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</row>
    <row r="86" spans="2:29" ht="15" customHeight="1" x14ac:dyDescent="0.25"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200"/>
      <c r="N86" s="201"/>
      <c r="O86" s="201"/>
      <c r="P86" s="20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</row>
    <row r="87" spans="2:29" ht="15" customHeight="1" x14ac:dyDescent="0.25"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200"/>
      <c r="N87" s="201"/>
      <c r="O87" s="201"/>
      <c r="P87" s="20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</row>
    <row r="88" spans="2:29" ht="15" customHeight="1" x14ac:dyDescent="0.25"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62"/>
      <c r="N88" s="199"/>
      <c r="O88" s="199"/>
      <c r="P88" s="199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</row>
    <row r="89" spans="2:29" ht="15" customHeight="1" x14ac:dyDescent="0.25"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62"/>
      <c r="N89" s="199"/>
      <c r="O89" s="199"/>
      <c r="P89" s="199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</row>
    <row r="90" spans="2:29" ht="15" customHeight="1" x14ac:dyDescent="0.25"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62"/>
      <c r="N90" s="199"/>
      <c r="O90" s="199"/>
      <c r="P90" s="199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</row>
    <row r="91" spans="2:29" ht="15" customHeight="1" x14ac:dyDescent="0.25"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62"/>
      <c r="N91" s="199"/>
      <c r="O91" s="199"/>
      <c r="P91" s="199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</row>
    <row r="92" spans="2:29" ht="15" customHeight="1" x14ac:dyDescent="0.25"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62"/>
      <c r="N92" s="199"/>
      <c r="O92" s="199"/>
      <c r="P92" s="199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</row>
    <row r="93" spans="2:29" ht="15" customHeight="1" x14ac:dyDescent="0.25"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62"/>
      <c r="N93" s="199"/>
      <c r="O93" s="199"/>
      <c r="P93" s="199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</row>
    <row r="94" spans="2:29" ht="15" customHeight="1" x14ac:dyDescent="0.25"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62"/>
      <c r="N94" s="199"/>
      <c r="O94" s="199"/>
      <c r="P94" s="199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</row>
    <row r="95" spans="2:29" ht="15" customHeight="1" x14ac:dyDescent="0.25"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62"/>
      <c r="N95" s="199"/>
      <c r="O95" s="199"/>
      <c r="P95" s="199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</row>
    <row r="96" spans="2:29" ht="15" customHeight="1" x14ac:dyDescent="0.25"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62"/>
      <c r="N96" s="199"/>
      <c r="O96" s="199"/>
      <c r="P96" s="199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</row>
    <row r="97" spans="2:29" ht="15" customHeight="1" x14ac:dyDescent="0.25"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200"/>
      <c r="N97" s="201"/>
      <c r="O97" s="201"/>
      <c r="P97" s="20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</row>
    <row r="98" spans="2:29" ht="15" customHeight="1" x14ac:dyDescent="0.25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62"/>
      <c r="N98" s="199"/>
      <c r="O98" s="199"/>
      <c r="P98" s="199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</row>
    <row r="99" spans="2:29" ht="15" customHeight="1" x14ac:dyDescent="0.25"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62"/>
      <c r="N99" s="199"/>
      <c r="O99" s="199"/>
      <c r="P99" s="199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</row>
    <row r="100" spans="2:29" ht="15" customHeight="1" x14ac:dyDescent="0.25"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62"/>
      <c r="N100" s="199"/>
      <c r="O100" s="199"/>
      <c r="P100" s="199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</row>
    <row r="101" spans="2:29" ht="15" customHeight="1" x14ac:dyDescent="0.25"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62"/>
      <c r="N101" s="199"/>
      <c r="O101" s="199"/>
      <c r="P101" s="199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</row>
    <row r="102" spans="2:29" ht="15" customHeight="1" x14ac:dyDescent="0.25"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62"/>
      <c r="N102" s="199"/>
      <c r="O102" s="199"/>
      <c r="P102" s="199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</row>
    <row r="103" spans="2:29" ht="15" customHeight="1" x14ac:dyDescent="0.25"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62"/>
      <c r="N103" s="199"/>
      <c r="O103" s="199"/>
      <c r="P103" s="199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</row>
    <row r="104" spans="2:29" ht="15" customHeight="1" x14ac:dyDescent="0.25"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62"/>
      <c r="N104" s="199"/>
      <c r="O104" s="199"/>
      <c r="P104" s="199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</row>
    <row r="105" spans="2:29" ht="15.75" customHeight="1" x14ac:dyDescent="0.25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200"/>
      <c r="N105" s="201"/>
      <c r="O105" s="201"/>
      <c r="P105" s="20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</row>
    <row r="106" spans="2:29" ht="15" customHeight="1" x14ac:dyDescent="0.25"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</row>
    <row r="107" spans="2:29" ht="15.75" customHeight="1" x14ac:dyDescent="0.25"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14"/>
      <c r="N107" s="188"/>
      <c r="O107" s="188"/>
      <c r="P107" s="188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</row>
    <row r="108" spans="2:29" ht="15" customHeight="1" x14ac:dyDescent="0.25"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</row>
    <row r="109" spans="2:29" ht="15" customHeight="1" x14ac:dyDescent="0.25"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</row>
    <row r="110" spans="2:29" ht="15" customHeight="1" x14ac:dyDescent="0.25"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</row>
    <row r="111" spans="2:29" ht="15" customHeight="1" x14ac:dyDescent="0.25"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</row>
    <row r="112" spans="2:29" ht="15" customHeight="1" x14ac:dyDescent="0.25"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</row>
    <row r="113" spans="2:29" ht="15" customHeight="1" x14ac:dyDescent="0.25"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</row>
    <row r="114" spans="2:29" ht="15" customHeight="1" x14ac:dyDescent="0.25"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</row>
    <row r="115" spans="2:29" ht="15" customHeight="1" x14ac:dyDescent="0.25"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</row>
    <row r="116" spans="2:29" ht="15" customHeight="1" x14ac:dyDescent="0.25"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</row>
    <row r="117" spans="2:29" ht="15" customHeight="1" x14ac:dyDescent="0.25"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</row>
    <row r="118" spans="2:29" ht="15" customHeight="1" x14ac:dyDescent="0.25"/>
    <row r="119" spans="2:29" ht="15" customHeight="1" x14ac:dyDescent="0.25"/>
    <row r="120" spans="2:29" ht="15" customHeight="1" x14ac:dyDescent="0.25">
      <c r="B120" s="14"/>
    </row>
    <row r="121" spans="2:29" ht="15.75" customHeight="1" x14ac:dyDescent="0.25"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</row>
    <row r="122" spans="2:29" ht="15" customHeight="1" x14ac:dyDescent="0.25">
      <c r="B122" s="202"/>
      <c r="C122" s="202"/>
      <c r="D122" s="202"/>
      <c r="E122" s="202"/>
      <c r="F122" s="202"/>
      <c r="G122" s="202"/>
      <c r="H122" s="202"/>
      <c r="I122" s="202"/>
      <c r="J122" s="202"/>
      <c r="K122" s="202"/>
      <c r="L122" s="202"/>
      <c r="M122" s="202"/>
      <c r="N122" s="202"/>
      <c r="O122" s="202"/>
      <c r="P122" s="202"/>
      <c r="Q122" s="202"/>
      <c r="R122" s="202"/>
      <c r="S122" s="202"/>
      <c r="T122" s="202"/>
      <c r="U122" s="202"/>
      <c r="V122" s="202"/>
      <c r="W122" s="202"/>
      <c r="X122" s="202"/>
      <c r="Y122" s="202"/>
      <c r="Z122" s="202"/>
      <c r="AA122" s="202"/>
      <c r="AB122" s="202"/>
      <c r="AC122" s="202"/>
    </row>
    <row r="123" spans="2:29" ht="15" customHeight="1" x14ac:dyDescent="0.25">
      <c r="B123" s="202"/>
      <c r="C123" s="202"/>
      <c r="D123" s="202"/>
      <c r="E123" s="202"/>
      <c r="F123" s="202"/>
      <c r="G123" s="202"/>
      <c r="H123" s="202"/>
      <c r="I123" s="202"/>
      <c r="J123" s="202"/>
      <c r="K123" s="202"/>
      <c r="L123" s="202"/>
      <c r="M123" s="202"/>
      <c r="N123" s="202"/>
      <c r="O123" s="202"/>
      <c r="P123" s="202"/>
      <c r="Q123" s="202"/>
      <c r="R123" s="202"/>
      <c r="S123" s="202"/>
      <c r="T123" s="202"/>
      <c r="U123" s="202"/>
      <c r="V123" s="202"/>
      <c r="W123" s="202"/>
      <c r="X123" s="202"/>
      <c r="Y123" s="202"/>
      <c r="Z123" s="202"/>
      <c r="AA123" s="202"/>
      <c r="AB123" s="202"/>
      <c r="AC123" s="202"/>
    </row>
    <row r="124" spans="2:29" ht="15" customHeight="1" x14ac:dyDescent="0.25">
      <c r="B124" s="202"/>
      <c r="C124" s="202"/>
      <c r="D124" s="202"/>
      <c r="E124" s="202"/>
      <c r="F124" s="202"/>
      <c r="G124" s="202"/>
      <c r="H124" s="202"/>
      <c r="I124" s="202"/>
      <c r="J124" s="202"/>
      <c r="K124" s="202"/>
      <c r="L124" s="202"/>
      <c r="M124" s="202"/>
      <c r="N124" s="202"/>
      <c r="O124" s="202"/>
      <c r="P124" s="202"/>
      <c r="Q124" s="202"/>
      <c r="R124" s="202"/>
      <c r="S124" s="202"/>
      <c r="T124" s="202"/>
      <c r="U124" s="202"/>
      <c r="V124" s="202"/>
      <c r="W124" s="202"/>
      <c r="X124" s="202"/>
      <c r="Y124" s="202"/>
      <c r="Z124" s="202"/>
      <c r="AA124" s="202"/>
      <c r="AB124" s="202"/>
      <c r="AC124" s="202"/>
    </row>
    <row r="125" spans="2:29" ht="15" customHeight="1" x14ac:dyDescent="0.25">
      <c r="B125" s="202"/>
      <c r="C125" s="202"/>
      <c r="D125" s="202"/>
      <c r="E125" s="202"/>
      <c r="F125" s="202"/>
      <c r="G125" s="202"/>
      <c r="H125" s="202"/>
      <c r="I125" s="202"/>
      <c r="J125" s="202"/>
      <c r="K125" s="202"/>
      <c r="L125" s="202"/>
      <c r="M125" s="202"/>
      <c r="N125" s="202"/>
      <c r="O125" s="202"/>
      <c r="P125" s="202"/>
      <c r="Q125" s="202"/>
      <c r="R125" s="202"/>
      <c r="S125" s="202"/>
      <c r="T125" s="202"/>
      <c r="U125" s="202"/>
      <c r="V125" s="202"/>
      <c r="W125" s="202"/>
      <c r="X125" s="202"/>
      <c r="Y125" s="202"/>
      <c r="Z125" s="202"/>
      <c r="AA125" s="202"/>
      <c r="AB125" s="202"/>
      <c r="AC125" s="202"/>
    </row>
    <row r="126" spans="2:29" ht="15" customHeight="1" x14ac:dyDescent="0.25">
      <c r="B126" s="202"/>
      <c r="C126" s="202"/>
      <c r="D126" s="202"/>
      <c r="E126" s="202"/>
      <c r="F126" s="202"/>
      <c r="G126" s="202"/>
      <c r="H126" s="202"/>
      <c r="I126" s="202"/>
      <c r="J126" s="202"/>
      <c r="K126" s="202"/>
      <c r="L126" s="202"/>
      <c r="M126" s="202"/>
      <c r="N126" s="202"/>
      <c r="O126" s="202"/>
      <c r="P126" s="202"/>
      <c r="Q126" s="202"/>
      <c r="R126" s="202"/>
      <c r="S126" s="202"/>
      <c r="T126" s="202"/>
      <c r="U126" s="202"/>
      <c r="V126" s="202"/>
      <c r="W126" s="202"/>
      <c r="X126" s="202"/>
      <c r="Y126" s="202"/>
      <c r="Z126" s="202"/>
      <c r="AA126" s="202"/>
      <c r="AB126" s="202"/>
      <c r="AC126" s="202"/>
    </row>
    <row r="127" spans="2:29" ht="15" customHeight="1" x14ac:dyDescent="0.25">
      <c r="B127" s="202"/>
      <c r="C127" s="202"/>
      <c r="D127" s="202"/>
      <c r="E127" s="202"/>
      <c r="F127" s="202"/>
      <c r="G127" s="202"/>
      <c r="H127" s="202"/>
      <c r="I127" s="202"/>
      <c r="J127" s="202"/>
      <c r="K127" s="202"/>
      <c r="L127" s="202"/>
      <c r="M127" s="202"/>
      <c r="N127" s="202"/>
      <c r="O127" s="202"/>
      <c r="P127" s="202"/>
      <c r="Q127" s="202"/>
      <c r="R127" s="202"/>
      <c r="S127" s="202"/>
      <c r="T127" s="202"/>
      <c r="U127" s="202"/>
      <c r="V127" s="202"/>
      <c r="W127" s="202"/>
      <c r="X127" s="202"/>
      <c r="Y127" s="202"/>
      <c r="Z127" s="202"/>
      <c r="AA127" s="202"/>
      <c r="AB127" s="202"/>
      <c r="AC127" s="202"/>
    </row>
    <row r="128" spans="2:29" ht="15" customHeight="1" x14ac:dyDescent="0.25">
      <c r="B128" s="202"/>
      <c r="C128" s="202"/>
      <c r="D128" s="202"/>
      <c r="E128" s="202"/>
      <c r="F128" s="202"/>
      <c r="G128" s="202"/>
      <c r="H128" s="202"/>
      <c r="I128" s="202"/>
      <c r="J128" s="202"/>
      <c r="K128" s="202"/>
      <c r="L128" s="202"/>
      <c r="M128" s="202"/>
      <c r="N128" s="202"/>
      <c r="O128" s="202"/>
      <c r="P128" s="202"/>
      <c r="Q128" s="202"/>
      <c r="R128" s="202"/>
      <c r="S128" s="202"/>
      <c r="T128" s="202"/>
      <c r="U128" s="202"/>
      <c r="V128" s="202"/>
      <c r="W128" s="202"/>
      <c r="X128" s="202"/>
      <c r="Y128" s="202"/>
      <c r="Z128" s="202"/>
      <c r="AA128" s="202"/>
      <c r="AB128" s="202"/>
      <c r="AC128" s="202"/>
    </row>
    <row r="129" spans="2:29" ht="15" customHeight="1" x14ac:dyDescent="0.25">
      <c r="B129" s="202"/>
      <c r="C129" s="202"/>
      <c r="D129" s="202"/>
      <c r="E129" s="202"/>
      <c r="F129" s="202"/>
      <c r="G129" s="202"/>
      <c r="H129" s="202"/>
      <c r="I129" s="202"/>
      <c r="J129" s="202"/>
      <c r="K129" s="202"/>
      <c r="L129" s="202"/>
      <c r="M129" s="202"/>
      <c r="N129" s="202"/>
      <c r="O129" s="202"/>
      <c r="P129" s="202"/>
      <c r="Q129" s="202"/>
      <c r="R129" s="202"/>
      <c r="S129" s="202"/>
      <c r="T129" s="202"/>
      <c r="U129" s="202"/>
      <c r="V129" s="202"/>
      <c r="W129" s="202"/>
      <c r="X129" s="202"/>
      <c r="Y129" s="202"/>
      <c r="Z129" s="202"/>
      <c r="AA129" s="202"/>
      <c r="AB129" s="202"/>
      <c r="AC129" s="202"/>
    </row>
    <row r="130" spans="2:29" ht="15" customHeight="1" x14ac:dyDescent="0.25">
      <c r="B130" s="202"/>
      <c r="C130" s="202"/>
      <c r="D130" s="202"/>
      <c r="E130" s="202"/>
      <c r="F130" s="202"/>
      <c r="G130" s="202"/>
      <c r="H130" s="202"/>
      <c r="I130" s="202"/>
      <c r="J130" s="202"/>
      <c r="K130" s="202"/>
      <c r="L130" s="202"/>
      <c r="M130" s="202"/>
      <c r="N130" s="202"/>
      <c r="O130" s="202"/>
      <c r="P130" s="202"/>
      <c r="Q130" s="202"/>
      <c r="R130" s="202"/>
      <c r="S130" s="202"/>
      <c r="T130" s="202"/>
      <c r="U130" s="202"/>
      <c r="V130" s="202"/>
      <c r="W130" s="202"/>
      <c r="X130" s="202"/>
      <c r="Y130" s="202"/>
      <c r="Z130" s="202"/>
      <c r="AA130" s="202"/>
      <c r="AB130" s="202"/>
      <c r="AC130" s="202"/>
    </row>
    <row r="131" spans="2:29" ht="15" customHeight="1" x14ac:dyDescent="0.25">
      <c r="B131" s="202"/>
      <c r="C131" s="202"/>
      <c r="D131" s="202"/>
      <c r="E131" s="202"/>
      <c r="F131" s="202"/>
      <c r="G131" s="202"/>
      <c r="H131" s="202"/>
      <c r="I131" s="202"/>
      <c r="J131" s="202"/>
      <c r="K131" s="202"/>
      <c r="L131" s="202"/>
      <c r="M131" s="202"/>
      <c r="N131" s="202"/>
      <c r="O131" s="202"/>
      <c r="P131" s="202"/>
      <c r="Q131" s="202"/>
      <c r="R131" s="202"/>
      <c r="S131" s="202"/>
      <c r="T131" s="202"/>
      <c r="U131" s="202"/>
      <c r="V131" s="202"/>
      <c r="W131" s="202"/>
      <c r="X131" s="202"/>
      <c r="Y131" s="202"/>
      <c r="Z131" s="202"/>
      <c r="AA131" s="202"/>
      <c r="AB131" s="202"/>
      <c r="AC131" s="202"/>
    </row>
    <row r="132" spans="2:29" ht="15" customHeight="1" x14ac:dyDescent="0.25">
      <c r="B132" s="202"/>
      <c r="C132" s="202"/>
      <c r="D132" s="202"/>
      <c r="E132" s="202"/>
      <c r="F132" s="202"/>
      <c r="G132" s="202"/>
      <c r="H132" s="202"/>
      <c r="I132" s="202"/>
      <c r="J132" s="202"/>
      <c r="K132" s="202"/>
      <c r="L132" s="202"/>
      <c r="M132" s="202"/>
      <c r="N132" s="202"/>
      <c r="O132" s="202"/>
      <c r="P132" s="202"/>
      <c r="Q132" s="202"/>
      <c r="R132" s="202"/>
      <c r="S132" s="202"/>
      <c r="T132" s="202"/>
      <c r="U132" s="202"/>
      <c r="V132" s="202"/>
      <c r="W132" s="202"/>
      <c r="X132" s="202"/>
      <c r="Y132" s="202"/>
      <c r="Z132" s="202"/>
      <c r="AA132" s="202"/>
      <c r="AB132" s="202"/>
      <c r="AC132" s="202"/>
    </row>
    <row r="133" spans="2:29" ht="15" customHeight="1" x14ac:dyDescent="0.25">
      <c r="B133" s="202"/>
      <c r="C133" s="202"/>
      <c r="D133" s="202"/>
      <c r="E133" s="202"/>
      <c r="F133" s="202"/>
      <c r="G133" s="202"/>
      <c r="H133" s="202"/>
      <c r="I133" s="202"/>
      <c r="J133" s="202"/>
      <c r="K133" s="202"/>
      <c r="L133" s="202"/>
      <c r="M133" s="202"/>
      <c r="N133" s="202"/>
      <c r="O133" s="202"/>
      <c r="P133" s="202"/>
      <c r="Q133" s="202"/>
      <c r="R133" s="202"/>
      <c r="S133" s="202"/>
      <c r="T133" s="202"/>
      <c r="U133" s="202"/>
      <c r="V133" s="202"/>
      <c r="W133" s="202"/>
      <c r="X133" s="202"/>
      <c r="Y133" s="202"/>
      <c r="Z133" s="202"/>
      <c r="AA133" s="202"/>
      <c r="AB133" s="202"/>
      <c r="AC133" s="202"/>
    </row>
    <row r="134" spans="2:29" ht="15" customHeight="1" x14ac:dyDescent="0.25">
      <c r="B134" s="202"/>
      <c r="C134" s="202"/>
      <c r="D134" s="202"/>
      <c r="E134" s="202"/>
      <c r="F134" s="202"/>
      <c r="G134" s="202"/>
      <c r="H134" s="202"/>
      <c r="I134" s="202"/>
      <c r="J134" s="202"/>
      <c r="K134" s="202"/>
      <c r="L134" s="202"/>
      <c r="M134" s="202"/>
      <c r="N134" s="202"/>
      <c r="O134" s="202"/>
      <c r="P134" s="202"/>
      <c r="Q134" s="202"/>
      <c r="R134" s="202"/>
      <c r="S134" s="202"/>
      <c r="T134" s="202"/>
      <c r="U134" s="202"/>
      <c r="V134" s="202"/>
      <c r="W134" s="202"/>
      <c r="X134" s="202"/>
      <c r="Y134" s="202"/>
      <c r="Z134" s="202"/>
      <c r="AA134" s="202"/>
      <c r="AB134" s="202"/>
      <c r="AC134" s="202"/>
    </row>
    <row r="135" spans="2:29" ht="15" customHeight="1" x14ac:dyDescent="0.25">
      <c r="B135" s="202"/>
      <c r="C135" s="202"/>
      <c r="D135" s="202"/>
      <c r="E135" s="202"/>
      <c r="F135" s="202"/>
      <c r="G135" s="202"/>
      <c r="H135" s="202"/>
      <c r="I135" s="202"/>
      <c r="J135" s="202"/>
      <c r="K135" s="202"/>
      <c r="L135" s="202"/>
      <c r="M135" s="202"/>
      <c r="N135" s="202"/>
      <c r="O135" s="202"/>
      <c r="P135" s="202"/>
      <c r="Q135" s="202"/>
      <c r="R135" s="202"/>
      <c r="S135" s="202"/>
      <c r="T135" s="202"/>
      <c r="U135" s="202"/>
      <c r="V135" s="202"/>
      <c r="W135" s="202"/>
      <c r="X135" s="202"/>
      <c r="Y135" s="202"/>
      <c r="Z135" s="202"/>
      <c r="AA135" s="202"/>
      <c r="AB135" s="202"/>
      <c r="AC135" s="202"/>
    </row>
    <row r="136" spans="2:29" ht="15" customHeight="1" x14ac:dyDescent="0.25">
      <c r="B136" s="202"/>
      <c r="C136" s="202"/>
      <c r="D136" s="202"/>
      <c r="E136" s="202"/>
      <c r="F136" s="202"/>
      <c r="G136" s="202"/>
      <c r="H136" s="202"/>
      <c r="I136" s="202"/>
      <c r="J136" s="202"/>
      <c r="K136" s="202"/>
      <c r="L136" s="202"/>
      <c r="M136" s="202"/>
      <c r="N136" s="202"/>
      <c r="O136" s="202"/>
      <c r="P136" s="202"/>
      <c r="Q136" s="202"/>
      <c r="R136" s="202"/>
      <c r="S136" s="202"/>
      <c r="T136" s="202"/>
      <c r="U136" s="202"/>
      <c r="V136" s="202"/>
      <c r="W136" s="202"/>
      <c r="X136" s="202"/>
      <c r="Y136" s="202"/>
      <c r="Z136" s="202"/>
      <c r="AA136" s="202"/>
      <c r="AB136" s="202"/>
      <c r="AC136" s="202"/>
    </row>
    <row r="137" spans="2:29" ht="15" customHeight="1" x14ac:dyDescent="0.25">
      <c r="B137" s="202"/>
      <c r="C137" s="202"/>
      <c r="D137" s="202"/>
      <c r="E137" s="202"/>
      <c r="F137" s="202"/>
      <c r="G137" s="202"/>
      <c r="H137" s="202"/>
      <c r="I137" s="202"/>
      <c r="J137" s="202"/>
      <c r="K137" s="202"/>
      <c r="L137" s="202"/>
      <c r="M137" s="202"/>
      <c r="N137" s="202"/>
      <c r="O137" s="202"/>
      <c r="P137" s="202"/>
      <c r="Q137" s="202"/>
      <c r="R137" s="202"/>
      <c r="S137" s="202"/>
      <c r="T137" s="202"/>
      <c r="U137" s="202"/>
      <c r="V137" s="202"/>
      <c r="W137" s="202"/>
      <c r="X137" s="202"/>
      <c r="Y137" s="202"/>
      <c r="Z137" s="202"/>
      <c r="AA137" s="202"/>
      <c r="AB137" s="202"/>
      <c r="AC137" s="202"/>
    </row>
    <row r="138" spans="2:29" ht="15" customHeight="1" x14ac:dyDescent="0.25">
      <c r="B138" s="202"/>
      <c r="C138" s="202"/>
      <c r="D138" s="202"/>
      <c r="E138" s="202"/>
      <c r="F138" s="202"/>
      <c r="G138" s="202"/>
      <c r="H138" s="202"/>
      <c r="I138" s="202"/>
      <c r="J138" s="202"/>
      <c r="K138" s="202"/>
      <c r="L138" s="202"/>
      <c r="M138" s="202"/>
      <c r="N138" s="202"/>
      <c r="O138" s="202"/>
      <c r="P138" s="202"/>
      <c r="Q138" s="202"/>
      <c r="R138" s="202"/>
      <c r="S138" s="202"/>
      <c r="T138" s="202"/>
      <c r="U138" s="202"/>
      <c r="V138" s="202"/>
      <c r="W138" s="202"/>
      <c r="X138" s="202"/>
      <c r="Y138" s="202"/>
      <c r="Z138" s="202"/>
      <c r="AA138" s="202"/>
      <c r="AB138" s="202"/>
      <c r="AC138" s="202"/>
    </row>
    <row r="139" spans="2:29" ht="15" customHeight="1" x14ac:dyDescent="0.25">
      <c r="B139" s="202"/>
      <c r="C139" s="202"/>
      <c r="D139" s="202"/>
      <c r="E139" s="202"/>
      <c r="F139" s="202"/>
      <c r="G139" s="202"/>
      <c r="H139" s="202"/>
      <c r="I139" s="202"/>
      <c r="J139" s="202"/>
      <c r="K139" s="202"/>
      <c r="L139" s="202"/>
      <c r="M139" s="202"/>
      <c r="N139" s="202"/>
      <c r="O139" s="202"/>
      <c r="P139" s="202"/>
      <c r="Q139" s="202"/>
      <c r="R139" s="202"/>
      <c r="S139" s="202"/>
      <c r="T139" s="202"/>
      <c r="U139" s="202"/>
      <c r="V139" s="202"/>
      <c r="W139" s="202"/>
      <c r="X139" s="202"/>
      <c r="Y139" s="202"/>
      <c r="Z139" s="202"/>
      <c r="AA139" s="202"/>
      <c r="AB139" s="202"/>
      <c r="AC139" s="202"/>
    </row>
    <row r="140" spans="2:29" ht="15" customHeight="1" x14ac:dyDescent="0.25">
      <c r="B140" s="202"/>
      <c r="C140" s="202"/>
      <c r="D140" s="202"/>
      <c r="E140" s="202"/>
      <c r="F140" s="202"/>
      <c r="G140" s="202"/>
      <c r="H140" s="202"/>
      <c r="I140" s="202"/>
      <c r="J140" s="202"/>
      <c r="K140" s="202"/>
      <c r="L140" s="202"/>
      <c r="M140" s="202"/>
      <c r="N140" s="202"/>
      <c r="O140" s="202"/>
      <c r="P140" s="202"/>
      <c r="Q140" s="202"/>
      <c r="R140" s="202"/>
      <c r="S140" s="202"/>
      <c r="T140" s="202"/>
      <c r="U140" s="202"/>
      <c r="V140" s="202"/>
      <c r="W140" s="202"/>
      <c r="X140" s="202"/>
      <c r="Y140" s="202"/>
      <c r="Z140" s="202"/>
      <c r="AA140" s="202"/>
      <c r="AB140" s="202"/>
      <c r="AC140" s="202"/>
    </row>
    <row r="141" spans="2:29" ht="15" customHeight="1" x14ac:dyDescent="0.25">
      <c r="B141" s="202"/>
      <c r="C141" s="202"/>
      <c r="D141" s="202"/>
      <c r="E141" s="202"/>
      <c r="F141" s="202"/>
      <c r="G141" s="202"/>
      <c r="H141" s="202"/>
      <c r="I141" s="202"/>
      <c r="J141" s="202"/>
      <c r="K141" s="202"/>
      <c r="L141" s="202"/>
      <c r="M141" s="202"/>
      <c r="N141" s="202"/>
      <c r="O141" s="202"/>
      <c r="P141" s="202"/>
      <c r="Q141" s="202"/>
      <c r="R141" s="202"/>
      <c r="S141" s="202"/>
      <c r="T141" s="202"/>
      <c r="U141" s="202"/>
      <c r="V141" s="202"/>
      <c r="W141" s="202"/>
      <c r="X141" s="202"/>
      <c r="Y141" s="202"/>
      <c r="Z141" s="202"/>
      <c r="AA141" s="202"/>
      <c r="AB141" s="202"/>
      <c r="AC141" s="202"/>
    </row>
    <row r="142" spans="2:29" ht="15" customHeight="1" x14ac:dyDescent="0.25">
      <c r="B142" s="202"/>
      <c r="C142" s="202"/>
      <c r="D142" s="202"/>
      <c r="E142" s="202"/>
      <c r="F142" s="202"/>
      <c r="G142" s="202"/>
      <c r="H142" s="202"/>
      <c r="I142" s="202"/>
      <c r="J142" s="202"/>
      <c r="K142" s="202"/>
      <c r="L142" s="202"/>
      <c r="M142" s="202"/>
      <c r="N142" s="202"/>
      <c r="O142" s="202"/>
      <c r="P142" s="202"/>
      <c r="Q142" s="202"/>
      <c r="R142" s="202"/>
      <c r="S142" s="202"/>
      <c r="T142" s="202"/>
      <c r="U142" s="202"/>
      <c r="V142" s="202"/>
      <c r="W142" s="202"/>
      <c r="X142" s="202"/>
      <c r="Y142" s="202"/>
      <c r="Z142" s="202"/>
      <c r="AA142" s="202"/>
      <c r="AB142" s="202"/>
      <c r="AC142" s="202"/>
    </row>
    <row r="143" spans="2:29" ht="15" customHeight="1" x14ac:dyDescent="0.25">
      <c r="B143" s="202"/>
      <c r="C143" s="202"/>
      <c r="D143" s="202"/>
      <c r="E143" s="202"/>
      <c r="F143" s="202"/>
      <c r="G143" s="202"/>
      <c r="H143" s="202"/>
      <c r="I143" s="202"/>
      <c r="J143" s="202"/>
      <c r="K143" s="202"/>
      <c r="L143" s="202"/>
      <c r="M143" s="202"/>
      <c r="N143" s="202"/>
      <c r="O143" s="202"/>
      <c r="P143" s="202"/>
      <c r="Q143" s="202"/>
      <c r="R143" s="202"/>
      <c r="S143" s="202"/>
      <c r="T143" s="202"/>
      <c r="U143" s="202"/>
      <c r="V143" s="202"/>
      <c r="W143" s="202"/>
      <c r="X143" s="202"/>
      <c r="Y143" s="202"/>
      <c r="Z143" s="202"/>
      <c r="AA143" s="202"/>
      <c r="AB143" s="202"/>
      <c r="AC143" s="202"/>
    </row>
    <row r="144" spans="2:29" ht="15" customHeight="1" x14ac:dyDescent="0.25">
      <c r="B144" s="202"/>
      <c r="C144" s="202"/>
      <c r="D144" s="202"/>
      <c r="E144" s="202"/>
      <c r="F144" s="202"/>
      <c r="G144" s="202"/>
      <c r="H144" s="202"/>
      <c r="I144" s="202"/>
      <c r="J144" s="202"/>
      <c r="K144" s="202"/>
      <c r="L144" s="202"/>
      <c r="M144" s="202"/>
      <c r="N144" s="202"/>
      <c r="O144" s="202"/>
      <c r="P144" s="202"/>
      <c r="Q144" s="202"/>
      <c r="R144" s="202"/>
      <c r="S144" s="202"/>
      <c r="T144" s="202"/>
      <c r="U144" s="202"/>
      <c r="V144" s="202"/>
      <c r="W144" s="202"/>
      <c r="X144" s="202"/>
      <c r="Y144" s="202"/>
      <c r="Z144" s="202"/>
      <c r="AA144" s="202"/>
      <c r="AB144" s="202"/>
      <c r="AC144" s="202"/>
    </row>
    <row r="145" spans="2:29" ht="15" customHeight="1" x14ac:dyDescent="0.25">
      <c r="B145" s="202"/>
      <c r="C145" s="202"/>
      <c r="D145" s="202"/>
      <c r="E145" s="202"/>
      <c r="F145" s="202"/>
      <c r="G145" s="202"/>
      <c r="H145" s="202"/>
      <c r="I145" s="202"/>
      <c r="J145" s="202"/>
      <c r="K145" s="202"/>
      <c r="L145" s="202"/>
      <c r="M145" s="202"/>
      <c r="N145" s="202"/>
      <c r="O145" s="202"/>
      <c r="P145" s="202"/>
      <c r="Q145" s="202"/>
      <c r="R145" s="202"/>
      <c r="S145" s="202"/>
      <c r="T145" s="202"/>
      <c r="U145" s="202"/>
      <c r="V145" s="202"/>
      <c r="W145" s="202"/>
      <c r="X145" s="202"/>
      <c r="Y145" s="202"/>
      <c r="Z145" s="202"/>
      <c r="AA145" s="202"/>
      <c r="AB145" s="202"/>
      <c r="AC145" s="202"/>
    </row>
    <row r="146" spans="2:29" ht="15" customHeight="1" x14ac:dyDescent="0.25">
      <c r="B146" s="202"/>
      <c r="C146" s="202"/>
      <c r="D146" s="202"/>
      <c r="E146" s="202"/>
      <c r="F146" s="202"/>
      <c r="G146" s="202"/>
      <c r="H146" s="202"/>
      <c r="I146" s="202"/>
      <c r="J146" s="202"/>
      <c r="K146" s="202"/>
      <c r="L146" s="202"/>
      <c r="M146" s="202"/>
      <c r="N146" s="202"/>
      <c r="O146" s="202"/>
      <c r="P146" s="202"/>
      <c r="Q146" s="202"/>
      <c r="R146" s="202"/>
      <c r="S146" s="202"/>
      <c r="T146" s="202"/>
      <c r="U146" s="202"/>
      <c r="V146" s="202"/>
      <c r="W146" s="202"/>
      <c r="X146" s="202"/>
      <c r="Y146" s="202"/>
      <c r="Z146" s="202"/>
      <c r="AA146" s="202"/>
      <c r="AB146" s="202"/>
      <c r="AC146" s="202"/>
    </row>
    <row r="147" spans="2:29" ht="15" customHeight="1" x14ac:dyDescent="0.25">
      <c r="B147" s="202"/>
      <c r="C147" s="202"/>
      <c r="D147" s="202"/>
      <c r="E147" s="202"/>
      <c r="F147" s="202"/>
      <c r="G147" s="202"/>
      <c r="H147" s="202"/>
      <c r="I147" s="202"/>
      <c r="J147" s="202"/>
      <c r="K147" s="202"/>
      <c r="L147" s="202"/>
      <c r="M147" s="202"/>
      <c r="N147" s="202"/>
      <c r="O147" s="202"/>
      <c r="P147" s="202"/>
      <c r="Q147" s="202"/>
      <c r="R147" s="202"/>
      <c r="S147" s="202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</row>
    <row r="148" spans="2:29" ht="15" customHeight="1" x14ac:dyDescent="0.25">
      <c r="B148" s="202"/>
      <c r="C148" s="202"/>
      <c r="D148" s="202"/>
      <c r="E148" s="202"/>
      <c r="F148" s="202"/>
      <c r="G148" s="202"/>
      <c r="H148" s="202"/>
      <c r="I148" s="202"/>
      <c r="J148" s="202"/>
      <c r="K148" s="202"/>
      <c r="L148" s="202"/>
      <c r="M148" s="202"/>
      <c r="N148" s="202"/>
      <c r="O148" s="202"/>
      <c r="P148" s="202"/>
      <c r="Q148" s="202"/>
      <c r="R148" s="202"/>
      <c r="S148" s="202"/>
      <c r="T148" s="202"/>
      <c r="U148" s="202"/>
      <c r="V148" s="202"/>
      <c r="W148" s="202"/>
      <c r="X148" s="202"/>
      <c r="Y148" s="202"/>
      <c r="Z148" s="202"/>
      <c r="AA148" s="202"/>
      <c r="AB148" s="202"/>
      <c r="AC148" s="202"/>
    </row>
    <row r="149" spans="2:29" ht="15" customHeight="1" x14ac:dyDescent="0.25">
      <c r="B149" s="202"/>
      <c r="C149" s="202"/>
      <c r="D149" s="202"/>
      <c r="E149" s="202"/>
      <c r="F149" s="202"/>
      <c r="G149" s="202"/>
      <c r="H149" s="202"/>
      <c r="I149" s="202"/>
      <c r="J149" s="202"/>
      <c r="K149" s="202"/>
      <c r="L149" s="202"/>
      <c r="M149" s="202"/>
      <c r="N149" s="202"/>
      <c r="O149" s="202"/>
      <c r="P149" s="202"/>
      <c r="Q149" s="202"/>
      <c r="R149" s="202"/>
      <c r="S149" s="202"/>
      <c r="T149" s="202"/>
      <c r="U149" s="202"/>
      <c r="V149" s="202"/>
      <c r="W149" s="202"/>
      <c r="X149" s="202"/>
      <c r="Y149" s="202"/>
      <c r="Z149" s="202"/>
      <c r="AA149" s="202"/>
      <c r="AB149" s="202"/>
      <c r="AC149" s="202"/>
    </row>
    <row r="150" spans="2:29" ht="15" customHeight="1" x14ac:dyDescent="0.25">
      <c r="B150" s="202"/>
      <c r="C150" s="202"/>
      <c r="D150" s="202"/>
      <c r="E150" s="202"/>
      <c r="F150" s="202"/>
      <c r="G150" s="202"/>
      <c r="H150" s="202"/>
      <c r="I150" s="202"/>
      <c r="J150" s="202"/>
      <c r="K150" s="202"/>
      <c r="L150" s="202"/>
      <c r="M150" s="202"/>
      <c r="N150" s="202"/>
      <c r="O150" s="202"/>
      <c r="P150" s="202"/>
      <c r="Q150" s="202"/>
      <c r="R150" s="202"/>
      <c r="S150" s="202"/>
      <c r="T150" s="202"/>
      <c r="U150" s="202"/>
      <c r="V150" s="202"/>
      <c r="W150" s="202"/>
      <c r="X150" s="202"/>
      <c r="Y150" s="202"/>
      <c r="Z150" s="202"/>
      <c r="AA150" s="202"/>
      <c r="AB150" s="202"/>
      <c r="AC150" s="202"/>
    </row>
    <row r="151" spans="2:29" ht="15" customHeight="1" x14ac:dyDescent="0.25">
      <c r="B151" s="202"/>
      <c r="C151" s="202"/>
      <c r="D151" s="202"/>
      <c r="E151" s="202"/>
      <c r="F151" s="202"/>
      <c r="G151" s="202"/>
      <c r="H151" s="202"/>
      <c r="I151" s="202"/>
      <c r="J151" s="202"/>
      <c r="K151" s="202"/>
      <c r="L151" s="202"/>
      <c r="M151" s="202"/>
      <c r="N151" s="202"/>
      <c r="O151" s="202"/>
      <c r="P151" s="202"/>
      <c r="Q151" s="202"/>
      <c r="R151" s="202"/>
      <c r="S151" s="202"/>
      <c r="T151" s="202"/>
      <c r="U151" s="202"/>
      <c r="V151" s="202"/>
      <c r="W151" s="202"/>
      <c r="X151" s="202"/>
      <c r="Y151" s="202"/>
      <c r="Z151" s="202"/>
      <c r="AA151" s="202"/>
      <c r="AB151" s="202"/>
      <c r="AC151" s="202"/>
    </row>
    <row r="152" spans="2:29" ht="15" customHeight="1" x14ac:dyDescent="0.25">
      <c r="B152" s="202"/>
      <c r="C152" s="202"/>
      <c r="D152" s="202"/>
      <c r="E152" s="202"/>
      <c r="F152" s="202"/>
      <c r="G152" s="202"/>
      <c r="H152" s="202"/>
      <c r="I152" s="202"/>
      <c r="J152" s="202"/>
      <c r="K152" s="202"/>
      <c r="L152" s="202"/>
      <c r="M152" s="202"/>
      <c r="N152" s="202"/>
      <c r="O152" s="202"/>
      <c r="P152" s="202"/>
      <c r="Q152" s="202"/>
      <c r="R152" s="202"/>
      <c r="S152" s="202"/>
      <c r="T152" s="202"/>
      <c r="U152" s="202"/>
      <c r="V152" s="202"/>
      <c r="W152" s="202"/>
      <c r="X152" s="202"/>
      <c r="Y152" s="202"/>
      <c r="Z152" s="202"/>
      <c r="AA152" s="202"/>
      <c r="AB152" s="202"/>
      <c r="AC152" s="202"/>
    </row>
    <row r="153" spans="2:29" ht="15" customHeight="1" x14ac:dyDescent="0.25">
      <c r="B153" s="202"/>
      <c r="C153" s="202"/>
      <c r="D153" s="202"/>
      <c r="E153" s="202"/>
      <c r="F153" s="202"/>
      <c r="G153" s="202"/>
      <c r="H153" s="202"/>
      <c r="I153" s="202"/>
      <c r="J153" s="202"/>
      <c r="K153" s="202"/>
      <c r="L153" s="202"/>
      <c r="M153" s="202"/>
      <c r="N153" s="202"/>
      <c r="O153" s="202"/>
      <c r="P153" s="202"/>
      <c r="Q153" s="202"/>
      <c r="R153" s="202"/>
      <c r="S153" s="202"/>
      <c r="T153" s="202"/>
      <c r="U153" s="202"/>
      <c r="V153" s="202"/>
      <c r="W153" s="202"/>
      <c r="X153" s="202"/>
      <c r="Y153" s="202"/>
      <c r="Z153" s="202"/>
      <c r="AA153" s="202"/>
      <c r="AB153" s="202"/>
      <c r="AC153" s="202"/>
    </row>
    <row r="154" spans="2:29" ht="15" customHeight="1" x14ac:dyDescent="0.25">
      <c r="B154" s="202"/>
      <c r="C154" s="202"/>
      <c r="D154" s="202"/>
      <c r="E154" s="202"/>
      <c r="F154" s="202"/>
      <c r="G154" s="202"/>
      <c r="H154" s="202"/>
      <c r="I154" s="202"/>
      <c r="J154" s="202"/>
      <c r="K154" s="202"/>
      <c r="L154" s="202"/>
      <c r="M154" s="202"/>
      <c r="N154" s="202"/>
      <c r="O154" s="202"/>
      <c r="P154" s="202"/>
      <c r="Q154" s="202"/>
      <c r="R154" s="202"/>
      <c r="S154" s="202"/>
      <c r="T154" s="202"/>
      <c r="U154" s="202"/>
      <c r="V154" s="202"/>
      <c r="W154" s="202"/>
      <c r="X154" s="202"/>
      <c r="Y154" s="202"/>
      <c r="Z154" s="202"/>
      <c r="AA154" s="202"/>
      <c r="AB154" s="202"/>
      <c r="AC154" s="202"/>
    </row>
    <row r="155" spans="2:29" ht="15" customHeight="1" x14ac:dyDescent="0.25">
      <c r="B155" s="202"/>
      <c r="C155" s="202"/>
      <c r="D155" s="202"/>
      <c r="E155" s="202"/>
      <c r="F155" s="202"/>
      <c r="G155" s="202"/>
      <c r="H155" s="202"/>
      <c r="I155" s="202"/>
      <c r="J155" s="202"/>
      <c r="K155" s="202"/>
      <c r="L155" s="202"/>
      <c r="M155" s="202"/>
      <c r="N155" s="202"/>
      <c r="O155" s="202"/>
      <c r="P155" s="202"/>
      <c r="Q155" s="202"/>
      <c r="R155" s="202"/>
      <c r="S155" s="202"/>
      <c r="T155" s="202"/>
      <c r="U155" s="202"/>
      <c r="V155" s="202"/>
      <c r="W155" s="202"/>
      <c r="X155" s="202"/>
      <c r="Y155" s="202"/>
      <c r="Z155" s="202"/>
      <c r="AA155" s="202"/>
      <c r="AB155" s="202"/>
      <c r="AC155" s="202"/>
    </row>
    <row r="156" spans="2:29" ht="15" customHeight="1" x14ac:dyDescent="0.25">
      <c r="B156" s="202"/>
      <c r="C156" s="202"/>
      <c r="D156" s="202"/>
      <c r="E156" s="202"/>
      <c r="F156" s="202"/>
      <c r="G156" s="202"/>
      <c r="H156" s="202"/>
      <c r="I156" s="202"/>
      <c r="J156" s="202"/>
      <c r="K156" s="202"/>
      <c r="L156" s="202"/>
      <c r="M156" s="202"/>
      <c r="N156" s="202"/>
      <c r="O156" s="202"/>
      <c r="P156" s="202"/>
      <c r="Q156" s="202"/>
      <c r="R156" s="202"/>
      <c r="S156" s="202"/>
      <c r="T156" s="202"/>
      <c r="U156" s="202"/>
      <c r="V156" s="202"/>
      <c r="W156" s="202"/>
      <c r="X156" s="202"/>
      <c r="Y156" s="202"/>
      <c r="Z156" s="202"/>
      <c r="AA156" s="202"/>
      <c r="AB156" s="202"/>
      <c r="AC156" s="202"/>
    </row>
    <row r="157" spans="2:29" ht="15" customHeight="1" x14ac:dyDescent="0.25">
      <c r="B157" s="202"/>
      <c r="C157" s="202"/>
      <c r="D157" s="202"/>
      <c r="E157" s="202"/>
      <c r="F157" s="202"/>
      <c r="G157" s="202"/>
      <c r="H157" s="202"/>
      <c r="I157" s="202"/>
      <c r="J157" s="202"/>
      <c r="K157" s="202"/>
      <c r="L157" s="202"/>
      <c r="M157" s="202"/>
      <c r="N157" s="202"/>
      <c r="O157" s="202"/>
      <c r="P157" s="202"/>
      <c r="Q157" s="202"/>
      <c r="R157" s="202"/>
      <c r="S157" s="202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</row>
    <row r="158" spans="2:29" ht="15" customHeight="1" x14ac:dyDescent="0.25">
      <c r="B158" s="202"/>
      <c r="C158" s="202"/>
      <c r="D158" s="202"/>
      <c r="E158" s="202"/>
      <c r="F158" s="202"/>
      <c r="G158" s="202"/>
      <c r="H158" s="202"/>
      <c r="I158" s="202"/>
      <c r="J158" s="202"/>
      <c r="K158" s="202"/>
      <c r="L158" s="202"/>
      <c r="M158" s="202"/>
      <c r="N158" s="202"/>
      <c r="O158" s="202"/>
      <c r="P158" s="202"/>
      <c r="Q158" s="202"/>
      <c r="R158" s="202"/>
      <c r="S158" s="202"/>
      <c r="T158" s="202"/>
      <c r="U158" s="202"/>
      <c r="V158" s="202"/>
      <c r="W158" s="202"/>
      <c r="X158" s="202"/>
      <c r="Y158" s="202"/>
      <c r="Z158" s="202"/>
      <c r="AA158" s="202"/>
      <c r="AB158" s="202"/>
      <c r="AC158" s="202"/>
    </row>
    <row r="159" spans="2:29" ht="15" customHeight="1" x14ac:dyDescent="0.25">
      <c r="B159" s="202"/>
      <c r="C159" s="202"/>
      <c r="D159" s="202"/>
      <c r="E159" s="202"/>
      <c r="F159" s="202"/>
      <c r="G159" s="202"/>
      <c r="H159" s="202"/>
      <c r="I159" s="202"/>
      <c r="J159" s="202"/>
      <c r="K159" s="202"/>
      <c r="L159" s="202"/>
      <c r="M159" s="202"/>
      <c r="N159" s="202"/>
      <c r="O159" s="202"/>
      <c r="P159" s="202"/>
      <c r="Q159" s="202"/>
      <c r="R159" s="202"/>
      <c r="S159" s="202"/>
      <c r="T159" s="202"/>
      <c r="U159" s="202"/>
      <c r="V159" s="202"/>
      <c r="W159" s="202"/>
      <c r="X159" s="202"/>
      <c r="Y159" s="202"/>
      <c r="Z159" s="202"/>
      <c r="AA159" s="202"/>
      <c r="AB159" s="202"/>
      <c r="AC159" s="202"/>
    </row>
    <row r="160" spans="2:29" ht="15" customHeight="1" x14ac:dyDescent="0.25">
      <c r="B160" s="202"/>
      <c r="C160" s="202"/>
      <c r="D160" s="202"/>
      <c r="E160" s="202"/>
      <c r="F160" s="202"/>
      <c r="G160" s="202"/>
      <c r="H160" s="202"/>
      <c r="I160" s="202"/>
      <c r="J160" s="202"/>
      <c r="K160" s="202"/>
      <c r="L160" s="202"/>
      <c r="M160" s="202"/>
      <c r="N160" s="202"/>
      <c r="O160" s="202"/>
      <c r="P160" s="202"/>
      <c r="Q160" s="202"/>
      <c r="R160" s="202"/>
      <c r="S160" s="202"/>
      <c r="T160" s="202"/>
      <c r="U160" s="202"/>
      <c r="V160" s="202"/>
      <c r="W160" s="202"/>
      <c r="X160" s="202"/>
      <c r="Y160" s="202"/>
      <c r="Z160" s="202"/>
      <c r="AA160" s="202"/>
      <c r="AB160" s="202"/>
      <c r="AC160" s="202"/>
    </row>
    <row r="163" spans="10:10" x14ac:dyDescent="0.25">
      <c r="J163" s="11"/>
    </row>
  </sheetData>
  <mergeCells count="10">
    <mergeCell ref="N76:P76"/>
    <mergeCell ref="M1:P1"/>
    <mergeCell ref="R1:U1"/>
    <mergeCell ref="W1:Z1"/>
    <mergeCell ref="AB1:AE1"/>
    <mergeCell ref="AO1:AO33"/>
    <mergeCell ref="N3:P3"/>
    <mergeCell ref="S3:U3"/>
    <mergeCell ref="X3:Z3"/>
    <mergeCell ref="AC3:AE3"/>
  </mergeCells>
  <pageMargins left="0.7" right="0.7" top="0.75" bottom="0.75" header="0.3" footer="0.3"/>
  <pageSetup paperSize="9" orientation="portrait" r:id="rId1"/>
  <ignoredErrors>
    <ignoredError sqref="AK1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11E6-24A5-4A60-9CBB-6888A4459BCE}">
  <dimension ref="A1:G90"/>
  <sheetViews>
    <sheetView zoomScaleNormal="100" workbookViewId="0"/>
  </sheetViews>
  <sheetFormatPr defaultColWidth="8.85546875" defaultRowHeight="15" x14ac:dyDescent="0.25"/>
  <cols>
    <col min="1" max="1" width="10.140625" bestFit="1" customWidth="1"/>
    <col min="2" max="2" width="52" style="1" bestFit="1" customWidth="1"/>
    <col min="3" max="4" width="24.7109375" customWidth="1"/>
    <col min="5" max="6" width="33.28515625" bestFit="1" customWidth="1"/>
    <col min="7" max="7" width="35.28515625" customWidth="1"/>
  </cols>
  <sheetData>
    <row r="1" spans="1:5" x14ac:dyDescent="0.25">
      <c r="A1" s="274" t="s">
        <v>176</v>
      </c>
      <c r="B1" s="269"/>
    </row>
    <row r="2" spans="1:5" x14ac:dyDescent="0.25">
      <c r="A2" s="272" t="s">
        <v>177</v>
      </c>
      <c r="B2" s="273"/>
    </row>
    <row r="3" spans="1:5" ht="15.75" thickBot="1" x14ac:dyDescent="0.3">
      <c r="A3" s="270" t="s">
        <v>178</v>
      </c>
      <c r="B3" s="271"/>
    </row>
    <row r="5" spans="1:5" x14ac:dyDescent="0.25">
      <c r="B5" s="2" t="s">
        <v>70</v>
      </c>
      <c r="D5" s="203">
        <v>3</v>
      </c>
    </row>
    <row r="7" spans="1:5" x14ac:dyDescent="0.25">
      <c r="B7" s="2" t="s">
        <v>68</v>
      </c>
      <c r="D7" s="203">
        <v>11</v>
      </c>
    </row>
    <row r="11" spans="1:5" s="1" customFormat="1" x14ac:dyDescent="0.25">
      <c r="A11" s="3" t="s">
        <v>158</v>
      </c>
      <c r="B11" s="2" t="s">
        <v>58</v>
      </c>
      <c r="C11" s="3" t="s">
        <v>59</v>
      </c>
      <c r="D11" s="3" t="s">
        <v>60</v>
      </c>
      <c r="E11" s="3" t="s">
        <v>159</v>
      </c>
    </row>
    <row r="12" spans="1:5" x14ac:dyDescent="0.25">
      <c r="A12" s="34">
        <v>1</v>
      </c>
      <c r="B12" s="4" t="s">
        <v>2</v>
      </c>
      <c r="C12" s="203" t="s">
        <v>160</v>
      </c>
      <c r="D12" s="203"/>
      <c r="E12" s="203"/>
    </row>
    <row r="13" spans="1:5" x14ac:dyDescent="0.25">
      <c r="A13" s="34">
        <v>2</v>
      </c>
      <c r="B13" s="4" t="s">
        <v>3</v>
      </c>
      <c r="C13" s="203" t="s">
        <v>160</v>
      </c>
      <c r="D13" s="203"/>
      <c r="E13" s="203"/>
    </row>
    <row r="14" spans="1:5" x14ac:dyDescent="0.25">
      <c r="A14" s="34">
        <v>3</v>
      </c>
      <c r="B14" s="4" t="s">
        <v>4</v>
      </c>
      <c r="C14" s="203" t="s">
        <v>160</v>
      </c>
      <c r="D14" s="203"/>
      <c r="E14" s="203"/>
    </row>
    <row r="15" spans="1:5" x14ac:dyDescent="0.25">
      <c r="A15" s="34">
        <v>4</v>
      </c>
      <c r="B15" s="4" t="s">
        <v>5</v>
      </c>
      <c r="C15" s="203" t="s">
        <v>160</v>
      </c>
      <c r="D15" s="203"/>
      <c r="E15" s="203"/>
    </row>
    <row r="16" spans="1:5" x14ac:dyDescent="0.25">
      <c r="A16" s="34">
        <v>5</v>
      </c>
      <c r="B16" s="4" t="s">
        <v>71</v>
      </c>
      <c r="C16" s="203" t="s">
        <v>160</v>
      </c>
      <c r="D16" s="203"/>
      <c r="E16" s="203"/>
    </row>
    <row r="17" spans="1:5" x14ac:dyDescent="0.25">
      <c r="A17" s="34">
        <v>6</v>
      </c>
      <c r="B17" s="4" t="s">
        <v>7</v>
      </c>
      <c r="C17" s="203" t="s">
        <v>160</v>
      </c>
      <c r="D17" s="203"/>
      <c r="E17" s="203"/>
    </row>
    <row r="18" spans="1:5" x14ac:dyDescent="0.25">
      <c r="A18" s="34">
        <v>7</v>
      </c>
      <c r="B18" s="4" t="s">
        <v>9</v>
      </c>
      <c r="C18" s="203" t="s">
        <v>160</v>
      </c>
      <c r="D18" s="203"/>
      <c r="E18" s="203"/>
    </row>
    <row r="19" spans="1:5" x14ac:dyDescent="0.25">
      <c r="A19" s="34">
        <v>8</v>
      </c>
      <c r="B19" s="4" t="s">
        <v>10</v>
      </c>
      <c r="C19" s="203" t="s">
        <v>160</v>
      </c>
      <c r="D19" s="203"/>
      <c r="E19" s="203"/>
    </row>
    <row r="20" spans="1:5" x14ac:dyDescent="0.25">
      <c r="A20" s="34">
        <v>9</v>
      </c>
      <c r="B20" s="4" t="s">
        <v>8</v>
      </c>
      <c r="C20" s="203" t="s">
        <v>160</v>
      </c>
      <c r="D20" s="203"/>
      <c r="E20" s="203"/>
    </row>
    <row r="21" spans="1:5" x14ac:dyDescent="0.25">
      <c r="A21" s="204">
        <v>10</v>
      </c>
      <c r="B21" s="205" t="s">
        <v>72</v>
      </c>
      <c r="C21" s="203" t="s">
        <v>160</v>
      </c>
      <c r="D21" s="203"/>
      <c r="E21" s="203"/>
    </row>
    <row r="22" spans="1:5" x14ac:dyDescent="0.25">
      <c r="A22" s="204">
        <v>11</v>
      </c>
      <c r="B22" s="205" t="s">
        <v>7</v>
      </c>
      <c r="C22" s="203"/>
      <c r="D22" s="203" t="s">
        <v>160</v>
      </c>
      <c r="E22" s="203"/>
    </row>
    <row r="23" spans="1:5" x14ac:dyDescent="0.25">
      <c r="A23" s="204">
        <v>12</v>
      </c>
      <c r="B23" s="205" t="s">
        <v>74</v>
      </c>
      <c r="C23" s="203"/>
      <c r="D23" s="203" t="s">
        <v>160</v>
      </c>
      <c r="E23" s="203"/>
    </row>
    <row r="24" spans="1:5" x14ac:dyDescent="0.25">
      <c r="A24" s="34">
        <v>13</v>
      </c>
      <c r="B24" s="4" t="s">
        <v>11</v>
      </c>
      <c r="C24" s="203"/>
      <c r="D24" s="203" t="s">
        <v>160</v>
      </c>
      <c r="E24" s="203"/>
    </row>
    <row r="25" spans="1:5" x14ac:dyDescent="0.25">
      <c r="A25" s="34">
        <v>14</v>
      </c>
      <c r="B25" s="4" t="s">
        <v>12</v>
      </c>
      <c r="C25" s="203"/>
      <c r="D25" s="203" t="s">
        <v>160</v>
      </c>
      <c r="E25" s="203"/>
    </row>
    <row r="26" spans="1:5" x14ac:dyDescent="0.25">
      <c r="A26" s="34">
        <v>15</v>
      </c>
      <c r="B26" s="205" t="s">
        <v>13</v>
      </c>
      <c r="C26" s="203"/>
      <c r="D26" s="203" t="s">
        <v>160</v>
      </c>
      <c r="E26" s="203"/>
    </row>
    <row r="27" spans="1:5" x14ac:dyDescent="0.25">
      <c r="A27" s="34">
        <v>16</v>
      </c>
      <c r="B27" s="205" t="s">
        <v>14</v>
      </c>
      <c r="C27" s="203"/>
      <c r="D27" s="203" t="s">
        <v>160</v>
      </c>
      <c r="E27" s="203"/>
    </row>
    <row r="28" spans="1:5" x14ac:dyDescent="0.25">
      <c r="A28" s="34">
        <v>17</v>
      </c>
      <c r="B28" s="205" t="s">
        <v>15</v>
      </c>
      <c r="C28" s="203"/>
      <c r="D28" s="203" t="s">
        <v>160</v>
      </c>
      <c r="E28" s="203"/>
    </row>
    <row r="29" spans="1:5" x14ac:dyDescent="0.25">
      <c r="A29" s="34">
        <v>18</v>
      </c>
      <c r="B29" s="205" t="s">
        <v>16</v>
      </c>
      <c r="C29" s="203"/>
      <c r="D29" s="203" t="s">
        <v>160</v>
      </c>
      <c r="E29" s="203"/>
    </row>
    <row r="30" spans="1:5" x14ac:dyDescent="0.25">
      <c r="A30" s="34">
        <v>19</v>
      </c>
      <c r="B30" s="205" t="s">
        <v>74</v>
      </c>
      <c r="C30" s="203"/>
      <c r="D30" s="203" t="s">
        <v>160</v>
      </c>
      <c r="E30" s="203"/>
    </row>
    <row r="31" spans="1:5" x14ac:dyDescent="0.25">
      <c r="A31" s="34">
        <v>20</v>
      </c>
      <c r="B31" s="205" t="s">
        <v>17</v>
      </c>
      <c r="C31" s="203" t="s">
        <v>160</v>
      </c>
      <c r="D31" s="203"/>
      <c r="E31" s="203"/>
    </row>
    <row r="32" spans="1:5" x14ac:dyDescent="0.25">
      <c r="A32" s="34">
        <v>21</v>
      </c>
      <c r="B32" s="205" t="s">
        <v>18</v>
      </c>
      <c r="C32" s="203" t="s">
        <v>160</v>
      </c>
      <c r="D32" s="203"/>
      <c r="E32" s="203"/>
    </row>
    <row r="33" spans="1:5" x14ac:dyDescent="0.25">
      <c r="A33" s="34">
        <v>22</v>
      </c>
      <c r="B33" s="205" t="s">
        <v>19</v>
      </c>
      <c r="C33" s="203" t="s">
        <v>160</v>
      </c>
      <c r="D33" s="203"/>
      <c r="E33" s="203"/>
    </row>
    <row r="34" spans="1:5" x14ac:dyDescent="0.25">
      <c r="A34" s="34">
        <v>23</v>
      </c>
      <c r="B34" s="205" t="s">
        <v>18</v>
      </c>
      <c r="C34" s="203" t="s">
        <v>160</v>
      </c>
      <c r="D34" s="203"/>
      <c r="E34" s="203"/>
    </row>
    <row r="35" spans="1:5" x14ac:dyDescent="0.25">
      <c r="A35" s="204">
        <v>24</v>
      </c>
      <c r="B35" s="205" t="s">
        <v>20</v>
      </c>
      <c r="C35" s="203"/>
      <c r="D35" s="203"/>
      <c r="E35" s="203" t="s">
        <v>160</v>
      </c>
    </row>
    <row r="36" spans="1:5" x14ac:dyDescent="0.25">
      <c r="A36" s="204">
        <v>25</v>
      </c>
      <c r="B36" s="205" t="s">
        <v>18</v>
      </c>
      <c r="C36" s="203"/>
      <c r="D36" s="203"/>
      <c r="E36" s="203" t="s">
        <v>160</v>
      </c>
    </row>
    <row r="37" spans="1:5" x14ac:dyDescent="0.25">
      <c r="A37" s="204">
        <v>26</v>
      </c>
      <c r="B37" s="205" t="s">
        <v>21</v>
      </c>
      <c r="C37" s="203"/>
      <c r="D37" s="203"/>
      <c r="E37" s="203" t="s">
        <v>160</v>
      </c>
    </row>
    <row r="38" spans="1:5" x14ac:dyDescent="0.25">
      <c r="A38" s="34">
        <v>27</v>
      </c>
      <c r="B38" s="205" t="s">
        <v>18</v>
      </c>
      <c r="C38" s="203"/>
      <c r="D38" s="203"/>
      <c r="E38" s="203" t="s">
        <v>160</v>
      </c>
    </row>
    <row r="39" spans="1:5" x14ac:dyDescent="0.25">
      <c r="A39" s="34">
        <v>28</v>
      </c>
      <c r="B39" s="205" t="s">
        <v>22</v>
      </c>
      <c r="C39" s="203"/>
      <c r="D39" s="203"/>
      <c r="E39" s="203" t="s">
        <v>160</v>
      </c>
    </row>
    <row r="40" spans="1:5" x14ac:dyDescent="0.25">
      <c r="A40" s="34">
        <v>29</v>
      </c>
      <c r="B40" s="205" t="s">
        <v>18</v>
      </c>
      <c r="C40" s="203"/>
      <c r="D40" s="203"/>
      <c r="E40" s="203" t="s">
        <v>160</v>
      </c>
    </row>
    <row r="41" spans="1:5" x14ac:dyDescent="0.25">
      <c r="A41" s="34">
        <v>30</v>
      </c>
      <c r="B41" s="205" t="s">
        <v>23</v>
      </c>
      <c r="C41" s="203"/>
      <c r="D41" s="203"/>
      <c r="E41" s="203" t="s">
        <v>160</v>
      </c>
    </row>
    <row r="42" spans="1:5" x14ac:dyDescent="0.25">
      <c r="A42" s="34">
        <v>31</v>
      </c>
      <c r="B42" s="205" t="s">
        <v>18</v>
      </c>
      <c r="C42" s="203"/>
      <c r="D42" s="203"/>
      <c r="E42" s="203" t="s">
        <v>160</v>
      </c>
    </row>
    <row r="43" spans="1:5" x14ac:dyDescent="0.25">
      <c r="A43" s="34">
        <v>32</v>
      </c>
      <c r="B43" s="205" t="s">
        <v>24</v>
      </c>
      <c r="C43" s="203"/>
      <c r="D43" s="203"/>
      <c r="E43" s="203" t="s">
        <v>160</v>
      </c>
    </row>
    <row r="44" spans="1:5" x14ac:dyDescent="0.25">
      <c r="A44" s="34">
        <v>33</v>
      </c>
      <c r="B44" s="205" t="s">
        <v>18</v>
      </c>
      <c r="C44" s="203"/>
      <c r="D44" s="203"/>
      <c r="E44" s="203" t="s">
        <v>160</v>
      </c>
    </row>
    <row r="45" spans="1:5" x14ac:dyDescent="0.25">
      <c r="A45" s="34">
        <v>34</v>
      </c>
      <c r="B45" s="205" t="s">
        <v>25</v>
      </c>
      <c r="C45" s="203"/>
      <c r="D45" s="203"/>
      <c r="E45" s="203" t="s">
        <v>160</v>
      </c>
    </row>
    <row r="46" spans="1:5" x14ac:dyDescent="0.25">
      <c r="A46" s="34">
        <v>35</v>
      </c>
      <c r="B46" s="205" t="s">
        <v>18</v>
      </c>
      <c r="C46" s="203"/>
      <c r="D46" s="203"/>
      <c r="E46" s="203" t="s">
        <v>160</v>
      </c>
    </row>
    <row r="47" spans="1:5" x14ac:dyDescent="0.25">
      <c r="A47" s="34">
        <v>36</v>
      </c>
      <c r="B47" s="4" t="s">
        <v>26</v>
      </c>
      <c r="C47" s="203"/>
      <c r="D47" s="203"/>
      <c r="E47" s="203" t="s">
        <v>160</v>
      </c>
    </row>
    <row r="48" spans="1:5" x14ac:dyDescent="0.25">
      <c r="A48" s="34">
        <v>37</v>
      </c>
      <c r="B48" s="4" t="s">
        <v>27</v>
      </c>
      <c r="C48" s="203"/>
      <c r="D48" s="203"/>
      <c r="E48" s="203" t="s">
        <v>160</v>
      </c>
    </row>
    <row r="49" spans="1:7" x14ac:dyDescent="0.25">
      <c r="A49" s="204">
        <v>38</v>
      </c>
      <c r="B49" s="4" t="s">
        <v>66</v>
      </c>
      <c r="C49" s="203"/>
      <c r="D49" s="203"/>
      <c r="E49" s="203" t="s">
        <v>160</v>
      </c>
    </row>
    <row r="50" spans="1:7" x14ac:dyDescent="0.25">
      <c r="A50" s="204">
        <v>39</v>
      </c>
      <c r="B50" s="4" t="s">
        <v>67</v>
      </c>
      <c r="C50" s="203"/>
      <c r="D50" s="203"/>
      <c r="E50" s="203" t="s">
        <v>160</v>
      </c>
    </row>
    <row r="52" spans="1:7" x14ac:dyDescent="0.25">
      <c r="B52" s="2" t="s">
        <v>69</v>
      </c>
      <c r="C52" s="206">
        <v>2</v>
      </c>
      <c r="D52" s="206">
        <v>2</v>
      </c>
      <c r="E52" s="206">
        <v>2</v>
      </c>
    </row>
    <row r="53" spans="1:7" x14ac:dyDescent="0.25">
      <c r="B53" s="2" t="s">
        <v>77</v>
      </c>
      <c r="C53" s="206">
        <v>20.62</v>
      </c>
      <c r="D53" s="206">
        <v>20.62</v>
      </c>
      <c r="E53" s="206" t="s">
        <v>75</v>
      </c>
      <c r="G53" s="207"/>
    </row>
    <row r="54" spans="1:7" x14ac:dyDescent="0.25">
      <c r="B54" s="2" t="s">
        <v>76</v>
      </c>
      <c r="C54" s="206">
        <v>1</v>
      </c>
      <c r="D54" s="206">
        <v>1</v>
      </c>
      <c r="E54" s="206" t="s">
        <v>75</v>
      </c>
      <c r="F54" s="275" t="s">
        <v>179</v>
      </c>
    </row>
    <row r="57" spans="1:7" x14ac:dyDescent="0.25">
      <c r="C57" s="208"/>
      <c r="D57" s="208"/>
    </row>
    <row r="58" spans="1:7" x14ac:dyDescent="0.25">
      <c r="A58" s="3" t="s">
        <v>87</v>
      </c>
      <c r="B58" s="3" t="s">
        <v>28</v>
      </c>
      <c r="C58" s="3" t="s">
        <v>124</v>
      </c>
      <c r="D58" s="3" t="s">
        <v>125</v>
      </c>
      <c r="E58" s="209" t="s">
        <v>126</v>
      </c>
      <c r="F58" s="209" t="s">
        <v>127</v>
      </c>
    </row>
    <row r="59" spans="1:7" x14ac:dyDescent="0.25">
      <c r="A59" s="34">
        <v>3</v>
      </c>
      <c r="B59" s="34">
        <v>1</v>
      </c>
      <c r="C59" s="2" t="s">
        <v>50</v>
      </c>
      <c r="D59" s="210">
        <v>52.800000000000004</v>
      </c>
      <c r="E59" s="211">
        <v>2</v>
      </c>
      <c r="F59" s="212">
        <v>13968</v>
      </c>
    </row>
    <row r="60" spans="1:7" x14ac:dyDescent="0.25">
      <c r="A60" s="34">
        <v>3</v>
      </c>
      <c r="B60" s="34">
        <v>2</v>
      </c>
      <c r="C60" s="2" t="s">
        <v>51</v>
      </c>
      <c r="D60" s="210">
        <v>52.800000000000004</v>
      </c>
      <c r="E60" s="211">
        <v>2</v>
      </c>
      <c r="F60" s="212">
        <v>13968</v>
      </c>
    </row>
    <row r="61" spans="1:7" x14ac:dyDescent="0.25">
      <c r="A61" s="34">
        <v>3</v>
      </c>
      <c r="B61" s="34">
        <v>3</v>
      </c>
      <c r="C61" s="2" t="s">
        <v>48</v>
      </c>
      <c r="D61" s="210">
        <v>52.800000000000004</v>
      </c>
      <c r="E61" s="211">
        <v>2</v>
      </c>
      <c r="F61" s="212">
        <v>13968</v>
      </c>
    </row>
    <row r="62" spans="1:7" x14ac:dyDescent="0.25">
      <c r="A62" s="34">
        <v>3</v>
      </c>
      <c r="B62" s="34">
        <v>4</v>
      </c>
      <c r="C62" s="2" t="s">
        <v>49</v>
      </c>
      <c r="D62" s="210">
        <v>52.800000000000004</v>
      </c>
      <c r="E62" s="211">
        <v>2</v>
      </c>
      <c r="F62" s="212">
        <v>13968</v>
      </c>
    </row>
    <row r="63" spans="1:7" x14ac:dyDescent="0.25">
      <c r="A63" s="34">
        <v>3</v>
      </c>
      <c r="B63" s="34">
        <v>5</v>
      </c>
      <c r="C63" s="2" t="s">
        <v>46</v>
      </c>
      <c r="D63" s="210">
        <v>52.800000000000004</v>
      </c>
      <c r="E63" s="211">
        <v>2</v>
      </c>
      <c r="F63" s="212">
        <v>13968</v>
      </c>
    </row>
    <row r="64" spans="1:7" x14ac:dyDescent="0.25">
      <c r="A64" s="34">
        <v>3</v>
      </c>
      <c r="B64" s="34">
        <v>6</v>
      </c>
      <c r="C64" s="2" t="s">
        <v>47</v>
      </c>
      <c r="D64" s="210">
        <v>52.800000000000004</v>
      </c>
      <c r="E64" s="211">
        <v>2</v>
      </c>
      <c r="F64" s="212">
        <v>13968</v>
      </c>
    </row>
    <row r="65" spans="1:6" x14ac:dyDescent="0.25">
      <c r="A65" s="34">
        <v>1</v>
      </c>
      <c r="B65" s="34">
        <v>7</v>
      </c>
      <c r="C65" s="2" t="s">
        <v>42</v>
      </c>
      <c r="D65" s="210">
        <v>52.800000000000004</v>
      </c>
      <c r="E65" s="211">
        <v>2</v>
      </c>
      <c r="F65" s="212">
        <v>13968</v>
      </c>
    </row>
    <row r="66" spans="1:6" x14ac:dyDescent="0.25">
      <c r="A66" s="34">
        <v>1</v>
      </c>
      <c r="B66" s="34">
        <v>8</v>
      </c>
      <c r="C66" s="2" t="s">
        <v>45</v>
      </c>
      <c r="D66" s="210">
        <v>52.800000000000004</v>
      </c>
      <c r="E66" s="211">
        <v>2</v>
      </c>
      <c r="F66" s="212">
        <v>13968</v>
      </c>
    </row>
    <row r="67" spans="1:6" x14ac:dyDescent="0.25">
      <c r="A67" s="34">
        <v>1</v>
      </c>
      <c r="B67" s="34">
        <v>9</v>
      </c>
      <c r="C67" s="2" t="s">
        <v>44</v>
      </c>
      <c r="D67" s="210">
        <v>51.2</v>
      </c>
      <c r="E67" s="211">
        <v>1</v>
      </c>
      <c r="F67" s="212">
        <v>27936</v>
      </c>
    </row>
    <row r="68" spans="1:6" x14ac:dyDescent="0.25">
      <c r="A68" s="34">
        <v>3</v>
      </c>
      <c r="B68" s="34">
        <v>9</v>
      </c>
      <c r="C68" s="2" t="s">
        <v>44</v>
      </c>
      <c r="D68" s="210">
        <v>76.8</v>
      </c>
      <c r="E68" s="211">
        <v>2</v>
      </c>
      <c r="F68" s="212">
        <v>13967.999999999998</v>
      </c>
    </row>
    <row r="69" spans="1:6" x14ac:dyDescent="0.25">
      <c r="A69" s="34">
        <v>1</v>
      </c>
      <c r="B69" s="34">
        <v>10</v>
      </c>
      <c r="C69" s="2" t="s">
        <v>43</v>
      </c>
      <c r="D69" s="210">
        <v>51.2</v>
      </c>
      <c r="E69" s="211">
        <v>1</v>
      </c>
      <c r="F69" s="212">
        <v>27936</v>
      </c>
    </row>
    <row r="70" spans="1:6" x14ac:dyDescent="0.25">
      <c r="A70" s="34">
        <v>3</v>
      </c>
      <c r="B70" s="34">
        <v>10</v>
      </c>
      <c r="C70" s="2" t="s">
        <v>43</v>
      </c>
      <c r="D70" s="210">
        <v>76.800000000000011</v>
      </c>
      <c r="E70" s="211">
        <v>2</v>
      </c>
      <c r="F70" s="212">
        <v>13968</v>
      </c>
    </row>
    <row r="71" spans="1:6" x14ac:dyDescent="0.25">
      <c r="A71" s="34">
        <v>2</v>
      </c>
      <c r="B71" s="34">
        <v>11</v>
      </c>
      <c r="C71" s="2" t="s">
        <v>37</v>
      </c>
      <c r="D71" s="210">
        <v>52.8</v>
      </c>
      <c r="E71" s="211">
        <v>2</v>
      </c>
      <c r="F71" s="212">
        <v>13967.999999999998</v>
      </c>
    </row>
    <row r="72" spans="1:6" x14ac:dyDescent="0.25">
      <c r="A72" s="34">
        <v>3</v>
      </c>
      <c r="B72" s="34">
        <v>12</v>
      </c>
      <c r="C72" s="2" t="s">
        <v>54</v>
      </c>
      <c r="D72" s="210">
        <v>25.6</v>
      </c>
      <c r="E72" s="211">
        <v>1</v>
      </c>
      <c r="F72" s="212">
        <v>27936</v>
      </c>
    </row>
    <row r="73" spans="1:6" x14ac:dyDescent="0.25">
      <c r="A73" s="34">
        <v>3</v>
      </c>
      <c r="B73" s="34">
        <v>13</v>
      </c>
      <c r="C73" s="2" t="s">
        <v>73</v>
      </c>
      <c r="D73" s="210">
        <v>25.6</v>
      </c>
      <c r="E73" s="211">
        <v>1</v>
      </c>
      <c r="F73" s="212">
        <v>27936</v>
      </c>
    </row>
    <row r="74" spans="1:6" x14ac:dyDescent="0.25">
      <c r="A74" s="34">
        <v>2</v>
      </c>
      <c r="B74" s="34">
        <v>14</v>
      </c>
      <c r="C74" s="2" t="s">
        <v>41</v>
      </c>
      <c r="D74" s="210">
        <v>76.800000000000011</v>
      </c>
      <c r="E74" s="211">
        <v>1</v>
      </c>
      <c r="F74" s="212">
        <v>27936</v>
      </c>
    </row>
    <row r="75" spans="1:6" x14ac:dyDescent="0.25">
      <c r="A75" s="34">
        <v>2</v>
      </c>
      <c r="B75" s="34">
        <v>15</v>
      </c>
      <c r="C75" s="2" t="s">
        <v>38</v>
      </c>
      <c r="D75" s="210">
        <v>76.218181785454561</v>
      </c>
      <c r="E75" s="211">
        <v>11</v>
      </c>
      <c r="F75" s="212">
        <v>2539.6363625458712</v>
      </c>
    </row>
    <row r="76" spans="1:6" x14ac:dyDescent="0.25">
      <c r="A76" s="34">
        <v>1</v>
      </c>
      <c r="B76" s="34">
        <v>16</v>
      </c>
      <c r="C76" s="2" t="s">
        <v>35</v>
      </c>
      <c r="D76" s="210">
        <v>70.079999928000021</v>
      </c>
      <c r="E76" s="211">
        <v>5</v>
      </c>
      <c r="F76" s="212">
        <v>5587.1999942597276</v>
      </c>
    </row>
    <row r="77" spans="1:6" x14ac:dyDescent="0.25">
      <c r="A77" s="34">
        <v>1</v>
      </c>
      <c r="B77" s="34">
        <v>17</v>
      </c>
      <c r="C77" s="2" t="s">
        <v>31</v>
      </c>
      <c r="D77" s="210">
        <v>76.800000000000011</v>
      </c>
      <c r="E77" s="211">
        <v>1</v>
      </c>
      <c r="F77" s="212">
        <v>27936</v>
      </c>
    </row>
    <row r="78" spans="1:6" x14ac:dyDescent="0.25">
      <c r="A78" s="34">
        <v>3</v>
      </c>
      <c r="B78" s="34">
        <v>18</v>
      </c>
      <c r="C78" s="2" t="s">
        <v>52</v>
      </c>
      <c r="D78" s="210">
        <v>57.599999700000026</v>
      </c>
      <c r="E78" s="211">
        <v>2</v>
      </c>
      <c r="F78" s="212">
        <v>13967.999927250006</v>
      </c>
    </row>
    <row r="79" spans="1:6" x14ac:dyDescent="0.25">
      <c r="A79" s="34">
        <v>2</v>
      </c>
      <c r="B79" s="34">
        <v>19</v>
      </c>
      <c r="C79" s="2" t="s">
        <v>40</v>
      </c>
      <c r="D79" s="210">
        <v>76.800000000000011</v>
      </c>
      <c r="E79" s="211">
        <v>1</v>
      </c>
      <c r="F79" s="212">
        <v>27936</v>
      </c>
    </row>
    <row r="80" spans="1:6" x14ac:dyDescent="0.25">
      <c r="A80" s="34">
        <v>1</v>
      </c>
      <c r="B80" s="34">
        <v>20</v>
      </c>
      <c r="C80" s="2" t="s">
        <v>34</v>
      </c>
      <c r="D80" s="210">
        <v>12.8</v>
      </c>
      <c r="E80" s="211">
        <v>1</v>
      </c>
      <c r="F80" s="212">
        <v>27936</v>
      </c>
    </row>
    <row r="81" spans="1:6" x14ac:dyDescent="0.25">
      <c r="A81" s="34">
        <v>2</v>
      </c>
      <c r="B81" s="34">
        <v>20</v>
      </c>
      <c r="C81" s="2" t="s">
        <v>34</v>
      </c>
      <c r="D81" s="210">
        <v>12.8</v>
      </c>
      <c r="E81" s="211">
        <v>1</v>
      </c>
      <c r="F81" s="212">
        <v>27936</v>
      </c>
    </row>
    <row r="82" spans="1:6" x14ac:dyDescent="0.25">
      <c r="A82" s="34">
        <v>3</v>
      </c>
      <c r="B82" s="34">
        <v>21</v>
      </c>
      <c r="C82" s="2" t="s">
        <v>55</v>
      </c>
      <c r="D82" s="210">
        <v>57.599999500000003</v>
      </c>
      <c r="E82" s="211">
        <v>2</v>
      </c>
      <c r="F82" s="212">
        <v>13967.999878750001</v>
      </c>
    </row>
    <row r="83" spans="1:6" x14ac:dyDescent="0.25">
      <c r="A83" s="34">
        <v>1</v>
      </c>
      <c r="B83" s="34">
        <v>22</v>
      </c>
      <c r="C83" s="2" t="s">
        <v>30</v>
      </c>
      <c r="D83" s="210">
        <v>72.53333322222224</v>
      </c>
      <c r="E83" s="211">
        <v>9</v>
      </c>
      <c r="F83" s="212">
        <v>3103.999995245098</v>
      </c>
    </row>
    <row r="84" spans="1:6" x14ac:dyDescent="0.25">
      <c r="A84" s="34">
        <v>1</v>
      </c>
      <c r="B84" s="34">
        <v>23</v>
      </c>
      <c r="C84" s="2" t="s">
        <v>32</v>
      </c>
      <c r="D84" s="210">
        <v>72.319999899999999</v>
      </c>
      <c r="E84" s="211">
        <v>10</v>
      </c>
      <c r="F84" s="212">
        <v>2793.5999961371681</v>
      </c>
    </row>
    <row r="85" spans="1:6" x14ac:dyDescent="0.25">
      <c r="A85" s="34">
        <v>2</v>
      </c>
      <c r="B85" s="34">
        <v>24</v>
      </c>
      <c r="C85" s="2" t="s">
        <v>36</v>
      </c>
      <c r="D85" s="210">
        <v>65.999999750000015</v>
      </c>
      <c r="E85" s="211">
        <v>4</v>
      </c>
      <c r="F85" s="212">
        <v>6983.9999735454548</v>
      </c>
    </row>
    <row r="86" spans="1:6" x14ac:dyDescent="0.25">
      <c r="A86" s="34">
        <v>2</v>
      </c>
      <c r="B86" s="34">
        <v>25</v>
      </c>
      <c r="C86" s="2" t="s">
        <v>39</v>
      </c>
      <c r="D86" s="210">
        <v>76.800000000000011</v>
      </c>
      <c r="E86" s="211">
        <v>1</v>
      </c>
      <c r="F86" s="212">
        <v>27936</v>
      </c>
    </row>
    <row r="87" spans="1:6" x14ac:dyDescent="0.25">
      <c r="A87" s="34">
        <v>3</v>
      </c>
      <c r="B87" s="34">
        <v>26</v>
      </c>
      <c r="C87" s="2" t="s">
        <v>53</v>
      </c>
      <c r="D87" s="210">
        <v>25.6</v>
      </c>
      <c r="E87" s="211">
        <v>1</v>
      </c>
      <c r="F87" s="212">
        <v>27936</v>
      </c>
    </row>
    <row r="88" spans="1:6" x14ac:dyDescent="0.25">
      <c r="A88" s="34">
        <v>3</v>
      </c>
      <c r="B88" s="34">
        <v>27</v>
      </c>
      <c r="C88" s="2" t="s">
        <v>56</v>
      </c>
      <c r="D88" s="210">
        <v>25.6</v>
      </c>
      <c r="E88" s="211">
        <v>1</v>
      </c>
      <c r="F88" s="212">
        <v>27936</v>
      </c>
    </row>
    <row r="89" spans="1:6" x14ac:dyDescent="0.25">
      <c r="A89" s="34">
        <v>1</v>
      </c>
      <c r="B89" s="34">
        <v>28</v>
      </c>
      <c r="C89" s="2" t="s">
        <v>33</v>
      </c>
      <c r="D89" s="210">
        <v>12.8</v>
      </c>
      <c r="E89" s="211">
        <v>1</v>
      </c>
      <c r="F89" s="212">
        <v>27936</v>
      </c>
    </row>
    <row r="90" spans="1:6" x14ac:dyDescent="0.25">
      <c r="A90" s="34">
        <v>2</v>
      </c>
      <c r="B90" s="34">
        <v>28</v>
      </c>
      <c r="C90" s="2" t="s">
        <v>33</v>
      </c>
      <c r="D90" s="210">
        <v>12.8</v>
      </c>
      <c r="E90" s="211">
        <v>1</v>
      </c>
      <c r="F90" s="212">
        <v>27936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Operazioni</vt:lpstr>
      <vt:lpstr>Simulazione con Normale</vt:lpstr>
      <vt:lpstr>Stazioni</vt:lpstr>
      <vt:lpstr>Componenti</vt:lpstr>
      <vt:lpstr>Variabili decisionali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Pirovano Giovanni Luca</dc:creator>
  <cp:lastModifiedBy>SOLO IO</cp:lastModifiedBy>
  <dcterms:created xsi:type="dcterms:W3CDTF">2017-04-20T13:28:41Z</dcterms:created>
  <dcterms:modified xsi:type="dcterms:W3CDTF">2020-05-31T15:18:27Z</dcterms:modified>
</cp:coreProperties>
</file>