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StockTradingCourse\"/>
    </mc:Choice>
  </mc:AlternateContent>
  <xr:revisionPtr revIDLastSave="0" documentId="13_ncr:1_{D731E389-C9F3-4A1F-8572-FDEE4CD7A0FB}" xr6:coauthVersionLast="45" xr6:coauthVersionMax="45" xr10:uidLastSave="{00000000-0000-0000-0000-000000000000}"/>
  <bookViews>
    <workbookView xWindow="20370" yWindow="-6210" windowWidth="25440" windowHeight="15990" xr2:uid="{32C62116-9EB5-4391-924A-42BEEE35DEA1}"/>
  </bookViews>
  <sheets>
    <sheet name="SQ" sheetId="8" r:id="rId1"/>
    <sheet name="AAPL" sheetId="7" r:id="rId2"/>
    <sheet name="FB" sheetId="6" r:id="rId3"/>
    <sheet name="Equa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8" l="1"/>
  <c r="G16" i="8"/>
  <c r="G15" i="8"/>
  <c r="A14" i="8"/>
  <c r="A13" i="8"/>
  <c r="A12" i="8"/>
  <c r="F11" i="8"/>
  <c r="A11" i="8"/>
  <c r="F10" i="8"/>
  <c r="F9" i="8"/>
  <c r="A9" i="8"/>
  <c r="F8" i="8"/>
  <c r="F7" i="8"/>
  <c r="A7" i="8"/>
  <c r="F6" i="8"/>
  <c r="F5" i="8"/>
  <c r="A5" i="8"/>
  <c r="F4" i="8"/>
  <c r="A4" i="8"/>
  <c r="J3" i="8"/>
  <c r="J4" i="8" s="1"/>
  <c r="F3" i="8"/>
  <c r="A3" i="8"/>
  <c r="J2" i="8"/>
  <c r="K2" i="8" s="1"/>
  <c r="G2" i="8"/>
  <c r="G3" i="8" s="1"/>
  <c r="G4" i="8" s="1"/>
  <c r="G5" i="8" s="1"/>
  <c r="G6" i="8" s="1"/>
  <c r="G7" i="8" s="1"/>
  <c r="G8" i="8" s="1"/>
  <c r="G9" i="8" s="1"/>
  <c r="G10" i="8" s="1"/>
  <c r="G11" i="8" s="1"/>
  <c r="B26" i="8" s="1"/>
  <c r="H11" i="8" s="1"/>
  <c r="H10" i="8" s="1"/>
  <c r="H9" i="8" s="1"/>
  <c r="H8" i="8" s="1"/>
  <c r="H7" i="8" s="1"/>
  <c r="H6" i="8" s="1"/>
  <c r="H5" i="8" s="1"/>
  <c r="H4" i="8" s="1"/>
  <c r="H3" i="8" s="1"/>
  <c r="H2" i="8" s="1"/>
  <c r="B27" i="8" s="1"/>
  <c r="F2" i="8"/>
  <c r="B22" i="7"/>
  <c r="G16" i="7"/>
  <c r="G15" i="7"/>
  <c r="A14" i="7"/>
  <c r="A13" i="7"/>
  <c r="A12" i="7"/>
  <c r="F11" i="7"/>
  <c r="A11" i="7"/>
  <c r="F10" i="7"/>
  <c r="F9" i="7"/>
  <c r="A9" i="7"/>
  <c r="F8" i="7"/>
  <c r="F7" i="7"/>
  <c r="A7" i="7"/>
  <c r="F6" i="7"/>
  <c r="F5" i="7"/>
  <c r="A5" i="7"/>
  <c r="F4" i="7"/>
  <c r="A4" i="7"/>
  <c r="F3" i="7"/>
  <c r="A3" i="7"/>
  <c r="J2" i="7"/>
  <c r="J3" i="7" s="1"/>
  <c r="G2" i="7"/>
  <c r="G3" i="7" s="1"/>
  <c r="G4" i="7" s="1"/>
  <c r="G5" i="7" s="1"/>
  <c r="G6" i="7" s="1"/>
  <c r="G7" i="7" s="1"/>
  <c r="G8" i="7" s="1"/>
  <c r="G9" i="7" s="1"/>
  <c r="G10" i="7" s="1"/>
  <c r="G11" i="7" s="1"/>
  <c r="B26" i="7" s="1"/>
  <c r="H11" i="7" s="1"/>
  <c r="H10" i="7" s="1"/>
  <c r="H9" i="7" s="1"/>
  <c r="H8" i="7" s="1"/>
  <c r="H7" i="7" s="1"/>
  <c r="H6" i="7" s="1"/>
  <c r="H5" i="7" s="1"/>
  <c r="H4" i="7" s="1"/>
  <c r="H3" i="7" s="1"/>
  <c r="H2" i="7" s="1"/>
  <c r="B27" i="7" s="1"/>
  <c r="F2" i="7"/>
  <c r="B30" i="6"/>
  <c r="B24" i="6"/>
  <c r="B22" i="6"/>
  <c r="A14" i="6"/>
  <c r="G16" i="6"/>
  <c r="A13" i="6"/>
  <c r="G15" i="6"/>
  <c r="A12" i="6"/>
  <c r="A11" i="6"/>
  <c r="A9" i="6"/>
  <c r="F11" i="6"/>
  <c r="F10" i="6"/>
  <c r="F9" i="6"/>
  <c r="F8" i="6"/>
  <c r="F7" i="6"/>
  <c r="A7" i="6"/>
  <c r="F6" i="6"/>
  <c r="F5" i="6"/>
  <c r="A5" i="6"/>
  <c r="F4" i="6"/>
  <c r="A4" i="6"/>
  <c r="F3" i="6"/>
  <c r="A3" i="6"/>
  <c r="J2" i="6"/>
  <c r="G2" i="6"/>
  <c r="G3" i="6" s="1"/>
  <c r="G4" i="6" s="1"/>
  <c r="G5" i="6" s="1"/>
  <c r="G6" i="6" s="1"/>
  <c r="G7" i="6" s="1"/>
  <c r="G8" i="6" s="1"/>
  <c r="G9" i="6" s="1"/>
  <c r="G10" i="6" s="1"/>
  <c r="G11" i="6" s="1"/>
  <c r="B26" i="6" s="1"/>
  <c r="H11" i="6" s="1"/>
  <c r="H10" i="6" s="1"/>
  <c r="H9" i="6" s="1"/>
  <c r="H8" i="6" s="1"/>
  <c r="H7" i="6" s="1"/>
  <c r="H6" i="6" s="1"/>
  <c r="H5" i="6" s="1"/>
  <c r="H4" i="6" s="1"/>
  <c r="H3" i="6" s="1"/>
  <c r="H2" i="6" s="1"/>
  <c r="B27" i="6" s="1"/>
  <c r="F2" i="6"/>
  <c r="B29" i="8" l="1"/>
  <c r="B28" i="8"/>
  <c r="G18" i="8"/>
  <c r="G17" i="8"/>
  <c r="K4" i="8"/>
  <c r="J5" i="8"/>
  <c r="K3" i="8"/>
  <c r="J4" i="7"/>
  <c r="K3" i="7"/>
  <c r="B29" i="7"/>
  <c r="B28" i="7"/>
  <c r="G18" i="7"/>
  <c r="G17" i="7"/>
  <c r="K2" i="7"/>
  <c r="J3" i="6"/>
  <c r="B29" i="6"/>
  <c r="G18" i="6"/>
  <c r="B28" i="6"/>
  <c r="G17" i="6"/>
  <c r="K3" i="6"/>
  <c r="J4" i="6"/>
  <c r="K2" i="6"/>
  <c r="J6" i="8" l="1"/>
  <c r="K5" i="8"/>
  <c r="G19" i="8"/>
  <c r="B30" i="8"/>
  <c r="G20" i="8"/>
  <c r="B30" i="7"/>
  <c r="G20" i="7"/>
  <c r="G19" i="7"/>
  <c r="J5" i="7"/>
  <c r="K4" i="7"/>
  <c r="J5" i="6"/>
  <c r="K4" i="6"/>
  <c r="G20" i="6"/>
  <c r="G19" i="6"/>
  <c r="J7" i="8" l="1"/>
  <c r="K6" i="8"/>
  <c r="J6" i="7"/>
  <c r="K5" i="7"/>
  <c r="J6" i="6"/>
  <c r="K5" i="6"/>
  <c r="J8" i="8" l="1"/>
  <c r="K7" i="8"/>
  <c r="J7" i="7"/>
  <c r="K6" i="7"/>
  <c r="J7" i="6"/>
  <c r="K6" i="6"/>
  <c r="J9" i="8" l="1"/>
  <c r="K8" i="8"/>
  <c r="J8" i="7"/>
  <c r="K7" i="7"/>
  <c r="J8" i="6"/>
  <c r="K7" i="6"/>
  <c r="J10" i="8" l="1"/>
  <c r="K9" i="8"/>
  <c r="K8" i="7"/>
  <c r="J9" i="7"/>
  <c r="J9" i="6"/>
  <c r="K8" i="6"/>
  <c r="J11" i="8" l="1"/>
  <c r="K11" i="8" s="1"/>
  <c r="K10" i="8"/>
  <c r="J10" i="7"/>
  <c r="K9" i="7"/>
  <c r="J10" i="6"/>
  <c r="K9" i="6"/>
  <c r="K12" i="8" l="1"/>
  <c r="B23" i="8" s="1"/>
  <c r="B24" i="8" s="1"/>
  <c r="K10" i="7"/>
  <c r="J11" i="7"/>
  <c r="K11" i="7" s="1"/>
  <c r="K12" i="7" s="1"/>
  <c r="B23" i="7" s="1"/>
  <c r="B24" i="7" s="1"/>
  <c r="J11" i="6"/>
  <c r="K11" i="6" s="1"/>
  <c r="K10" i="6"/>
  <c r="K12" i="6" l="1"/>
  <c r="B2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Enriquez</author>
  </authors>
  <commentList>
    <comment ref="A1" authorId="0" shapeId="0" xr:uid="{B87368B6-165B-4CE8-9EFE-3E6F43256455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Calculator for use in analyzing stocks for longterm investment!</t>
        </r>
      </text>
    </comment>
    <comment ref="A4" authorId="0" shapeId="0" xr:uid="{38525505-2611-4FB1-B175-3795BA776E75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Earnings Per Share
Trailing Twelve Months
This means that EPS (ttm) is the total earnings or profits the company has made over the last 12 months</t>
        </r>
      </text>
    </comment>
    <comment ref="A5" authorId="0" shapeId="0" xr:uid="{6E3DD629-7065-44A4-8A01-1781808A377C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Analyst growth estimate for next 5 years
</t>
        </r>
      </text>
    </comment>
    <comment ref="A6" authorId="0" shapeId="0" xr:uid="{04C90AEF-C79E-4788-880A-A0991FEDC426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Price:Earnigs Ratio
1) 2x the growth rate
2) Pull historic P/E ratios. Take an average
Msn Money &gt; Analysis &gt; Price Ratios</t>
        </r>
      </text>
    </comment>
    <comment ref="A16" authorId="0" shapeId="0" xr:uid="{06F1B611-9DDA-4CC8-A944-3654D1D406A0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Inflation Rate</t>
        </r>
      </text>
    </comment>
    <comment ref="A17" authorId="0" shapeId="0" xr:uid="{C40E135F-B9A1-4910-893C-CB7B0992435A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Minimum rate of return we would like. Best if higher than the SP500, especially for individual companies!</t>
        </r>
      </text>
    </comment>
    <comment ref="A18" authorId="0" shapeId="0" xr:uid="{64684CA5-F10D-49C6-882D-2B976200A35B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50% means less risk, and more possibility for return </t>
        </r>
      </text>
    </comment>
    <comment ref="A22" authorId="0" shapeId="0" xr:uid="{9BF8E87E-D590-47CC-8254-B177D96AC3F0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EPS Growth Rate based on operating incomes</t>
        </r>
      </text>
    </comment>
    <comment ref="A24" authorId="0" shapeId="0" xr:uid="{0B1F1933-AB0A-4B8B-A7E4-18F064D75EBE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&gt; 1, overvalued</t>
        </r>
      </text>
    </comment>
    <comment ref="A27" authorId="0" shapeId="0" xr:uid="{87376D25-5993-436B-96CB-0F21EDE4ADFF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Price you should pay today</t>
        </r>
      </text>
    </comment>
    <comment ref="A28" authorId="0" shapeId="0" xr:uid="{EF22DED6-6C2F-4398-9643-9D292129DF75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50% means less risk, and more possibility for return </t>
        </r>
      </text>
    </comment>
    <comment ref="A29" authorId="0" shapeId="0" xr:uid="{64023910-11CA-45AD-BED0-18F81F78BEDF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Price to buy in at to achieve MOS desired</t>
        </r>
      </text>
    </comment>
    <comment ref="A30" authorId="0" shapeId="0" xr:uid="{7CB8CD4D-7887-486B-9B83-FF46BF8DDBE3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&gt; 1, Overvalued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Enriquez</author>
  </authors>
  <commentList>
    <comment ref="A1" authorId="0" shapeId="0" xr:uid="{9CACE5C5-35FA-4361-8159-691D373582C1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Calculator for use in analyzing stocks for longterm investment!</t>
        </r>
      </text>
    </comment>
    <comment ref="A4" authorId="0" shapeId="0" xr:uid="{731E1F53-5315-4E76-8997-0723F46A8D45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Earnings Per Share
Trailing Twelve Months
This means that EPS (ttm) is the total earnings or profits the company has made over the last 12 months</t>
        </r>
      </text>
    </comment>
    <comment ref="A5" authorId="0" shapeId="0" xr:uid="{6A62E8B6-A449-4C46-9A8F-0D96E9C74052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Analyst growth estimate for next 5 years
</t>
        </r>
      </text>
    </comment>
    <comment ref="A6" authorId="0" shapeId="0" xr:uid="{F839AAE6-373D-46D9-9F6A-3CEFE9EFD3A4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Price:Earnigs Ratio
1) 2x the growth rate
2) Pull historic P/E ratios. Take an average
Msn Money &gt; Analysis &gt; Price Ratios</t>
        </r>
      </text>
    </comment>
    <comment ref="A16" authorId="0" shapeId="0" xr:uid="{547E67BF-7868-46DC-A360-6E32901FD362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Inflation Rate</t>
        </r>
      </text>
    </comment>
    <comment ref="A17" authorId="0" shapeId="0" xr:uid="{4335B69F-832D-4FF6-894D-099E8306C6C1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Minimum rate of return we would like. Best if higher than the SP500, especially for individual companies!</t>
        </r>
      </text>
    </comment>
    <comment ref="A18" authorId="0" shapeId="0" xr:uid="{7113506A-6ADC-414F-ADCC-4EBFA2AD3048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50% means less risk, and more possibility for return </t>
        </r>
      </text>
    </comment>
    <comment ref="A22" authorId="0" shapeId="0" xr:uid="{4A59432C-0D5F-4FC6-BE15-A8BEE392ACD0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EPS Growth Rate based on operating incomes</t>
        </r>
      </text>
    </comment>
    <comment ref="A24" authorId="0" shapeId="0" xr:uid="{0764FC2E-E960-48B5-8AFA-A061625C6073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&gt; 1, overvalued</t>
        </r>
      </text>
    </comment>
    <comment ref="A27" authorId="0" shapeId="0" xr:uid="{34A94026-B336-44E0-88D7-8794D58AA168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Price you should pay today</t>
        </r>
      </text>
    </comment>
    <comment ref="A28" authorId="0" shapeId="0" xr:uid="{BF118DD2-AF1A-4A76-93FF-721794EB7A45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50% means less risk, and more possibility for return </t>
        </r>
      </text>
    </comment>
    <comment ref="A29" authorId="0" shapeId="0" xr:uid="{3784D1A4-C460-4E28-9CB6-96C6784DA5B7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Price to buy in at to achieve MOS desired</t>
        </r>
      </text>
    </comment>
    <comment ref="A30" authorId="0" shapeId="0" xr:uid="{D0734F50-97AD-480D-9A7D-6C68227E016A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&gt; 1, Overvalued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Enriquez</author>
  </authors>
  <commentList>
    <comment ref="A1" authorId="0" shapeId="0" xr:uid="{97EFE9A9-4485-4ED3-848F-607272915B43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Calculator for use in analyzing stocks for longterm investment!</t>
        </r>
      </text>
    </comment>
    <comment ref="A4" authorId="0" shapeId="0" xr:uid="{8522C2CB-6202-4278-9748-FD4DA4A76D6E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Earnings Per Share
Trailing Twelve Months
This means that EPS (ttm) is the total earnings or profits the company has made over the last 12 months</t>
        </r>
      </text>
    </comment>
    <comment ref="A5" authorId="0" shapeId="0" xr:uid="{D88B48D2-2C09-4C92-B119-1EC38B2A3FDC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Analyst growth estimate for next 5 years
</t>
        </r>
      </text>
    </comment>
    <comment ref="A6" authorId="0" shapeId="0" xr:uid="{847EAAE1-D4C1-454E-B763-1D843BD71D02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Price:Earnigs Ratio
1) 2x the growth rate
2) Pull historic P/E ratios. Take an average
Msn Money &gt; Analysis &gt; Price Ratios</t>
        </r>
      </text>
    </comment>
    <comment ref="A16" authorId="0" shapeId="0" xr:uid="{4FDB7D37-36B0-4CDF-BEB7-FA66EF08D2E4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Inflation Rate</t>
        </r>
      </text>
    </comment>
    <comment ref="A17" authorId="0" shapeId="0" xr:uid="{6C8CEB92-EE9B-4C39-803C-BD70EF969474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Minimum rate of return we would like. Best if higher than the SP500, especially for individual companies!</t>
        </r>
      </text>
    </comment>
    <comment ref="A18" authorId="0" shapeId="0" xr:uid="{7B3C3D7F-EF29-40CD-A054-65B4CEE6CFCB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50% means less risk, and more possibility for return </t>
        </r>
      </text>
    </comment>
    <comment ref="A22" authorId="0" shapeId="0" xr:uid="{99983714-21B3-40AB-A078-2314BEFA6A0F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EPS Growth Rate based on operating incomes</t>
        </r>
      </text>
    </comment>
    <comment ref="A24" authorId="0" shapeId="0" xr:uid="{E29DE54A-A8B8-4754-933F-3C6C3342924B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&gt; 1, overvalued</t>
        </r>
      </text>
    </comment>
    <comment ref="A27" authorId="0" shapeId="0" xr:uid="{383A4108-C883-4E7D-B368-A56D4DA73E92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Price you should pay today</t>
        </r>
      </text>
    </comment>
    <comment ref="A28" authorId="0" shapeId="0" xr:uid="{118C7054-A591-4DD7-8849-52898CD8833E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50% means less risk, and more possibility for return </t>
        </r>
      </text>
    </comment>
    <comment ref="A29" authorId="0" shapeId="0" xr:uid="{E0FA7894-6E62-453A-AC49-FF1AA753A972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Price to buy in at to achieve MOS desired</t>
        </r>
      </text>
    </comment>
    <comment ref="A30" authorId="0" shapeId="0" xr:uid="{FE9371B7-D953-4DEF-AB6E-E1339C7A534D}">
      <text>
        <r>
          <rPr>
            <b/>
            <sz val="9"/>
            <color indexed="81"/>
            <rFont val="Tahoma"/>
            <family val="2"/>
          </rPr>
          <t>Daniel Enriquez:</t>
        </r>
        <r>
          <rPr>
            <sz val="9"/>
            <color indexed="81"/>
            <rFont val="Tahoma"/>
            <family val="2"/>
          </rPr>
          <t xml:space="preserve">
&gt; 1, Overvalued</t>
        </r>
      </text>
    </comment>
  </commentList>
</comments>
</file>

<file path=xl/sharedStrings.xml><?xml version="1.0" encoding="utf-8"?>
<sst xmlns="http://schemas.openxmlformats.org/spreadsheetml/2006/main" count="111" uniqueCount="32">
  <si>
    <t>Instrinsic Value Calculator</t>
  </si>
  <si>
    <t>Ticker</t>
  </si>
  <si>
    <t>Minimum Rate of Return</t>
  </si>
  <si>
    <t>P/E Ratio</t>
  </si>
  <si>
    <t>AAPL</t>
  </si>
  <si>
    <t>&lt;&lt; User Specified</t>
  </si>
  <si>
    <t>Years into future</t>
  </si>
  <si>
    <t>EPS Forcast</t>
  </si>
  <si>
    <t>Fair Value</t>
  </si>
  <si>
    <t>&lt;&lt; Company Metric. Pull from Web</t>
  </si>
  <si>
    <t>Fair Value Today</t>
  </si>
  <si>
    <t>Margin of Safety Desired</t>
  </si>
  <si>
    <t>Margin of Safety Current</t>
  </si>
  <si>
    <t>Forecast 10Y Share Price</t>
  </si>
  <si>
    <t>Discount Rate</t>
  </si>
  <si>
    <t>TTM</t>
  </si>
  <si>
    <t>Discounted Growth Method</t>
  </si>
  <si>
    <t>4 Year Income Growth Rate</t>
  </si>
  <si>
    <t>Year</t>
  </si>
  <si>
    <t>Projected Earnings</t>
  </si>
  <si>
    <t>Present Value of Earnings</t>
  </si>
  <si>
    <t>Total</t>
  </si>
  <si>
    <t>Intrinsic Share Price</t>
  </si>
  <si>
    <t>Share Price Desired</t>
  </si>
  <si>
    <t>Fair Value Forecast Method</t>
  </si>
  <si>
    <t>SQ</t>
  </si>
  <si>
    <t>Price Today</t>
  </si>
  <si>
    <t>Safe Price</t>
  </si>
  <si>
    <t>FB</t>
  </si>
  <si>
    <t>Price to Intrinsic Ratio</t>
  </si>
  <si>
    <t>Price to Desired</t>
  </si>
  <si>
    <t>Discounted Income Growth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</si>
</sst>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.0_);_(&quot;$&quot;* \(#,##0.0\);_(&quot;$&quot;* &quot;-&quot;??_);_(@_)"/>
    <numFmt numFmtId="170" formatCode="_(* #,##0_);_(* \(#,##0\);_(* &quot;-&quot;??_);_(@_)"/>
    <numFmt numFmtId="17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medium">
        <color indexed="64"/>
      </top>
      <bottom/>
      <diagonal/>
    </border>
    <border>
      <left/>
      <right style="thin">
        <color rgb="FFB2B2B2"/>
      </right>
      <top style="medium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0" fillId="4" borderId="3" xfId="7" applyFont="1"/>
    <xf numFmtId="2" fontId="4" fillId="3" borderId="1" xfId="6" applyNumberFormat="1"/>
    <xf numFmtId="44" fontId="0" fillId="0" borderId="0" xfId="0" applyNumberFormat="1"/>
    <xf numFmtId="0" fontId="6" fillId="5" borderId="0" xfId="9" applyAlignment="1">
      <alignment horizontal="center" wrapText="1"/>
    </xf>
    <xf numFmtId="0" fontId="11" fillId="4" borderId="4" xfId="7" applyFont="1" applyBorder="1"/>
    <xf numFmtId="170" fontId="2" fillId="2" borderId="1" xfId="1" applyNumberFormat="1" applyFont="1" applyFill="1" applyBorder="1"/>
    <xf numFmtId="0" fontId="10" fillId="4" borderId="6" xfId="10" applyFill="1" applyBorder="1" applyAlignment="1">
      <alignment horizontal="center"/>
    </xf>
    <xf numFmtId="0" fontId="12" fillId="4" borderId="5" xfId="7" applyFont="1" applyBorder="1" applyAlignment="1">
      <alignment horizontal="center"/>
    </xf>
    <xf numFmtId="0" fontId="12" fillId="4" borderId="6" xfId="7" applyFont="1" applyBorder="1" applyAlignment="1">
      <alignment horizontal="center"/>
    </xf>
    <xf numFmtId="10" fontId="4" fillId="3" borderId="1" xfId="6" applyNumberFormat="1"/>
    <xf numFmtId="170" fontId="4" fillId="3" borderId="1" xfId="6" applyNumberFormat="1"/>
    <xf numFmtId="0" fontId="3" fillId="3" borderId="2" xfId="5"/>
    <xf numFmtId="170" fontId="3" fillId="3" borderId="2" xfId="5" applyNumberFormat="1"/>
    <xf numFmtId="44" fontId="3" fillId="3" borderId="2" xfId="5" applyNumberFormat="1"/>
    <xf numFmtId="9" fontId="3" fillId="3" borderId="2" xfId="5" applyNumberFormat="1"/>
    <xf numFmtId="0" fontId="0" fillId="7" borderId="0" xfId="0" applyFill="1"/>
    <xf numFmtId="0" fontId="7" fillId="6" borderId="7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11" fillId="4" borderId="10" xfId="7" applyFont="1" applyBorder="1"/>
    <xf numFmtId="0" fontId="2" fillId="2" borderId="1" xfId="4" applyBorder="1"/>
    <xf numFmtId="0" fontId="5" fillId="0" borderId="11" xfId="8" applyBorder="1"/>
    <xf numFmtId="0" fontId="10" fillId="4" borderId="10" xfId="10" applyFill="1" applyBorder="1"/>
    <xf numFmtId="2" fontId="2" fillId="2" borderId="1" xfId="4" applyNumberFormat="1" applyBorder="1"/>
    <xf numFmtId="10" fontId="2" fillId="2" borderId="1" xfId="4" applyNumberFormat="1" applyBorder="1"/>
    <xf numFmtId="9" fontId="2" fillId="2" borderId="1" xfId="4" applyNumberFormat="1" applyBorder="1"/>
    <xf numFmtId="0" fontId="0" fillId="0" borderId="12" xfId="0" applyBorder="1"/>
    <xf numFmtId="0" fontId="0" fillId="0" borderId="0" xfId="0" applyBorder="1"/>
    <xf numFmtId="0" fontId="0" fillId="0" borderId="11" xfId="0" applyBorder="1"/>
    <xf numFmtId="0" fontId="10" fillId="4" borderId="13" xfId="10" applyFill="1" applyBorder="1" applyAlignment="1">
      <alignment horizontal="center"/>
    </xf>
    <xf numFmtId="0" fontId="11" fillId="4" borderId="10" xfId="7" applyFont="1" applyBorder="1" applyAlignment="1">
      <alignment horizontal="center"/>
    </xf>
    <xf numFmtId="3" fontId="2" fillId="2" borderId="1" xfId="4" applyNumberForma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8" borderId="0" xfId="0" applyFill="1" applyBorder="1"/>
    <xf numFmtId="168" fontId="3" fillId="3" borderId="2" xfId="5" applyNumberFormat="1"/>
    <xf numFmtId="43" fontId="0" fillId="0" borderId="11" xfId="1" applyFont="1" applyBorder="1"/>
    <xf numFmtId="44" fontId="2" fillId="2" borderId="1" xfId="2" applyFont="1" applyFill="1" applyBorder="1"/>
    <xf numFmtId="175" fontId="4" fillId="3" borderId="1" xfId="6" applyNumberFormat="1"/>
    <xf numFmtId="175" fontId="4" fillId="3" borderId="1" xfId="6" applyNumberFormat="1" applyAlignment="1">
      <alignment horizontal="center" wrapText="1"/>
    </xf>
    <xf numFmtId="9" fontId="2" fillId="2" borderId="17" xfId="3" applyFont="1" applyFill="1" applyBorder="1"/>
    <xf numFmtId="0" fontId="11" fillId="4" borderId="18" xfId="7" applyFont="1" applyBorder="1"/>
    <xf numFmtId="0" fontId="12" fillId="4" borderId="19" xfId="7" applyFont="1" applyBorder="1" applyAlignment="1">
      <alignment horizontal="center"/>
    </xf>
    <xf numFmtId="0" fontId="12" fillId="4" borderId="20" xfId="7" applyFont="1" applyBorder="1" applyAlignment="1">
      <alignment horizontal="center"/>
    </xf>
    <xf numFmtId="43" fontId="3" fillId="3" borderId="2" xfId="1" applyFont="1" applyFill="1" applyBorder="1"/>
  </cellXfs>
  <cellStyles count="11">
    <cellStyle name="Accent2" xfId="9" builtinId="33"/>
    <cellStyle name="Calculation" xfId="6" builtinId="22"/>
    <cellStyle name="Comma" xfId="1" builtinId="3"/>
    <cellStyle name="Currency" xfId="2" builtinId="4"/>
    <cellStyle name="Explanatory Text" xfId="8" builtinId="53"/>
    <cellStyle name="Hyperlink" xfId="10" builtinId="8"/>
    <cellStyle name="Input" xfId="4" builtinId="20"/>
    <cellStyle name="Normal" xfId="0" builtinId="0"/>
    <cellStyle name="Note" xfId="7" builtinId="10"/>
    <cellStyle name="Output" xfId="5" builtinId="21"/>
    <cellStyle name="Percent" xfId="3" builtinId="5"/>
  </cellStyles>
  <dxfs count="6"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Share Price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2003499562554"/>
          <c:y val="0.17171296296296296"/>
          <c:w val="0.86744663167104108"/>
          <c:h val="0.617045056867891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SQ!$H$1</c:f>
              <c:strCache>
                <c:ptCount val="1"/>
                <c:pt idx="0">
                  <c:v>Fair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SQ!$E$2:$E$11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SQ!$H$2:$H$11</c:f>
              <c:numCache>
                <c:formatCode>_("$"* #,##0_);_("$"* \(#,##0\);_("$"* "-"??_);_(@_)</c:formatCode>
                <c:ptCount val="10"/>
                <c:pt idx="0">
                  <c:v>199.89758423142601</c:v>
                </c:pt>
                <c:pt idx="1">
                  <c:v>229.8822218661399</c:v>
                </c:pt>
                <c:pt idx="2">
                  <c:v>264.36455514606087</c:v>
                </c:pt>
                <c:pt idx="3">
                  <c:v>304.01923841796997</c:v>
                </c:pt>
                <c:pt idx="4">
                  <c:v>349.62212418066542</c:v>
                </c:pt>
                <c:pt idx="5">
                  <c:v>402.06544280776518</c:v>
                </c:pt>
                <c:pt idx="6">
                  <c:v>462.37525922892991</c:v>
                </c:pt>
                <c:pt idx="7">
                  <c:v>531.73154811326935</c:v>
                </c:pt>
                <c:pt idx="8">
                  <c:v>611.49128033025966</c:v>
                </c:pt>
                <c:pt idx="9">
                  <c:v>703.2149723797985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F-45E1-964A-17EF8327D849}"/>
            </c:ext>
          </c:extLst>
        </c:ser>
        <c:ser>
          <c:idx val="1"/>
          <c:order val="1"/>
          <c:tx>
            <c:strRef>
              <c:f>SQ!$H$15</c:f>
              <c:strCache>
                <c:ptCount val="1"/>
                <c:pt idx="0">
                  <c:v>Price Today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SQ!$F$15:$F$16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SQ!$G$15:$G$16</c:f>
              <c:numCache>
                <c:formatCode>0.00</c:formatCode>
                <c:ptCount val="2"/>
                <c:pt idx="0">
                  <c:v>144.4</c:v>
                </c:pt>
                <c:pt idx="1">
                  <c:v>144.4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F-45E1-964A-17EF8327D849}"/>
            </c:ext>
          </c:extLst>
        </c:ser>
        <c:ser>
          <c:idx val="2"/>
          <c:order val="2"/>
          <c:tx>
            <c:strRef>
              <c:f>SQ!$H$17</c:f>
              <c:strCache>
                <c:ptCount val="1"/>
                <c:pt idx="0">
                  <c:v>Fair 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SQ!$F$17:$F$18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SQ!$G$17:$G$18</c:f>
              <c:numCache>
                <c:formatCode>_("$"* #,##0.00_);_("$"* \(#,##0.00\);_("$"* "-"??_);_(@_)</c:formatCode>
                <c:ptCount val="2"/>
                <c:pt idx="0">
                  <c:v>199.89758423142601</c:v>
                </c:pt>
                <c:pt idx="1">
                  <c:v>199.89758423142601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CF-45E1-964A-17EF8327D849}"/>
            </c:ext>
          </c:extLst>
        </c:ser>
        <c:ser>
          <c:idx val="3"/>
          <c:order val="3"/>
          <c:tx>
            <c:strRef>
              <c:f>SQ!$H$19</c:f>
              <c:strCache>
                <c:ptCount val="1"/>
                <c:pt idx="0">
                  <c:v>Safe 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SQ!$F$19:$F$20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SQ!$G$19:$G$20</c:f>
              <c:numCache>
                <c:formatCode>_("$"* #,##0.00_);_("$"* \(#,##0.00\);_("$"* "-"??_);_(@_)</c:formatCode>
                <c:ptCount val="2"/>
                <c:pt idx="0">
                  <c:v>99.948792115713005</c:v>
                </c:pt>
                <c:pt idx="1">
                  <c:v>99.948792115713005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F-45E1-964A-17EF8327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89928"/>
        <c:axId val="1007391568"/>
      </c:scatterChart>
      <c:valAx>
        <c:axId val="100738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Years from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1568"/>
        <c:crosses val="autoZero"/>
        <c:crossBetween val="midCat"/>
      </c:valAx>
      <c:valAx>
        <c:axId val="10073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49934383202105"/>
          <c:y val="0.18654965004374452"/>
          <c:w val="0.2011672788348034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Share Price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2003499562554"/>
          <c:y val="0.17171296296296296"/>
          <c:w val="0.86744663167104108"/>
          <c:h val="0.617045056867891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AAPL!$H$1</c:f>
              <c:strCache>
                <c:ptCount val="1"/>
                <c:pt idx="0">
                  <c:v>Fair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AAPL!$E$2:$E$11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AAPL!$H$2:$H$11</c:f>
              <c:numCache>
                <c:formatCode>_("$"* #,##0_);_("$"* \(#,##0\);_("$"* "-"??_);_(@_)</c:formatCode>
                <c:ptCount val="10"/>
                <c:pt idx="0">
                  <c:v>40.486230962864063</c:v>
                </c:pt>
                <c:pt idx="1">
                  <c:v>46.559165607293671</c:v>
                </c:pt>
                <c:pt idx="2">
                  <c:v>53.543040448387714</c:v>
                </c:pt>
                <c:pt idx="3">
                  <c:v>61.574496515645869</c:v>
                </c:pt>
                <c:pt idx="4">
                  <c:v>70.81067099299274</c:v>
                </c:pt>
                <c:pt idx="5">
                  <c:v>81.432271641941639</c:v>
                </c:pt>
                <c:pt idx="6">
                  <c:v>93.647112388232884</c:v>
                </c:pt>
                <c:pt idx="7">
                  <c:v>107.69417924646781</c:v>
                </c:pt>
                <c:pt idx="8">
                  <c:v>123.84830613343797</c:v>
                </c:pt>
                <c:pt idx="9">
                  <c:v>142.42555205345366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4-4010-A139-33DF3A72C99F}"/>
            </c:ext>
          </c:extLst>
        </c:ser>
        <c:ser>
          <c:idx val="1"/>
          <c:order val="1"/>
          <c:tx>
            <c:strRef>
              <c:f>AAPL!$H$15</c:f>
              <c:strCache>
                <c:ptCount val="1"/>
                <c:pt idx="0">
                  <c:v>Price Today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AAPL!$F$15:$F$16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AAPL!$G$15:$G$16</c:f>
              <c:numCache>
                <c:formatCode>0.00</c:formatCode>
                <c:ptCount val="2"/>
                <c:pt idx="0">
                  <c:v>115.36</c:v>
                </c:pt>
                <c:pt idx="1">
                  <c:v>115.36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4-4010-A139-33DF3A72C99F}"/>
            </c:ext>
          </c:extLst>
        </c:ser>
        <c:ser>
          <c:idx val="2"/>
          <c:order val="2"/>
          <c:tx>
            <c:strRef>
              <c:f>AAPL!$H$17</c:f>
              <c:strCache>
                <c:ptCount val="1"/>
                <c:pt idx="0">
                  <c:v>Fair 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AAPL!$F$17:$F$18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AAPL!$G$17:$G$18</c:f>
              <c:numCache>
                <c:formatCode>_("$"* #,##0.00_);_("$"* \(#,##0.00\);_("$"* "-"??_);_(@_)</c:formatCode>
                <c:ptCount val="2"/>
                <c:pt idx="0">
                  <c:v>40.486230962864063</c:v>
                </c:pt>
                <c:pt idx="1">
                  <c:v>40.486230962864063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94-4010-A139-33DF3A72C99F}"/>
            </c:ext>
          </c:extLst>
        </c:ser>
        <c:ser>
          <c:idx val="3"/>
          <c:order val="3"/>
          <c:tx>
            <c:strRef>
              <c:f>AAPL!$H$19</c:f>
              <c:strCache>
                <c:ptCount val="1"/>
                <c:pt idx="0">
                  <c:v>Safe 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AAPL!$F$19:$F$20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AAPL!$G$19:$G$20</c:f>
              <c:numCache>
                <c:formatCode>_("$"* #,##0.00_);_("$"* \(#,##0.00\);_("$"* "-"??_);_(@_)</c:formatCode>
                <c:ptCount val="2"/>
                <c:pt idx="0">
                  <c:v>20.243115481432032</c:v>
                </c:pt>
                <c:pt idx="1">
                  <c:v>20.243115481432032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94-4010-A139-33DF3A72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89928"/>
        <c:axId val="1007391568"/>
      </c:scatterChart>
      <c:valAx>
        <c:axId val="100738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Years from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1568"/>
        <c:crosses val="autoZero"/>
        <c:crossBetween val="midCat"/>
      </c:valAx>
      <c:valAx>
        <c:axId val="10073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49934383202105"/>
          <c:y val="0.18654965004374452"/>
          <c:w val="0.2011672788348034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Share Price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2003499562554"/>
          <c:y val="0.17171296296296296"/>
          <c:w val="0.86744663167104108"/>
          <c:h val="0.617045056867891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FB!$H$1</c:f>
              <c:strCache>
                <c:ptCount val="1"/>
                <c:pt idx="0">
                  <c:v>Fair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FB!$E$2:$E$11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FB!$H$2:$H$11</c:f>
              <c:numCache>
                <c:formatCode>_("$"* #,##0_);_("$"* \(#,##0\);_("$"* "-"??_);_(@_)</c:formatCode>
                <c:ptCount val="10"/>
                <c:pt idx="0">
                  <c:v>310.11907531249506</c:v>
                </c:pt>
                <c:pt idx="1">
                  <c:v>356.63693660936929</c:v>
                </c:pt>
                <c:pt idx="2">
                  <c:v>410.13247710077468</c:v>
                </c:pt>
                <c:pt idx="3">
                  <c:v>471.65234866589083</c:v>
                </c:pt>
                <c:pt idx="4">
                  <c:v>542.40020096577439</c:v>
                </c:pt>
                <c:pt idx="5">
                  <c:v>623.76023111064046</c:v>
                </c:pt>
                <c:pt idx="6">
                  <c:v>717.32426577723652</c:v>
                </c:pt>
                <c:pt idx="7">
                  <c:v>824.92290564382188</c:v>
                </c:pt>
                <c:pt idx="8">
                  <c:v>948.6613414903951</c:v>
                </c:pt>
                <c:pt idx="9">
                  <c:v>1090.9605427139543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A-443A-B008-7D39D126FC7C}"/>
            </c:ext>
          </c:extLst>
        </c:ser>
        <c:ser>
          <c:idx val="1"/>
          <c:order val="1"/>
          <c:tx>
            <c:strRef>
              <c:f>FB!$H$15</c:f>
              <c:strCache>
                <c:ptCount val="1"/>
                <c:pt idx="0">
                  <c:v>Price Today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FB!$F$15:$F$16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FB!$G$15:$G$16</c:f>
              <c:numCache>
                <c:formatCode>0.00</c:formatCode>
                <c:ptCount val="2"/>
                <c:pt idx="0">
                  <c:v>266.14999999999998</c:v>
                </c:pt>
                <c:pt idx="1">
                  <c:v>266.14999999999998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A-443A-B008-7D39D126FC7C}"/>
            </c:ext>
          </c:extLst>
        </c:ser>
        <c:ser>
          <c:idx val="2"/>
          <c:order val="2"/>
          <c:tx>
            <c:strRef>
              <c:f>FB!$H$17</c:f>
              <c:strCache>
                <c:ptCount val="1"/>
                <c:pt idx="0">
                  <c:v>Fair 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FB!$F$17:$F$18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FB!$G$17:$G$18</c:f>
              <c:numCache>
                <c:formatCode>_("$"* #,##0.00_);_("$"* \(#,##0.00\);_("$"* "-"??_);_(@_)</c:formatCode>
                <c:ptCount val="2"/>
                <c:pt idx="0">
                  <c:v>310.11907531249506</c:v>
                </c:pt>
                <c:pt idx="1">
                  <c:v>310.11907531249506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A-443A-B008-7D39D126FC7C}"/>
            </c:ext>
          </c:extLst>
        </c:ser>
        <c:ser>
          <c:idx val="3"/>
          <c:order val="3"/>
          <c:tx>
            <c:strRef>
              <c:f>FB!$H$19</c:f>
              <c:strCache>
                <c:ptCount val="1"/>
                <c:pt idx="0">
                  <c:v>Safe 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FB!$F$19:$F$20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FB!$G$19:$G$20</c:f>
              <c:numCache>
                <c:formatCode>_("$"* #,##0.00_);_("$"* \(#,##0.00\);_("$"* "-"??_);_(@_)</c:formatCode>
                <c:ptCount val="2"/>
                <c:pt idx="0">
                  <c:v>155.05953765624753</c:v>
                </c:pt>
                <c:pt idx="1">
                  <c:v>155.05953765624753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6A-443A-B008-7D39D126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89928"/>
        <c:axId val="1007391568"/>
      </c:scatterChart>
      <c:valAx>
        <c:axId val="100738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Years from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1568"/>
        <c:crosses val="autoZero"/>
        <c:crossBetween val="midCat"/>
      </c:valAx>
      <c:valAx>
        <c:axId val="10073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49934383202105"/>
          <c:y val="0.18654965004374452"/>
          <c:w val="0.2011672788348034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99391</xdr:colOff>
      <xdr:row>12</xdr:row>
      <xdr:rowOff>32302</xdr:rowOff>
    </xdr:from>
    <xdr:to>
      <xdr:col>9</xdr:col>
      <xdr:colOff>679174</xdr:colOff>
      <xdr:row>26</xdr:row>
      <xdr:rowOff>100219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33E2F-B211-485A-8ED6-D9DD4011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99391</xdr:colOff>
      <xdr:row>12</xdr:row>
      <xdr:rowOff>32302</xdr:rowOff>
    </xdr:from>
    <xdr:to>
      <xdr:col>9</xdr:col>
      <xdr:colOff>679174</xdr:colOff>
      <xdr:row>26</xdr:row>
      <xdr:rowOff>100219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EF0D9-CEFD-4395-8577-7E5EC5A41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99391</xdr:colOff>
      <xdr:row>12</xdr:row>
      <xdr:rowOff>32302</xdr:rowOff>
    </xdr:from>
    <xdr:to>
      <xdr:col>9</xdr:col>
      <xdr:colOff>679174</xdr:colOff>
      <xdr:row>26</xdr:row>
      <xdr:rowOff>100219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F9C11-B3A6-4E0D-9D84-03DDC5680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1</xdr:row>
      <xdr:rowOff>76200</xdr:rowOff>
    </xdr:from>
    <xdr:ext cx="3231910" cy="420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AC3DC0E-BDD8-4605-BD71-3E266E6AB943}"/>
                </a:ext>
              </a:extLst>
            </xdr:cNvPr>
            <xdr:cNvSpPr txBox="1"/>
          </xdr:nvSpPr>
          <xdr:spPr>
            <a:xfrm>
              <a:off x="342900" y="266700"/>
              <a:ext cx="3231910" cy="420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4 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𝑌𝑒𝑎𝑟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𝐼𝑛𝑐𝑜𝑚𝑒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𝑁𝑒𝑡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𝐼𝑛𝑐𝑜𝑚𝑒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𝑇𝑇𝑀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𝑁𝑒𝑡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𝐼𝑛𝑐𝑜𝑚𝑒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5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𝑦𝑒𝑎𝑟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1/4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AC3DC0E-BDD8-4605-BD71-3E266E6AB943}"/>
                </a:ext>
              </a:extLst>
            </xdr:cNvPr>
            <xdr:cNvSpPr txBox="1"/>
          </xdr:nvSpPr>
          <xdr:spPr>
            <a:xfrm>
              <a:off x="342900" y="266700"/>
              <a:ext cx="3231910" cy="420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4 𝑌𝑒𝑎𝑟 𝐼𝑛𝑐𝑜𝑚𝑒 𝑅𝑎𝑡𝑒=((𝑁𝑒𝑡 𝐼𝑛𝑐𝑜𝑚𝑒 𝑇𝑇𝑀)/(𝑁𝑒𝑡 𝐼𝑛𝑐𝑜𝑚𝑒 5 𝑦𝑒𝑎𝑟))^(1/4)−1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12</xdr:row>
      <xdr:rowOff>47625</xdr:rowOff>
    </xdr:from>
    <xdr:ext cx="3600345" cy="3515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34F620-726D-4051-B60A-6484B5B9940B}"/>
                </a:ext>
              </a:extLst>
            </xdr:cNvPr>
            <xdr:cNvSpPr txBox="1"/>
          </xdr:nvSpPr>
          <xdr:spPr>
            <a:xfrm>
              <a:off x="200025" y="2333625"/>
              <a:ext cx="3600345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𝐼𝑛𝑡𝑟𝑖𝑛𝑠𝑖𝑐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𝑆h𝑎𝑟𝑒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𝑃𝑟𝑖𝑐𝑒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𝑃𝑟𝑒𝑠𝑒𝑛𝑡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𝑉𝑎𝑙𝑢𝑒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𝐸𝑎𝑟𝑛𝑖𝑛𝑔𝑠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𝑆h𝑎𝑟𝑒𝑠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𝑂𝑢𝑡𝑠𝑡𝑎𝑛𝑑𝑖𝑛𝑔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34F620-726D-4051-B60A-6484B5B9940B}"/>
                </a:ext>
              </a:extLst>
            </xdr:cNvPr>
            <xdr:cNvSpPr txBox="1"/>
          </xdr:nvSpPr>
          <xdr:spPr>
            <a:xfrm>
              <a:off x="200025" y="2333625"/>
              <a:ext cx="3600345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𝐼𝑛𝑡𝑟𝑖𝑛𝑠𝑖𝑐 𝑆ℎ𝑎𝑟𝑒 𝑃𝑟𝑖𝑐𝑒=(10𝑌𝑟 𝑃𝑟𝑒𝑠𝑒𝑛𝑡 𝑉𝑎𝑙𝑢𝑒 𝑜𝑓 𝐸𝑎𝑟𝑛𝑖𝑛𝑔𝑠)/(𝑆ℎ𝑎𝑟𝑒𝑠 𝑂𝑢𝑡𝑠𝑡𝑎𝑛𝑑𝑖𝑛𝑔)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8</xdr:row>
      <xdr:rowOff>161925</xdr:rowOff>
    </xdr:from>
    <xdr:ext cx="3209019" cy="3453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885819-4AE2-4108-A633-738311DF1578}"/>
                </a:ext>
              </a:extLst>
            </xdr:cNvPr>
            <xdr:cNvSpPr txBox="1"/>
          </xdr:nvSpPr>
          <xdr:spPr>
            <a:xfrm>
              <a:off x="276225" y="1685925"/>
              <a:ext cx="3209019" cy="345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𝑃𝑟𝑒𝑠𝑒𝑛𝑡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𝐸𝑎𝑟𝑛𝑖𝑛𝑔𝑠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𝑃𝑟𝑜𝑗𝑒𝑐𝑡𝑒𝑑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𝐸𝑎𝑟𝑛𝑖𝑛𝑔𝑠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𝐷𝑖𝑠𝑐𝑜𝑢𝑛𝑡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885819-4AE2-4108-A633-738311DF1578}"/>
                </a:ext>
              </a:extLst>
            </xdr:cNvPr>
            <xdr:cNvSpPr txBox="1"/>
          </xdr:nvSpPr>
          <xdr:spPr>
            <a:xfrm>
              <a:off x="276225" y="1685925"/>
              <a:ext cx="3209019" cy="345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𝑃𝑟𝑒𝑠𝑒𝑛𝑡 𝑉𝑎𝑙𝑢𝑒 𝑜𝑓 𝐸𝑎𝑟𝑛𝑖𝑛𝑔𝑠=(𝑃𝑟𝑜𝑗𝑒𝑐𝑡𝑒𝑑 𝐸𝑎𝑟𝑛𝑖𝑛𝑔𝑠)/(1+𝐷𝑖𝑠𝑐𝑜𝑢𝑛𝑡)^𝑛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6</xdr:row>
      <xdr:rowOff>0</xdr:rowOff>
    </xdr:from>
    <xdr:ext cx="354949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42EC634-0B1E-4AE0-A041-C501DA0D178C}"/>
                </a:ext>
              </a:extLst>
            </xdr:cNvPr>
            <xdr:cNvSpPr txBox="1"/>
          </xdr:nvSpPr>
          <xdr:spPr>
            <a:xfrm>
              <a:off x="228600" y="1143000"/>
              <a:ext cx="35494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𝑃𝑟𝑜𝑗𝑒𝑐𝑡𝑒𝑑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𝐸𝑎𝑟𝑛𝑖𝑛𝑔𝑠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𝐸𝑎𝑟𝑛𝑖𝑛𝑔𝑠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𝐺𝑟𝑜𝑤𝑡h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𝑅𝑎𝑡𝑒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42EC634-0B1E-4AE0-A041-C501DA0D178C}"/>
                </a:ext>
              </a:extLst>
            </xdr:cNvPr>
            <xdr:cNvSpPr txBox="1"/>
          </xdr:nvSpPr>
          <xdr:spPr>
            <a:xfrm>
              <a:off x="228600" y="1143000"/>
              <a:ext cx="35494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𝑃𝑟𝑜𝑗𝑒𝑐𝑡𝑒𝑑 𝐸𝑎𝑟𝑛𝑖𝑛𝑔𝑠=𝐸𝑎𝑟𝑛𝑖𝑛𝑔𝑠∗(1+𝐺𝑟𝑜𝑤𝑡ℎ 𝑅𝑎𝑡𝑒)^𝑛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19050</xdr:colOff>
      <xdr:row>2</xdr:row>
      <xdr:rowOff>19050</xdr:rowOff>
    </xdr:from>
    <xdr:ext cx="27480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EABE046-CB9E-4D5E-B821-246814FDD7C7}"/>
                </a:ext>
              </a:extLst>
            </xdr:cNvPr>
            <xdr:cNvSpPr txBox="1"/>
          </xdr:nvSpPr>
          <xdr:spPr>
            <a:xfrm>
              <a:off x="5505450" y="400050"/>
              <a:ext cx="2748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𝑃𝑟𝑜𝑗𝑒𝑐𝑡𝑒𝑑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𝐸𝑃𝑆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𝐸𝑃𝑆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𝐺𝑟𝑜𝑤𝑡h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𝑅𝑎𝑡𝑒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EABE046-CB9E-4D5E-B821-246814FDD7C7}"/>
                </a:ext>
              </a:extLst>
            </xdr:cNvPr>
            <xdr:cNvSpPr txBox="1"/>
          </xdr:nvSpPr>
          <xdr:spPr>
            <a:xfrm>
              <a:off x="5505450" y="400050"/>
              <a:ext cx="2748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𝑃𝑟𝑜𝑗𝑒𝑐𝑡𝑒𝑑 𝐸𝑃𝑆=𝐸𝑃𝑆∗(1+𝐺𝑟𝑜𝑤𝑡ℎ 𝑅𝑎𝑡𝑒)^𝑛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47625</xdr:colOff>
      <xdr:row>4</xdr:row>
      <xdr:rowOff>85725</xdr:rowOff>
    </xdr:from>
    <xdr:ext cx="2632580" cy="3510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A840975-9DEE-4E38-AC93-1C4D1392C438}"/>
                </a:ext>
              </a:extLst>
            </xdr:cNvPr>
            <xdr:cNvSpPr txBox="1"/>
          </xdr:nvSpPr>
          <xdr:spPr>
            <a:xfrm>
              <a:off x="5534025" y="847725"/>
              <a:ext cx="2632580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𝐹𝑎𝑖𝑟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𝑃𝑟𝑜𝑗𝑒𝑐𝑡𝑒𝑑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𝐸𝑃𝑆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𝐷𝑒𝑠𝑖𝑟𝑒𝑑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𝑅𝑒𝑡𝑢𝑟𝑛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A840975-9DEE-4E38-AC93-1C4D1392C438}"/>
                </a:ext>
              </a:extLst>
            </xdr:cNvPr>
            <xdr:cNvSpPr txBox="1"/>
          </xdr:nvSpPr>
          <xdr:spPr>
            <a:xfrm>
              <a:off x="5534025" y="847725"/>
              <a:ext cx="2632580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𝐹𝑎𝑖𝑟 𝑉𝑎𝑙𝑢𝑒=(𝑃𝑟𝑜𝑗𝑒𝑐𝑡𝑒𝑑 𝐸𝑃𝑆)/(1+𝐷𝑒𝑠𝑖𝑟𝑒𝑑 𝑅𝑎𝑡𝑒 𝑜𝑓 𝑅𝑒𝑡𝑢𝑟𝑛)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sn.com/en-us/money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sn.com/en-us/money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sn.com/en-us/money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F755-3D75-46A1-AF04-F8498BC42834}">
  <dimension ref="A1:L30"/>
  <sheetViews>
    <sheetView tabSelected="1" zoomScale="115" zoomScaleNormal="115" workbookViewId="0">
      <selection activeCell="M1" sqref="M1"/>
    </sheetView>
  </sheetViews>
  <sheetFormatPr defaultRowHeight="15" x14ac:dyDescent="0.25"/>
  <cols>
    <col min="1" max="1" width="29" customWidth="1"/>
    <col min="2" max="2" width="11.7109375" customWidth="1"/>
    <col min="3" max="3" width="32.5703125" bestFit="1" customWidth="1"/>
    <col min="4" max="4" width="1" style="17" customWidth="1"/>
    <col min="5" max="5" width="6.42578125" customWidth="1"/>
    <col min="6" max="6" width="23.28515625" customWidth="1"/>
    <col min="7" max="7" width="10.5703125" customWidth="1"/>
    <col min="8" max="8" width="10.42578125" customWidth="1"/>
    <col min="10" max="10" width="12.85546875" customWidth="1"/>
    <col min="11" max="11" width="13.42578125" customWidth="1"/>
  </cols>
  <sheetData>
    <row r="1" spans="1:12" ht="49.5" customHeight="1" x14ac:dyDescent="0.3">
      <c r="A1" s="18" t="s">
        <v>0</v>
      </c>
      <c r="B1" s="19"/>
      <c r="C1" s="20"/>
      <c r="E1" s="5" t="s">
        <v>6</v>
      </c>
      <c r="F1" s="5" t="s">
        <v>18</v>
      </c>
      <c r="G1" s="5" t="s">
        <v>7</v>
      </c>
      <c r="H1" s="5" t="s">
        <v>8</v>
      </c>
      <c r="J1" s="5" t="s">
        <v>19</v>
      </c>
      <c r="K1" s="5" t="s">
        <v>20</v>
      </c>
    </row>
    <row r="2" spans="1:12" x14ac:dyDescent="0.25">
      <c r="A2" s="21" t="s">
        <v>1</v>
      </c>
      <c r="B2" s="22" t="s">
        <v>25</v>
      </c>
      <c r="C2" s="23"/>
      <c r="E2" s="2">
        <v>0</v>
      </c>
      <c r="F2" s="2">
        <f ca="1">YEAR(TODAY())+E2</f>
        <v>2020</v>
      </c>
      <c r="G2" s="3">
        <f>$B$4</f>
        <v>0.64</v>
      </c>
      <c r="H2" s="41">
        <f>H3/(1+$B$17)</f>
        <v>199.89758423142601</v>
      </c>
      <c r="J2" s="12">
        <f>B10</f>
        <v>302.96800000000002</v>
      </c>
      <c r="K2" s="12">
        <f>1/(1+$B$16)^(E2+1)*J2</f>
        <v>288.54095238095238</v>
      </c>
    </row>
    <row r="3" spans="1:12" x14ac:dyDescent="0.25">
      <c r="A3" s="24" t="str">
        <f>HYPERLINK(CONCATENATE("https://finance.yahoo.com/quote/",B2,"?p=",B2),  "Last Price")</f>
        <v>Last Price</v>
      </c>
      <c r="B3" s="40">
        <v>144.4</v>
      </c>
      <c r="C3" s="23" t="s">
        <v>9</v>
      </c>
      <c r="E3" s="2">
        <v>1</v>
      </c>
      <c r="F3" s="2">
        <f t="shared" ref="F3:F11" ca="1" si="0">YEAR(TODAY())+E3</f>
        <v>2021</v>
      </c>
      <c r="G3" s="3">
        <f>G2*(1+$B$5)</f>
        <v>0.86905599999999994</v>
      </c>
      <c r="H3" s="41">
        <f>H4/(1+$B$17)</f>
        <v>229.8822218661399</v>
      </c>
      <c r="J3" s="12">
        <f>J2*(1+$B$22)</f>
        <v>373.34925447656616</v>
      </c>
      <c r="K3" s="12">
        <f>1/(1+$B$16)^(E3+1)*J3</f>
        <v>338.63877957058151</v>
      </c>
    </row>
    <row r="4" spans="1:12" x14ac:dyDescent="0.25">
      <c r="A4" s="24" t="str">
        <f>HYPERLINK(CONCATENATE("https://finance.yahoo.com/quote/",B2,"?p=",B2),  "EPS (TTM)")</f>
        <v>EPS (TTM)</v>
      </c>
      <c r="B4" s="25">
        <v>0.64</v>
      </c>
      <c r="C4" s="23" t="s">
        <v>9</v>
      </c>
      <c r="E4" s="2">
        <v>2</v>
      </c>
      <c r="F4" s="2">
        <f t="shared" ca="1" si="0"/>
        <v>2022</v>
      </c>
      <c r="G4" s="3">
        <f>G3*(1+$B$5)</f>
        <v>1.1800911423999998</v>
      </c>
      <c r="H4" s="41">
        <f>H5/(1+$B$17)</f>
        <v>264.36455514606087</v>
      </c>
      <c r="J4" s="12">
        <f>J3*(1+$B$22)</f>
        <v>460.08048974877795</v>
      </c>
      <c r="K4" s="12">
        <f>1/(1+$B$16)^(E4+1)*J4</f>
        <v>397.43482539576974</v>
      </c>
    </row>
    <row r="5" spans="1:12" x14ac:dyDescent="0.25">
      <c r="A5" s="24" t="str">
        <f>HYPERLINK(CONCATENATE("https://finance.yahoo.com/quote/",B2,"/analysis?p=",B2),  "Growth Rate")</f>
        <v>Growth Rate</v>
      </c>
      <c r="B5" s="26">
        <v>0.3579</v>
      </c>
      <c r="C5" s="23" t="s">
        <v>9</v>
      </c>
      <c r="E5" s="2">
        <v>3</v>
      </c>
      <c r="F5" s="2">
        <f t="shared" ca="1" si="0"/>
        <v>2023</v>
      </c>
      <c r="G5" s="3">
        <f>G4*(1+$B$5)</f>
        <v>1.6024457622649595</v>
      </c>
      <c r="H5" s="41">
        <f>H6/(1+$B$17)</f>
        <v>304.01923841796997</v>
      </c>
      <c r="J5" s="12">
        <f>J4*(1+$B$22)</f>
        <v>566.95990285086111</v>
      </c>
      <c r="K5" s="12">
        <f>1/(1+$B$16)^(E5+1)*J5</f>
        <v>466.43931518316839</v>
      </c>
    </row>
    <row r="6" spans="1:12" x14ac:dyDescent="0.25">
      <c r="A6" s="24" t="s">
        <v>3</v>
      </c>
      <c r="B6" s="25">
        <v>70</v>
      </c>
      <c r="C6" s="23" t="s">
        <v>9</v>
      </c>
      <c r="E6" s="2">
        <v>4</v>
      </c>
      <c r="F6" s="2">
        <f t="shared" ca="1" si="0"/>
        <v>2024</v>
      </c>
      <c r="G6" s="3">
        <f>G5*(1+$B$5)</f>
        <v>2.1759611005795882</v>
      </c>
      <c r="H6" s="41">
        <f>H7/(1+$B$17)</f>
        <v>349.62212418066542</v>
      </c>
      <c r="J6" s="12">
        <f>J5*(1+$B$22)</f>
        <v>698.66803440454237</v>
      </c>
      <c r="K6" s="12">
        <f>1/(1+$B$16)^(E6+1)*J6</f>
        <v>547.42468663104444</v>
      </c>
    </row>
    <row r="7" spans="1:12" x14ac:dyDescent="0.25">
      <c r="A7" s="24" t="str">
        <f>HYPERLINK(CONCATENATE("https://finance.yahoo.com/quote/",B2,"/key-statistics?p=",B2),  "No Shares Outstanding (Million)")</f>
        <v>No Shares Outstanding (Million)</v>
      </c>
      <c r="B7" s="7">
        <v>443.53</v>
      </c>
      <c r="C7" s="23" t="s">
        <v>9</v>
      </c>
      <c r="E7" s="2">
        <v>5</v>
      </c>
      <c r="F7" s="2">
        <f t="shared" ca="1" si="0"/>
        <v>2025</v>
      </c>
      <c r="G7" s="3">
        <f>G6*(1+$B$5)</f>
        <v>2.9547375784770225</v>
      </c>
      <c r="H7" s="41">
        <f>H8/(1+$B$17)</f>
        <v>402.06544280776518</v>
      </c>
      <c r="J7" s="12">
        <f>J6*(1+$B$22)</f>
        <v>860.97274224189937</v>
      </c>
      <c r="K7" s="12">
        <f>1/(1+$B$16)^(E7+1)*J7</f>
        <v>642.47111634536384</v>
      </c>
    </row>
    <row r="8" spans="1:12" x14ac:dyDescent="0.25">
      <c r="E8" s="2">
        <v>6</v>
      </c>
      <c r="F8" s="2">
        <f t="shared" ca="1" si="0"/>
        <v>2026</v>
      </c>
      <c r="G8" s="3">
        <f>G7*(1+$B$5)</f>
        <v>4.0122381578139485</v>
      </c>
      <c r="H8" s="41">
        <f>H9/(1+$B$17)</f>
        <v>462.37525922892991</v>
      </c>
      <c r="J8" s="12">
        <f>J7*(1+$B$22)</f>
        <v>1060.9817916105262</v>
      </c>
      <c r="K8" s="12">
        <f>1/(1+$B$16)^(E8+1)*J8</f>
        <v>754.01995090560808</v>
      </c>
    </row>
    <row r="9" spans="1:12" x14ac:dyDescent="0.25">
      <c r="A9" s="31" t="str">
        <f>HYPERLINK(CONCATENATE("https://finance.yahoo.com/quote/",B2,"/financials?p=",B2),  "Net Income (Million)")</f>
        <v>Net Income (Million)</v>
      </c>
      <c r="B9" s="8"/>
      <c r="C9" s="23" t="s">
        <v>9</v>
      </c>
      <c r="E9" s="2">
        <v>7</v>
      </c>
      <c r="F9" s="2">
        <f t="shared" ca="1" si="0"/>
        <v>2027</v>
      </c>
      <c r="G9" s="3">
        <f>G8*(1+$B$5)</f>
        <v>5.4482181944955599</v>
      </c>
      <c r="H9" s="41">
        <f>H10/(1+$B$17)</f>
        <v>531.73154811326935</v>
      </c>
      <c r="J9" s="12">
        <f>J8*(1+$B$22)</f>
        <v>1307.4541235741117</v>
      </c>
      <c r="K9" s="12">
        <f>1/(1+$B$16)^(E9+1)*J9</f>
        <v>884.93641488167816</v>
      </c>
    </row>
    <row r="10" spans="1:12" x14ac:dyDescent="0.25">
      <c r="A10" s="32" t="s">
        <v>15</v>
      </c>
      <c r="B10" s="33">
        <v>302.96800000000002</v>
      </c>
      <c r="C10" s="30"/>
      <c r="E10" s="2">
        <v>8</v>
      </c>
      <c r="F10" s="2">
        <f t="shared" ca="1" si="0"/>
        <v>2028</v>
      </c>
      <c r="G10" s="3">
        <f>G9*(1+$B$5)</f>
        <v>7.3981354863055202</v>
      </c>
      <c r="H10" s="41">
        <f>H11/(1+$B$17)</f>
        <v>611.49128033025966</v>
      </c>
      <c r="J10" s="12">
        <f>J9*(1+$B$22)</f>
        <v>1611.1834328995367</v>
      </c>
      <c r="K10" s="12">
        <f>1/(1+$B$16)^(E10+1)*J10</f>
        <v>1038.5832065094405</v>
      </c>
    </row>
    <row r="11" spans="1:12" x14ac:dyDescent="0.25">
      <c r="A11" s="32">
        <f ca="1">YEAR(TODAY())-1</f>
        <v>2019</v>
      </c>
      <c r="B11" s="33">
        <v>375.44600000000003</v>
      </c>
      <c r="C11" s="30"/>
      <c r="E11" s="2">
        <v>9</v>
      </c>
      <c r="F11" s="2">
        <f t="shared" ca="1" si="0"/>
        <v>2029</v>
      </c>
      <c r="G11" s="3">
        <f>G10*(1+$B$5)</f>
        <v>10.045928176854265</v>
      </c>
      <c r="H11" s="42">
        <f>$B$26</f>
        <v>703.2149723797985</v>
      </c>
      <c r="J11" s="12">
        <f>J10*(1+$B$22)</f>
        <v>1985.4708533509697</v>
      </c>
      <c r="K11" s="12">
        <f>1/(1+$B$16)^(E11+1)*J11</f>
        <v>1218.9068713910417</v>
      </c>
    </row>
    <row r="12" spans="1:12" x14ac:dyDescent="0.25">
      <c r="A12" s="32">
        <f ca="1">YEAR(TODAY())-2</f>
        <v>2018</v>
      </c>
      <c r="B12" s="33">
        <v>-38.453000000000003</v>
      </c>
      <c r="C12" s="39"/>
      <c r="K12" s="14">
        <f>SUM(K2:K11)</f>
        <v>6577.3961191946491</v>
      </c>
      <c r="L12" s="13" t="s">
        <v>21</v>
      </c>
    </row>
    <row r="13" spans="1:12" x14ac:dyDescent="0.25">
      <c r="A13" s="32">
        <f ca="1">YEAR(TODAY())-3</f>
        <v>2017</v>
      </c>
      <c r="B13" s="33">
        <v>-62.813000000000002</v>
      </c>
      <c r="C13" s="30"/>
    </row>
    <row r="14" spans="1:12" x14ac:dyDescent="0.25">
      <c r="A14" s="32">
        <f ca="1">YEAR(TODAY())-4</f>
        <v>2016</v>
      </c>
      <c r="B14" s="33">
        <v>-171.59</v>
      </c>
      <c r="C14" s="30"/>
    </row>
    <row r="15" spans="1:12" ht="15.75" thickBot="1" x14ac:dyDescent="0.3">
      <c r="C15" s="35"/>
      <c r="F15">
        <v>0</v>
      </c>
      <c r="G15" s="1">
        <f>B3</f>
        <v>144.4</v>
      </c>
      <c r="H15" t="s">
        <v>26</v>
      </c>
    </row>
    <row r="16" spans="1:12" x14ac:dyDescent="0.25">
      <c r="A16" s="44" t="s">
        <v>14</v>
      </c>
      <c r="B16" s="43">
        <v>0.05</v>
      </c>
      <c r="C16" s="23" t="s">
        <v>5</v>
      </c>
      <c r="F16">
        <v>10</v>
      </c>
      <c r="G16" s="1">
        <f>B3</f>
        <v>144.4</v>
      </c>
    </row>
    <row r="17" spans="1:8" x14ac:dyDescent="0.25">
      <c r="A17" s="21" t="s">
        <v>2</v>
      </c>
      <c r="B17" s="27">
        <v>0.15</v>
      </c>
      <c r="C17" s="23" t="s">
        <v>5</v>
      </c>
      <c r="F17">
        <v>0</v>
      </c>
      <c r="G17" s="4">
        <f>B27</f>
        <v>199.89758423142601</v>
      </c>
      <c r="H17" t="s">
        <v>8</v>
      </c>
    </row>
    <row r="18" spans="1:8" x14ac:dyDescent="0.25">
      <c r="A18" s="21" t="s">
        <v>11</v>
      </c>
      <c r="B18" s="27">
        <v>0.5</v>
      </c>
      <c r="C18" s="23" t="s">
        <v>5</v>
      </c>
      <c r="F18">
        <v>10</v>
      </c>
      <c r="G18" s="4">
        <f>B27</f>
        <v>199.89758423142601</v>
      </c>
    </row>
    <row r="19" spans="1:8" x14ac:dyDescent="0.25">
      <c r="A19" s="28"/>
      <c r="B19" s="29"/>
      <c r="C19" s="30"/>
      <c r="F19">
        <v>0</v>
      </c>
      <c r="G19" s="4">
        <f>B29</f>
        <v>99.948792115713005</v>
      </c>
      <c r="H19" t="s">
        <v>27</v>
      </c>
    </row>
    <row r="20" spans="1:8" ht="15.75" thickBot="1" x14ac:dyDescent="0.3">
      <c r="A20" s="34"/>
      <c r="B20" s="35"/>
      <c r="C20" s="36"/>
      <c r="F20">
        <v>10</v>
      </c>
      <c r="G20" s="4">
        <f>B29</f>
        <v>99.948792115713005</v>
      </c>
    </row>
    <row r="21" spans="1:8" x14ac:dyDescent="0.25">
      <c r="A21" s="45" t="s">
        <v>31</v>
      </c>
      <c r="B21" s="46"/>
    </row>
    <row r="22" spans="1:8" x14ac:dyDescent="0.25">
      <c r="A22" s="2" t="s">
        <v>17</v>
      </c>
      <c r="B22" s="11">
        <f xml:space="preserve"> (B10/ IF(B14&lt;0, B10+B14,B14) )^(1/4)-1</f>
        <v>0.23230590186609201</v>
      </c>
    </row>
    <row r="23" spans="1:8" x14ac:dyDescent="0.25">
      <c r="A23" s="2" t="s">
        <v>22</v>
      </c>
      <c r="B23" s="38">
        <f>K12/B7</f>
        <v>14.829653279811174</v>
      </c>
    </row>
    <row r="24" spans="1:8" x14ac:dyDescent="0.25">
      <c r="A24" s="2" t="s">
        <v>29</v>
      </c>
      <c r="B24" s="47">
        <f>B3/B23</f>
        <v>9.737247208374292</v>
      </c>
    </row>
    <row r="25" spans="1:8" x14ac:dyDescent="0.25">
      <c r="A25" s="9" t="s">
        <v>24</v>
      </c>
      <c r="B25" s="10"/>
    </row>
    <row r="26" spans="1:8" x14ac:dyDescent="0.25">
      <c r="A26" s="2" t="s">
        <v>13</v>
      </c>
      <c r="B26" s="15">
        <f>$B$6*$G$11</f>
        <v>703.2149723797985</v>
      </c>
    </row>
    <row r="27" spans="1:8" x14ac:dyDescent="0.25">
      <c r="A27" s="2" t="s">
        <v>10</v>
      </c>
      <c r="B27" s="15">
        <f>$H$2</f>
        <v>199.89758423142601</v>
      </c>
    </row>
    <row r="28" spans="1:8" x14ac:dyDescent="0.25">
      <c r="A28" s="6" t="s">
        <v>12</v>
      </c>
      <c r="B28" s="16">
        <f>($B$27-$B$3)/$B$3</f>
        <v>0.38433230077164821</v>
      </c>
    </row>
    <row r="29" spans="1:8" x14ac:dyDescent="0.25">
      <c r="A29" s="2" t="s">
        <v>23</v>
      </c>
      <c r="B29" s="15">
        <f>B27*B18</f>
        <v>99.948792115713005</v>
      </c>
    </row>
    <row r="30" spans="1:8" x14ac:dyDescent="0.25">
      <c r="A30" s="2" t="s">
        <v>30</v>
      </c>
      <c r="B30" s="47">
        <f>B3/B29</f>
        <v>1.4447398206956301</v>
      </c>
    </row>
  </sheetData>
  <mergeCells count="4">
    <mergeCell ref="A1:C1"/>
    <mergeCell ref="A9:B9"/>
    <mergeCell ref="A21:B21"/>
    <mergeCell ref="A25:B25"/>
  </mergeCells>
  <conditionalFormatting sqref="B28">
    <cfRule type="expression" dxfId="1" priority="2">
      <formula>$B$28&lt;$B$18</formula>
    </cfRule>
  </conditionalFormatting>
  <conditionalFormatting sqref="B24 B30">
    <cfRule type="expression" dxfId="0" priority="1">
      <formula>B24&gt;1</formula>
    </cfRule>
  </conditionalFormatting>
  <hyperlinks>
    <hyperlink ref="A6" r:id="rId1" xr:uid="{A9B6EA83-6489-4207-8E5D-AAE2963273C8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8271-D040-44B0-8B70-8DD4D75F0A44}">
  <dimension ref="A1:L30"/>
  <sheetViews>
    <sheetView zoomScale="115" zoomScaleNormal="115" workbookViewId="0">
      <selection activeCell="C15" sqref="C15"/>
    </sheetView>
  </sheetViews>
  <sheetFormatPr defaultRowHeight="15" x14ac:dyDescent="0.25"/>
  <cols>
    <col min="1" max="1" width="29" customWidth="1"/>
    <col min="2" max="2" width="11.7109375" customWidth="1"/>
    <col min="3" max="3" width="32.5703125" bestFit="1" customWidth="1"/>
    <col min="4" max="4" width="1" style="17" customWidth="1"/>
    <col min="5" max="5" width="6.42578125" customWidth="1"/>
    <col min="6" max="6" width="23.28515625" customWidth="1"/>
    <col min="7" max="7" width="10.5703125" customWidth="1"/>
    <col min="8" max="8" width="10.42578125" customWidth="1"/>
    <col min="10" max="10" width="12.85546875" customWidth="1"/>
    <col min="11" max="11" width="13.42578125" customWidth="1"/>
  </cols>
  <sheetData>
    <row r="1" spans="1:12" ht="49.5" customHeight="1" x14ac:dyDescent="0.3">
      <c r="A1" s="18" t="s">
        <v>0</v>
      </c>
      <c r="B1" s="19"/>
      <c r="C1" s="20"/>
      <c r="E1" s="5" t="s">
        <v>6</v>
      </c>
      <c r="F1" s="5" t="s">
        <v>18</v>
      </c>
      <c r="G1" s="5" t="s">
        <v>7</v>
      </c>
      <c r="H1" s="5" t="s">
        <v>8</v>
      </c>
      <c r="J1" s="5" t="s">
        <v>19</v>
      </c>
      <c r="K1" s="5" t="s">
        <v>20</v>
      </c>
    </row>
    <row r="2" spans="1:12" x14ac:dyDescent="0.25">
      <c r="A2" s="21" t="s">
        <v>1</v>
      </c>
      <c r="B2" s="22" t="s">
        <v>4</v>
      </c>
      <c r="C2" s="23"/>
      <c r="E2" s="2">
        <v>0</v>
      </c>
      <c r="F2" s="2">
        <f ca="1">YEAR(TODAY())+E2</f>
        <v>2020</v>
      </c>
      <c r="G2" s="3">
        <f>$B$4</f>
        <v>3.3</v>
      </c>
      <c r="H2" s="41">
        <f>H3/(1+$B$17)</f>
        <v>40.486230962864063</v>
      </c>
      <c r="J2" s="12">
        <f>B10</f>
        <v>58424</v>
      </c>
      <c r="K2" s="12">
        <f>1/(1+$B$16)^(E2+1)*J2</f>
        <v>55641.904761904756</v>
      </c>
    </row>
    <row r="3" spans="1:12" x14ac:dyDescent="0.25">
      <c r="A3" s="24" t="str">
        <f>HYPERLINK(CONCATENATE("https://finance.yahoo.com/quote/",B2,"?p=",B2),  "Last Price")</f>
        <v>Last Price</v>
      </c>
      <c r="B3" s="40">
        <v>115.36</v>
      </c>
      <c r="C3" s="23" t="s">
        <v>9</v>
      </c>
      <c r="E3" s="2">
        <v>1</v>
      </c>
      <c r="F3" s="2">
        <f t="shared" ref="F3:F11" ca="1" si="0">YEAR(TODAY())+E3</f>
        <v>2021</v>
      </c>
      <c r="G3" s="3">
        <f>G2*(1+$B$5)</f>
        <v>3.7111800000000001</v>
      </c>
      <c r="H3" s="41">
        <f>H4/(1+$B$17)</f>
        <v>46.559165607293671</v>
      </c>
      <c r="J3" s="12">
        <f>J2*(1+$B$22)</f>
        <v>62128.511565520203</v>
      </c>
      <c r="K3" s="12">
        <f>1/(1+$B$16)^(E3+1)*J3</f>
        <v>56352.391442648703</v>
      </c>
    </row>
    <row r="4" spans="1:12" x14ac:dyDescent="0.25">
      <c r="A4" s="24" t="str">
        <f>HYPERLINK(CONCATENATE("https://finance.yahoo.com/quote/",B2,"?p=",B2),  "EPS (TTM)")</f>
        <v>EPS (TTM)</v>
      </c>
      <c r="B4" s="25">
        <v>3.3</v>
      </c>
      <c r="C4" s="23" t="s">
        <v>9</v>
      </c>
      <c r="E4" s="2">
        <v>2</v>
      </c>
      <c r="F4" s="2">
        <f t="shared" ca="1" si="0"/>
        <v>2022</v>
      </c>
      <c r="G4" s="3">
        <f>G3*(1+$B$5)</f>
        <v>4.173593028</v>
      </c>
      <c r="H4" s="41">
        <f>H5/(1+$B$17)</f>
        <v>53.543040448387714</v>
      </c>
      <c r="J4" s="12">
        <f>J3*(1+$B$22)</f>
        <v>66067.916427272648</v>
      </c>
      <c r="K4" s="12">
        <f>1/(1+$B$16)^(E4+1)*J4</f>
        <v>57071.950266513457</v>
      </c>
    </row>
    <row r="5" spans="1:12" x14ac:dyDescent="0.25">
      <c r="A5" s="24" t="str">
        <f>HYPERLINK(CONCATENATE("https://finance.yahoo.com/quote/",B2,"/analysis?p=",B2),  "Growth Rate")</f>
        <v>Growth Rate</v>
      </c>
      <c r="B5" s="26">
        <v>0.1246</v>
      </c>
      <c r="C5" s="23" t="s">
        <v>9</v>
      </c>
      <c r="E5" s="2">
        <v>3</v>
      </c>
      <c r="F5" s="2">
        <f t="shared" ca="1" si="0"/>
        <v>2023</v>
      </c>
      <c r="G5" s="3">
        <f>G4*(1+$B$5)</f>
        <v>4.6936227192888005</v>
      </c>
      <c r="H5" s="41">
        <f>H6/(1+$B$17)</f>
        <v>61.574496515645869</v>
      </c>
      <c r="J5" s="12">
        <f>J4*(1+$B$22)</f>
        <v>70257.108548911929</v>
      </c>
      <c r="K5" s="12">
        <f>1/(1+$B$16)^(E5+1)*J5</f>
        <v>57800.697074911732</v>
      </c>
    </row>
    <row r="6" spans="1:12" x14ac:dyDescent="0.25">
      <c r="A6" s="24" t="s">
        <v>3</v>
      </c>
      <c r="B6" s="25">
        <v>15</v>
      </c>
      <c r="C6" s="23" t="s">
        <v>9</v>
      </c>
      <c r="E6" s="2">
        <v>4</v>
      </c>
      <c r="F6" s="2">
        <f t="shared" ca="1" si="0"/>
        <v>2024</v>
      </c>
      <c r="G6" s="3">
        <f>G5*(1+$B$5)</f>
        <v>5.2784481101121852</v>
      </c>
      <c r="H6" s="41">
        <f>H7/(1+$B$17)</f>
        <v>70.81067099299274</v>
      </c>
      <c r="J6" s="12">
        <f>J5*(1+$B$22)</f>
        <v>74711.92628099896</v>
      </c>
      <c r="K6" s="12">
        <f>1/(1+$B$16)^(E6+1)*J6</f>
        <v>58538.749188425223</v>
      </c>
    </row>
    <row r="7" spans="1:12" x14ac:dyDescent="0.25">
      <c r="A7" s="24" t="str">
        <f>HYPERLINK(CONCATENATE("https://finance.yahoo.com/quote/",B2,"/key-statistics?p=",B2),  "No Shares Outstanding (Million)")</f>
        <v>No Shares Outstanding (Million)</v>
      </c>
      <c r="B7" s="7">
        <v>17000</v>
      </c>
      <c r="C7" s="23" t="s">
        <v>9</v>
      </c>
      <c r="E7" s="2">
        <v>5</v>
      </c>
      <c r="F7" s="2">
        <f t="shared" ca="1" si="0"/>
        <v>2025</v>
      </c>
      <c r="G7" s="3">
        <f>G6*(1+$B$5)</f>
        <v>5.9361427446321633</v>
      </c>
      <c r="H7" s="41">
        <f>H8/(1+$B$17)</f>
        <v>81.432271641941639</v>
      </c>
      <c r="J7" s="12">
        <f>J6*(1+$B$22)</f>
        <v>79449.212242080932</v>
      </c>
      <c r="K7" s="12">
        <f>1/(1+$B$16)^(E7+1)*J7</f>
        <v>59286.225425692035</v>
      </c>
    </row>
    <row r="8" spans="1:12" x14ac:dyDescent="0.25">
      <c r="E8" s="2">
        <v>6</v>
      </c>
      <c r="F8" s="2">
        <f t="shared" ca="1" si="0"/>
        <v>2026</v>
      </c>
      <c r="G8" s="3">
        <f>G7*(1+$B$5)</f>
        <v>6.6757861306133313</v>
      </c>
      <c r="H8" s="41">
        <f>H9/(1+$B$17)</f>
        <v>93.647112388232884</v>
      </c>
      <c r="J8" s="12">
        <f>J7*(1+$B$22)</f>
        <v>84486.876996672509</v>
      </c>
      <c r="K8" s="12">
        <f>1/(1+$B$16)^(E8+1)*J8</f>
        <v>60043.24612253518</v>
      </c>
    </row>
    <row r="9" spans="1:12" x14ac:dyDescent="0.25">
      <c r="A9" s="31" t="str">
        <f>HYPERLINK(CONCATENATE("https://finance.yahoo.com/quote/",B2,"/financials?p=",B2),  "Net Income (Million)")</f>
        <v>Net Income (Million)</v>
      </c>
      <c r="B9" s="8"/>
      <c r="C9" s="23" t="s">
        <v>9</v>
      </c>
      <c r="E9" s="2">
        <v>7</v>
      </c>
      <c r="F9" s="2">
        <f t="shared" ca="1" si="0"/>
        <v>2027</v>
      </c>
      <c r="G9" s="3">
        <f>G8*(1+$B$5)</f>
        <v>7.5075890824877529</v>
      </c>
      <c r="H9" s="41">
        <f>H10/(1+$B$17)</f>
        <v>107.69417924646781</v>
      </c>
      <c r="J9" s="12">
        <f>J8*(1+$B$22)</f>
        <v>89843.966770889543</v>
      </c>
      <c r="K9" s="12">
        <f>1/(1+$B$16)^(E9+1)*J9</f>
        <v>60809.933151335455</v>
      </c>
    </row>
    <row r="10" spans="1:12" x14ac:dyDescent="0.25">
      <c r="A10" s="32" t="s">
        <v>15</v>
      </c>
      <c r="B10" s="33">
        <v>58424</v>
      </c>
      <c r="C10" s="30"/>
      <c r="E10" s="2">
        <v>8</v>
      </c>
      <c r="F10" s="2">
        <f t="shared" ca="1" si="0"/>
        <v>2028</v>
      </c>
      <c r="G10" s="3">
        <f>G9*(1+$B$5)</f>
        <v>8.4430346821657274</v>
      </c>
      <c r="H10" s="41">
        <f>H11/(1+$B$17)</f>
        <v>123.84830613343797</v>
      </c>
      <c r="J10" s="12">
        <f>J9*(1+$B$22)</f>
        <v>95540.735461752425</v>
      </c>
      <c r="K10" s="12">
        <f>1/(1+$B$16)^(E10+1)*J10</f>
        <v>61586.409940651502</v>
      </c>
    </row>
    <row r="11" spans="1:12" x14ac:dyDescent="0.25">
      <c r="A11" s="32">
        <f ca="1">YEAR(TODAY())-1</f>
        <v>2019</v>
      </c>
      <c r="B11" s="33">
        <v>55256</v>
      </c>
      <c r="C11" s="30"/>
      <c r="E11" s="2">
        <v>9</v>
      </c>
      <c r="F11" s="2">
        <f t="shared" ca="1" si="0"/>
        <v>2029</v>
      </c>
      <c r="G11" s="3">
        <f>G10*(1+$B$5)</f>
        <v>9.4950368035635773</v>
      </c>
      <c r="H11" s="42">
        <f>$B$26</f>
        <v>142.42555205345366</v>
      </c>
      <c r="J11" s="12">
        <f>J10*(1+$B$22)</f>
        <v>101598.72121240915</v>
      </c>
      <c r="K11" s="12">
        <f>1/(1+$B$16)^(E11+1)*J11</f>
        <v>62372.801495090658</v>
      </c>
    </row>
    <row r="12" spans="1:12" x14ac:dyDescent="0.25">
      <c r="A12" s="32">
        <f ca="1">YEAR(TODAY())-2</f>
        <v>2018</v>
      </c>
      <c r="B12" s="33">
        <v>59531</v>
      </c>
      <c r="C12" s="39"/>
      <c r="K12" s="14">
        <f>SUM(K2:K11)</f>
        <v>589504.3088697088</v>
      </c>
      <c r="L12" s="13" t="s">
        <v>21</v>
      </c>
    </row>
    <row r="13" spans="1:12" x14ac:dyDescent="0.25">
      <c r="A13" s="32">
        <f ca="1">YEAR(TODAY())-3</f>
        <v>2017</v>
      </c>
      <c r="B13" s="33">
        <v>48351</v>
      </c>
      <c r="C13" s="30"/>
    </row>
    <row r="14" spans="1:12" x14ac:dyDescent="0.25">
      <c r="A14" s="32">
        <f ca="1">YEAR(TODAY())-4</f>
        <v>2016</v>
      </c>
      <c r="B14" s="33">
        <v>45687</v>
      </c>
      <c r="C14" s="30"/>
    </row>
    <row r="15" spans="1:12" ht="15.75" thickBot="1" x14ac:dyDescent="0.3">
      <c r="C15" s="35"/>
      <c r="F15">
        <v>0</v>
      </c>
      <c r="G15" s="1">
        <f>B3</f>
        <v>115.36</v>
      </c>
      <c r="H15" t="s">
        <v>26</v>
      </c>
    </row>
    <row r="16" spans="1:12" x14ac:dyDescent="0.25">
      <c r="A16" s="44" t="s">
        <v>14</v>
      </c>
      <c r="B16" s="43">
        <v>0.05</v>
      </c>
      <c r="C16" s="23" t="s">
        <v>5</v>
      </c>
      <c r="F16">
        <v>10</v>
      </c>
      <c r="G16" s="1">
        <f>B3</f>
        <v>115.36</v>
      </c>
    </row>
    <row r="17" spans="1:8" x14ac:dyDescent="0.25">
      <c r="A17" s="21" t="s">
        <v>2</v>
      </c>
      <c r="B17" s="27">
        <v>0.15</v>
      </c>
      <c r="C17" s="23" t="s">
        <v>5</v>
      </c>
      <c r="F17">
        <v>0</v>
      </c>
      <c r="G17" s="4">
        <f>B27</f>
        <v>40.486230962864063</v>
      </c>
      <c r="H17" t="s">
        <v>8</v>
      </c>
    </row>
    <row r="18" spans="1:8" x14ac:dyDescent="0.25">
      <c r="A18" s="21" t="s">
        <v>11</v>
      </c>
      <c r="B18" s="27">
        <v>0.5</v>
      </c>
      <c r="C18" s="23" t="s">
        <v>5</v>
      </c>
      <c r="F18">
        <v>10</v>
      </c>
      <c r="G18" s="4">
        <f>B27</f>
        <v>40.486230962864063</v>
      </c>
    </row>
    <row r="19" spans="1:8" x14ac:dyDescent="0.25">
      <c r="A19" s="28"/>
      <c r="B19" s="29"/>
      <c r="C19" s="30"/>
      <c r="F19">
        <v>0</v>
      </c>
      <c r="G19" s="4">
        <f>B29</f>
        <v>20.243115481432032</v>
      </c>
      <c r="H19" t="s">
        <v>27</v>
      </c>
    </row>
    <row r="20" spans="1:8" ht="15.75" thickBot="1" x14ac:dyDescent="0.3">
      <c r="A20" s="34"/>
      <c r="B20" s="35"/>
      <c r="C20" s="36"/>
      <c r="F20">
        <v>10</v>
      </c>
      <c r="G20" s="4">
        <f>B29</f>
        <v>20.243115481432032</v>
      </c>
    </row>
    <row r="21" spans="1:8" x14ac:dyDescent="0.25">
      <c r="A21" s="45" t="s">
        <v>16</v>
      </c>
      <c r="B21" s="46"/>
    </row>
    <row r="22" spans="1:8" x14ac:dyDescent="0.25">
      <c r="A22" s="2" t="s">
        <v>17</v>
      </c>
      <c r="B22" s="11">
        <f xml:space="preserve"> (B10/ IF(B14&lt;0, B10+B14,B14) )^(1/4)-1</f>
        <v>6.3407359398880647E-2</v>
      </c>
    </row>
    <row r="23" spans="1:8" x14ac:dyDescent="0.25">
      <c r="A23" s="2" t="s">
        <v>22</v>
      </c>
      <c r="B23" s="38">
        <f>K12/B7</f>
        <v>34.67672405115934</v>
      </c>
    </row>
    <row r="24" spans="1:8" x14ac:dyDescent="0.25">
      <c r="A24" s="2" t="s">
        <v>29</v>
      </c>
      <c r="B24" s="47">
        <f>B3/B23</f>
        <v>3.3267271680510198</v>
      </c>
    </row>
    <row r="25" spans="1:8" x14ac:dyDescent="0.25">
      <c r="A25" s="9" t="s">
        <v>24</v>
      </c>
      <c r="B25" s="10"/>
    </row>
    <row r="26" spans="1:8" x14ac:dyDescent="0.25">
      <c r="A26" s="2" t="s">
        <v>13</v>
      </c>
      <c r="B26" s="15">
        <f>$B$6*$G$11</f>
        <v>142.42555205345366</v>
      </c>
    </row>
    <row r="27" spans="1:8" x14ac:dyDescent="0.25">
      <c r="A27" s="2" t="s">
        <v>10</v>
      </c>
      <c r="B27" s="15">
        <f>$H$2</f>
        <v>40.486230962864063</v>
      </c>
    </row>
    <row r="28" spans="1:8" x14ac:dyDescent="0.25">
      <c r="A28" s="6" t="s">
        <v>12</v>
      </c>
      <c r="B28" s="16">
        <f>($B$27-$B$3)/$B$3</f>
        <v>-0.6490444611402213</v>
      </c>
    </row>
    <row r="29" spans="1:8" x14ac:dyDescent="0.25">
      <c r="A29" s="2" t="s">
        <v>23</v>
      </c>
      <c r="B29" s="15">
        <f>B27*B18</f>
        <v>20.243115481432032</v>
      </c>
    </row>
    <row r="30" spans="1:8" x14ac:dyDescent="0.25">
      <c r="A30" s="2" t="s">
        <v>30</v>
      </c>
      <c r="B30" s="47">
        <f>B3/B29</f>
        <v>5.6987275553416561</v>
      </c>
    </row>
  </sheetData>
  <mergeCells count="4">
    <mergeCell ref="A1:C1"/>
    <mergeCell ref="A9:B9"/>
    <mergeCell ref="A21:B21"/>
    <mergeCell ref="A25:B25"/>
  </mergeCells>
  <conditionalFormatting sqref="B28">
    <cfRule type="expression" dxfId="3" priority="2">
      <formula>$B$28&lt;$B$18</formula>
    </cfRule>
  </conditionalFormatting>
  <conditionalFormatting sqref="B24 B30">
    <cfRule type="expression" dxfId="2" priority="1">
      <formula>B24&gt;1</formula>
    </cfRule>
  </conditionalFormatting>
  <hyperlinks>
    <hyperlink ref="A6" r:id="rId1" xr:uid="{73C28EDA-9333-43C5-B2DD-58EE5AF0FC92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1F9C-3C7B-4D81-AD5A-5E5E9E3A0358}">
  <dimension ref="A1:L30"/>
  <sheetViews>
    <sheetView zoomScale="115" zoomScaleNormal="115" workbookViewId="0">
      <selection activeCell="B2" sqref="B2:B7"/>
    </sheetView>
  </sheetViews>
  <sheetFormatPr defaultRowHeight="15" x14ac:dyDescent="0.25"/>
  <cols>
    <col min="1" max="1" width="29" customWidth="1"/>
    <col min="2" max="2" width="11.7109375" customWidth="1"/>
    <col min="3" max="3" width="32.5703125" bestFit="1" customWidth="1"/>
    <col min="4" max="4" width="1" style="17" customWidth="1"/>
    <col min="5" max="5" width="6.42578125" customWidth="1"/>
    <col min="6" max="6" width="23.28515625" customWidth="1"/>
    <col min="7" max="7" width="10.5703125" customWidth="1"/>
    <col min="8" max="8" width="10.42578125" customWidth="1"/>
    <col min="10" max="10" width="12.85546875" customWidth="1"/>
    <col min="11" max="11" width="13.42578125" customWidth="1"/>
  </cols>
  <sheetData>
    <row r="1" spans="1:12" ht="49.5" customHeight="1" x14ac:dyDescent="0.3">
      <c r="A1" s="18" t="s">
        <v>0</v>
      </c>
      <c r="B1" s="19"/>
      <c r="C1" s="20"/>
      <c r="E1" s="5" t="s">
        <v>6</v>
      </c>
      <c r="F1" s="5" t="s">
        <v>18</v>
      </c>
      <c r="G1" s="5" t="s">
        <v>7</v>
      </c>
      <c r="H1" s="5" t="s">
        <v>8</v>
      </c>
      <c r="J1" s="5" t="s">
        <v>19</v>
      </c>
      <c r="K1" s="5" t="s">
        <v>20</v>
      </c>
    </row>
    <row r="2" spans="1:12" x14ac:dyDescent="0.25">
      <c r="A2" s="21" t="s">
        <v>1</v>
      </c>
      <c r="B2" s="22" t="s">
        <v>28</v>
      </c>
      <c r="C2" s="23"/>
      <c r="E2" s="2">
        <v>0</v>
      </c>
      <c r="F2" s="2">
        <f ca="1">YEAR(TODAY())+E2</f>
        <v>2020</v>
      </c>
      <c r="G2" s="3">
        <f>$B$4</f>
        <v>8.18</v>
      </c>
      <c r="H2" s="41">
        <f>H3/(1+$B$17)</f>
        <v>310.11907531249506</v>
      </c>
      <c r="J2" s="12">
        <f>B10</f>
        <v>20958</v>
      </c>
      <c r="K2" s="12">
        <f>1/(1+$B$16)^(E2+1)*J2</f>
        <v>19960</v>
      </c>
    </row>
    <row r="3" spans="1:12" x14ac:dyDescent="0.25">
      <c r="A3" s="24" t="str">
        <f>HYPERLINK(CONCATENATE("https://finance.yahoo.com/quote/",B2,"?p=",B2),  "Last Price")</f>
        <v>Last Price</v>
      </c>
      <c r="B3" s="40">
        <v>266.14999999999998</v>
      </c>
      <c r="C3" s="23" t="s">
        <v>9</v>
      </c>
      <c r="E3" s="2">
        <v>1</v>
      </c>
      <c r="F3" s="2">
        <f t="shared" ref="F3:F11" ca="1" si="0">YEAR(TODAY())+E3</f>
        <v>2021</v>
      </c>
      <c r="G3" s="3">
        <f>G2*(1+$B$5)</f>
        <v>9.5215199999999989</v>
      </c>
      <c r="H3" s="41">
        <f>H4/(1+$B$17)</f>
        <v>356.63693660936929</v>
      </c>
      <c r="J3" s="12">
        <f>J2*(1+$B$22)</f>
        <v>25081.66983556097</v>
      </c>
      <c r="K3" s="12">
        <f>1/(1+$B$16)^(E3+1)*J3</f>
        <v>22749.813909805867</v>
      </c>
    </row>
    <row r="4" spans="1:12" x14ac:dyDescent="0.25">
      <c r="A4" s="24" t="str">
        <f>HYPERLINK(CONCATENATE("https://finance.yahoo.com/quote/",B2,"?p=",B2),  "EPS (TTM)")</f>
        <v>EPS (TTM)</v>
      </c>
      <c r="B4" s="25">
        <v>8.18</v>
      </c>
      <c r="C4" s="23" t="s">
        <v>9</v>
      </c>
      <c r="E4" s="2">
        <v>2</v>
      </c>
      <c r="F4" s="2">
        <f t="shared" ca="1" si="0"/>
        <v>2022</v>
      </c>
      <c r="G4" s="3">
        <f>G3*(1+$B$5)</f>
        <v>11.083049279999997</v>
      </c>
      <c r="H4" s="41">
        <f>H5/(1+$B$17)</f>
        <v>410.13247710077468</v>
      </c>
      <c r="J4" s="12">
        <f>J3*(1+$B$22)</f>
        <v>30016.707784143957</v>
      </c>
      <c r="K4" s="12">
        <f>1/(1+$B$16)^(E4+1)*J4</f>
        <v>25929.560768075979</v>
      </c>
    </row>
    <row r="5" spans="1:12" x14ac:dyDescent="0.25">
      <c r="A5" s="24" t="str">
        <f>HYPERLINK(CONCATENATE("https://finance.yahoo.com/quote/",B2,"/analysis?p=",B2),  "Growth Rate")</f>
        <v>Growth Rate</v>
      </c>
      <c r="B5" s="26">
        <v>0.16400000000000001</v>
      </c>
      <c r="C5" s="23" t="s">
        <v>9</v>
      </c>
      <c r="E5" s="2">
        <v>3</v>
      </c>
      <c r="F5" s="2">
        <f t="shared" ca="1" si="0"/>
        <v>2023</v>
      </c>
      <c r="G5" s="3">
        <f>G4*(1+$B$5)</f>
        <v>12.900669361919997</v>
      </c>
      <c r="H5" s="41">
        <f>H6/(1+$B$17)</f>
        <v>471.65234866589083</v>
      </c>
      <c r="J5" s="12">
        <f>J4*(1+$B$22)</f>
        <v>35922.757619639837</v>
      </c>
      <c r="K5" s="12">
        <f>1/(1+$B$16)^(E5+1)*J5</f>
        <v>29553.74159502663</v>
      </c>
    </row>
    <row r="6" spans="1:12" x14ac:dyDescent="0.25">
      <c r="A6" s="24" t="s">
        <v>3</v>
      </c>
      <c r="B6" s="25">
        <v>34</v>
      </c>
      <c r="C6" s="23" t="s">
        <v>9</v>
      </c>
      <c r="E6" s="2">
        <v>4</v>
      </c>
      <c r="F6" s="2">
        <f t="shared" ca="1" si="0"/>
        <v>2024</v>
      </c>
      <c r="G6" s="3">
        <f>G5*(1+$B$5)</f>
        <v>15.016379137274875</v>
      </c>
      <c r="H6" s="41">
        <f>H7/(1+$B$17)</f>
        <v>542.40020096577439</v>
      </c>
      <c r="J6" s="12">
        <f>J5*(1+$B$22)</f>
        <v>42990.874424977977</v>
      </c>
      <c r="K6" s="12">
        <f>1/(1+$B$16)^(E6+1)*J6</f>
        <v>33684.475031329908</v>
      </c>
    </row>
    <row r="7" spans="1:12" x14ac:dyDescent="0.25">
      <c r="A7" s="24" t="str">
        <f>HYPERLINK(CONCATENATE("https://finance.yahoo.com/quote/",B2,"/key-statistics?p=",B2),  "No Shares Outstanding (Million)")</f>
        <v>No Shares Outstanding (Million)</v>
      </c>
      <c r="B7" s="7">
        <v>2850</v>
      </c>
      <c r="C7" s="23" t="s">
        <v>9</v>
      </c>
      <c r="E7" s="2">
        <v>5</v>
      </c>
      <c r="F7" s="2">
        <f t="shared" ca="1" si="0"/>
        <v>2025</v>
      </c>
      <c r="G7" s="3">
        <f>G6*(1+$B$5)</f>
        <v>17.479065315787953</v>
      </c>
      <c r="H7" s="41">
        <f>H8/(1+$B$17)</f>
        <v>623.76023111064046</v>
      </c>
      <c r="J7" s="12">
        <f>J6*(1+$B$22)</f>
        <v>51449.705041958186</v>
      </c>
      <c r="K7" s="12">
        <f>1/(1+$B$16)^(E7+1)*J7</f>
        <v>38392.56205472233</v>
      </c>
    </row>
    <row r="8" spans="1:12" x14ac:dyDescent="0.25">
      <c r="E8" s="2">
        <v>6</v>
      </c>
      <c r="F8" s="2">
        <f t="shared" ca="1" si="0"/>
        <v>2026</v>
      </c>
      <c r="G8" s="3">
        <f>G7*(1+$B$5)</f>
        <v>20.345632027577174</v>
      </c>
      <c r="H8" s="41">
        <f>H9/(1+$B$17)</f>
        <v>717.32426577723652</v>
      </c>
      <c r="J8" s="12">
        <f>J7*(1+$B$22)</f>
        <v>61572.884578652149</v>
      </c>
      <c r="K8" s="12">
        <f>1/(1+$B$16)^(E8+1)*J8</f>
        <v>43758.699512304956</v>
      </c>
    </row>
    <row r="9" spans="1:12" x14ac:dyDescent="0.25">
      <c r="A9" s="31" t="str">
        <f>HYPERLINK(CONCATENATE("https://finance.yahoo.com/quote/",B2,"/financials?p=",B2),  "Net Income (Million)")</f>
        <v>Net Income (Million)</v>
      </c>
      <c r="B9" s="8"/>
      <c r="C9" s="23" t="s">
        <v>9</v>
      </c>
      <c r="E9" s="2">
        <v>7</v>
      </c>
      <c r="F9" s="2">
        <f t="shared" ca="1" si="0"/>
        <v>2027</v>
      </c>
      <c r="G9" s="3">
        <f>G8*(1+$B$5)</f>
        <v>23.68231568009983</v>
      </c>
      <c r="H9" s="41">
        <f>H10/(1+$B$17)</f>
        <v>824.92290564382188</v>
      </c>
      <c r="J9" s="12">
        <f>J8*(1+$B$22)</f>
        <v>73687.888244339003</v>
      </c>
      <c r="K9" s="12">
        <f>1/(1+$B$16)^(E9+1)*J9</f>
        <v>49874.863268539615</v>
      </c>
    </row>
    <row r="10" spans="1:12" x14ac:dyDescent="0.25">
      <c r="A10" s="32" t="s">
        <v>15</v>
      </c>
      <c r="B10" s="33">
        <v>20958</v>
      </c>
      <c r="C10" s="30"/>
      <c r="E10" s="2">
        <v>8</v>
      </c>
      <c r="F10" s="2">
        <f t="shared" ca="1" si="0"/>
        <v>2028</v>
      </c>
      <c r="G10" s="3">
        <f>G9*(1+$B$5)</f>
        <v>27.5662154516362</v>
      </c>
      <c r="H10" s="41">
        <f>H11/(1+$B$17)</f>
        <v>948.6613414903951</v>
      </c>
      <c r="J10" s="12">
        <f>J9*(1+$B$22)</f>
        <v>88186.624860398195</v>
      </c>
      <c r="K10" s="12">
        <f>1/(1+$B$16)^(E10+1)*J10</f>
        <v>56845.884676166737</v>
      </c>
    </row>
    <row r="11" spans="1:12" x14ac:dyDescent="0.25">
      <c r="A11" s="32">
        <f ca="1">YEAR(TODAY())-1</f>
        <v>2019</v>
      </c>
      <c r="B11" s="33">
        <v>18485</v>
      </c>
      <c r="C11" s="30"/>
      <c r="E11" s="2">
        <v>9</v>
      </c>
      <c r="F11" s="2">
        <f t="shared" ca="1" si="0"/>
        <v>2029</v>
      </c>
      <c r="G11" s="3">
        <f>G10*(1+$B$5)</f>
        <v>32.087074785704537</v>
      </c>
      <c r="H11" s="42">
        <f>$B$26</f>
        <v>1090.9605427139543</v>
      </c>
      <c r="J11" s="12">
        <f>J10*(1+$B$22)</f>
        <v>105538.11473714001</v>
      </c>
      <c r="K11" s="12">
        <f>1/(1+$B$16)^(E11+1)*J11</f>
        <v>64791.247390835582</v>
      </c>
    </row>
    <row r="12" spans="1:12" x14ac:dyDescent="0.25">
      <c r="A12" s="32">
        <f ca="1">YEAR(TODAY())-2</f>
        <v>2018</v>
      </c>
      <c r="B12" s="33">
        <v>22112</v>
      </c>
      <c r="C12" s="39"/>
      <c r="K12" s="14">
        <f>SUM(K2:K11)</f>
        <v>385540.84820680763</v>
      </c>
      <c r="L12" s="13" t="s">
        <v>21</v>
      </c>
    </row>
    <row r="13" spans="1:12" x14ac:dyDescent="0.25">
      <c r="A13" s="32">
        <f ca="1">YEAR(TODAY())-3</f>
        <v>2017</v>
      </c>
      <c r="B13" s="33">
        <v>15934</v>
      </c>
      <c r="C13" s="30"/>
    </row>
    <row r="14" spans="1:12" x14ac:dyDescent="0.25">
      <c r="A14" s="32">
        <f ca="1">YEAR(TODAY())-4</f>
        <v>2016</v>
      </c>
      <c r="B14" s="33">
        <v>10217</v>
      </c>
      <c r="C14" s="30"/>
    </row>
    <row r="15" spans="1:12" ht="15.75" thickBot="1" x14ac:dyDescent="0.3">
      <c r="C15" s="35"/>
      <c r="F15">
        <v>0</v>
      </c>
      <c r="G15" s="1">
        <f>B3</f>
        <v>266.14999999999998</v>
      </c>
      <c r="H15" t="s">
        <v>26</v>
      </c>
    </row>
    <row r="16" spans="1:12" x14ac:dyDescent="0.25">
      <c r="A16" s="44" t="s">
        <v>14</v>
      </c>
      <c r="B16" s="43">
        <v>0.05</v>
      </c>
      <c r="C16" s="23" t="s">
        <v>5</v>
      </c>
      <c r="F16">
        <v>10</v>
      </c>
      <c r="G16" s="1">
        <f>B3</f>
        <v>266.14999999999998</v>
      </c>
    </row>
    <row r="17" spans="1:8" x14ac:dyDescent="0.25">
      <c r="A17" s="21" t="s">
        <v>2</v>
      </c>
      <c r="B17" s="27">
        <v>0.15</v>
      </c>
      <c r="C17" s="23" t="s">
        <v>5</v>
      </c>
      <c r="F17">
        <v>0</v>
      </c>
      <c r="G17" s="4">
        <f>B27</f>
        <v>310.11907531249506</v>
      </c>
      <c r="H17" t="s">
        <v>8</v>
      </c>
    </row>
    <row r="18" spans="1:8" x14ac:dyDescent="0.25">
      <c r="A18" s="21" t="s">
        <v>11</v>
      </c>
      <c r="B18" s="27">
        <v>0.5</v>
      </c>
      <c r="C18" s="23" t="s">
        <v>5</v>
      </c>
      <c r="F18">
        <v>10</v>
      </c>
      <c r="G18" s="4">
        <f>B27</f>
        <v>310.11907531249506</v>
      </c>
    </row>
    <row r="19" spans="1:8" x14ac:dyDescent="0.25">
      <c r="A19" s="28"/>
      <c r="B19" s="29"/>
      <c r="C19" s="30"/>
      <c r="F19">
        <v>0</v>
      </c>
      <c r="G19" s="4">
        <f>B29</f>
        <v>155.05953765624753</v>
      </c>
      <c r="H19" t="s">
        <v>27</v>
      </c>
    </row>
    <row r="20" spans="1:8" ht="15.75" thickBot="1" x14ac:dyDescent="0.3">
      <c r="A20" s="34"/>
      <c r="B20" s="35"/>
      <c r="C20" s="36"/>
      <c r="F20">
        <v>10</v>
      </c>
      <c r="G20" s="4">
        <f>B29</f>
        <v>155.05953765624753</v>
      </c>
    </row>
    <row r="21" spans="1:8" x14ac:dyDescent="0.25">
      <c r="A21" s="45" t="s">
        <v>16</v>
      </c>
      <c r="B21" s="46"/>
    </row>
    <row r="22" spans="1:8" x14ac:dyDescent="0.25">
      <c r="A22" s="2" t="s">
        <v>17</v>
      </c>
      <c r="B22" s="11">
        <f xml:space="preserve"> (B10/ IF(B14&lt;0, B10+B14,B14) )^(1/4)-1</f>
        <v>0.19675874776032876</v>
      </c>
    </row>
    <row r="23" spans="1:8" x14ac:dyDescent="0.25">
      <c r="A23" s="2" t="s">
        <v>22</v>
      </c>
      <c r="B23" s="38">
        <f>K12/B7</f>
        <v>135.27749059887987</v>
      </c>
    </row>
    <row r="24" spans="1:8" x14ac:dyDescent="0.25">
      <c r="A24" s="2" t="s">
        <v>29</v>
      </c>
      <c r="B24" s="47">
        <f>B3/B23</f>
        <v>1.967437441526608</v>
      </c>
    </row>
    <row r="25" spans="1:8" x14ac:dyDescent="0.25">
      <c r="A25" s="9" t="s">
        <v>24</v>
      </c>
      <c r="B25" s="10"/>
    </row>
    <row r="26" spans="1:8" x14ac:dyDescent="0.25">
      <c r="A26" s="2" t="s">
        <v>13</v>
      </c>
      <c r="B26" s="15">
        <f>$B$6*$G$11</f>
        <v>1090.9605427139543</v>
      </c>
    </row>
    <row r="27" spans="1:8" x14ac:dyDescent="0.25">
      <c r="A27" s="2" t="s">
        <v>10</v>
      </c>
      <c r="B27" s="15">
        <f>$H$2</f>
        <v>310.11907531249506</v>
      </c>
    </row>
    <row r="28" spans="1:8" x14ac:dyDescent="0.25">
      <c r="A28" s="6" t="s">
        <v>12</v>
      </c>
      <c r="B28" s="16">
        <f>($B$27-$B$3)/$B$3</f>
        <v>0.16520411539543522</v>
      </c>
    </row>
    <row r="29" spans="1:8" x14ac:dyDescent="0.25">
      <c r="A29" s="2" t="s">
        <v>23</v>
      </c>
      <c r="B29" s="15">
        <f>B27*B18</f>
        <v>155.05953765624753</v>
      </c>
    </row>
    <row r="30" spans="1:8" x14ac:dyDescent="0.25">
      <c r="A30" s="2" t="s">
        <v>30</v>
      </c>
      <c r="B30" s="47">
        <f>B3/B29</f>
        <v>1.7164374666847622</v>
      </c>
    </row>
  </sheetData>
  <mergeCells count="4">
    <mergeCell ref="A1:C1"/>
    <mergeCell ref="A9:B9"/>
    <mergeCell ref="A21:B21"/>
    <mergeCell ref="A25:B25"/>
  </mergeCells>
  <conditionalFormatting sqref="B28">
    <cfRule type="expression" dxfId="5" priority="3">
      <formula>$B$28&lt;$B$18</formula>
    </cfRule>
  </conditionalFormatting>
  <conditionalFormatting sqref="B24 B30">
    <cfRule type="expression" dxfId="4" priority="1">
      <formula>B24&gt;1</formula>
    </cfRule>
  </conditionalFormatting>
  <hyperlinks>
    <hyperlink ref="A6" r:id="rId1" xr:uid="{4042D849-2C07-4A60-AC95-9CE093AFB811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D000-CD77-4319-835E-177775B3A94B}">
  <dimension ref="A1"/>
  <sheetViews>
    <sheetView zoomScale="115" zoomScaleNormal="115" workbookViewId="0">
      <selection activeCell="J11" sqref="J11"/>
    </sheetView>
  </sheetViews>
  <sheetFormatPr defaultRowHeight="15" x14ac:dyDescent="0.25"/>
  <cols>
    <col min="1" max="16384" width="9.140625" style="37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Q u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K 2 U L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l C 5 R K I p H u A 4 A A A A R A A A A E w A c A E Z v c m 1 1 b G F z L 1 N l Y 3 R p b 2 4 x L m 0 g o h g A K K A U A A A A A A A A A A A A A A A A A A A A A A A A A A A A K 0 5 N L s n M z 1 M I h t C G 1 g B Q S w E C L Q A U A A I A C A C t l C 5 R Z W Z C Z a g A A A D 4 A A A A E g A A A A A A A A A A A A A A A A A A A A A A Q 2 9 u Z m l n L 1 B h Y 2 t h Z 2 U u e G 1 s U E s B A i 0 A F A A C A A g A r Z Q u U Q / K 6 a u k A A A A 6 Q A A A B M A A A A A A A A A A A A A A A A A 9 A A A A F t D b 2 5 0 Z W 5 0 X 1 R 5 c G V z X S 5 4 b W x Q S w E C L Q A U A A I A C A C t l C 5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4 q z h P m S A 0 y f Y g Z F 5 Z q L P g A A A A A C A A A A A A A Q Z g A A A A E A A C A A A A D Y P H 3 e j m 8 i z W Z a b O q L 9 Y A 6 X A 9 5 2 Y H W S Q y x t u e d u s 5 A f A A A A A A O g A A A A A I A A C A A A A C S + J F o b / 3 f J p D I z 8 O a 3 P R 4 d e p E O U g X C N Z u 9 W r o w 0 6 H E 1 A A A A B 5 E 1 a E W 3 7 O k P T X s 9 7 V A F g M g g Q v A 0 2 v i u z c s s A i 7 a y P j R 8 B t j / T 6 W x Z x X S + h c k G R z p f W D X e s h A i l s / A v + K H P y L Z Z W s 7 j x 7 3 3 U O R 8 a 9 u O A 9 N G E A A A A B 6 N 7 9 1 R l h p I q Q o K K N q z 2 O C J 3 O g u C 0 l 3 N / 4 i N F w E M R K Z D + T V R E S u S E P / U V x R r 8 1 b B C i M x l 5 q W 4 D z 2 e O F w f I W t a b < / D a t a M a s h u p > 
</file>

<file path=customXml/itemProps1.xml><?xml version="1.0" encoding="utf-8"?>
<ds:datastoreItem xmlns:ds="http://schemas.openxmlformats.org/officeDocument/2006/customXml" ds:itemID="{B9B6CCD1-3395-4376-9EE4-F20DF3A5C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</vt:lpstr>
      <vt:lpstr>AAPL</vt:lpstr>
      <vt:lpstr>FB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Enriquez</dc:creator>
  <cp:lastModifiedBy>Daniel Enriquez</cp:lastModifiedBy>
  <dcterms:created xsi:type="dcterms:W3CDTF">2020-09-15T01:30:37Z</dcterms:created>
  <dcterms:modified xsi:type="dcterms:W3CDTF">2020-09-15T04:54:07Z</dcterms:modified>
</cp:coreProperties>
</file>