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63434\Desktop\"/>
    </mc:Choice>
  </mc:AlternateContent>
  <bookViews>
    <workbookView xWindow="0" yWindow="0" windowWidth="25830" windowHeight="12495"/>
  </bookViews>
  <sheets>
    <sheet name="Stocks (6)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E16" i="1"/>
  <c r="K4" i="1"/>
  <c r="O4" i="1" s="1"/>
  <c r="P4" i="1" s="1"/>
  <c r="N4" i="1"/>
  <c r="X4" i="1"/>
  <c r="B25" i="1"/>
  <c r="B24" i="1"/>
  <c r="B23" i="1"/>
  <c r="B22" i="1"/>
  <c r="B21" i="1"/>
  <c r="B10" i="1"/>
  <c r="B9" i="1"/>
  <c r="B8" i="1"/>
  <c r="F4" i="1"/>
  <c r="X3" i="1"/>
  <c r="S3" i="1"/>
  <c r="V3" i="1" s="1"/>
  <c r="O3" i="1"/>
  <c r="P3" i="1" s="1"/>
  <c r="N3" i="1"/>
  <c r="X2" i="1"/>
  <c r="S2" i="1"/>
  <c r="T2" i="1" s="1"/>
  <c r="O2" i="1"/>
  <c r="P2" i="1" s="1"/>
  <c r="N2" i="1"/>
  <c r="C2" i="1"/>
  <c r="S4" i="1" l="1"/>
  <c r="T3" i="1"/>
  <c r="E4" i="1"/>
  <c r="T4" i="1" l="1"/>
  <c r="V4" i="1"/>
  <c r="C24" i="1" l="1"/>
  <c r="D24" i="1" s="1"/>
  <c r="C21" i="1"/>
  <c r="D21" i="1" s="1"/>
  <c r="F22" i="1"/>
  <c r="E22" i="1"/>
  <c r="E23" i="1"/>
  <c r="C25" i="1"/>
  <c r="D25" i="1" s="1"/>
  <c r="E24" i="1"/>
  <c r="E17" i="1"/>
  <c r="F23" i="1"/>
  <c r="F24" i="1"/>
  <c r="E25" i="1"/>
  <c r="D4" i="1"/>
  <c r="E21" i="1"/>
  <c r="B11" i="1"/>
  <c r="C22" i="1"/>
  <c r="D22" i="1" s="1"/>
  <c r="F21" i="1"/>
  <c r="B12" i="1"/>
  <c r="C23" i="1"/>
  <c r="D23" i="1" s="1"/>
  <c r="F25" i="1"/>
  <c r="G21" i="1" l="1"/>
  <c r="G23" i="1"/>
  <c r="G22" i="1"/>
  <c r="G25" i="1"/>
  <c r="G24" i="1"/>
  <c r="B13" i="1"/>
  <c r="C11" i="1"/>
  <c r="E18" i="1" s="1"/>
  <c r="B15" i="1" l="1"/>
  <c r="B17" i="1" s="1"/>
  <c r="B16" i="1"/>
  <c r="B2" i="1" l="1"/>
  <c r="D2" i="1"/>
  <c r="E2" i="1"/>
  <c r="F2" i="1" l="1"/>
  <c r="G16" i="1"/>
  <c r="G2" i="1"/>
  <c r="C4" i="1" s="1"/>
</calcChain>
</file>

<file path=xl/comments1.xml><?xml version="1.0" encoding="utf-8"?>
<comments xmlns="http://schemas.openxmlformats.org/spreadsheetml/2006/main">
  <authors>
    <author>Enriquez, Daniel (AS)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Enriquez, Daniel (AS):
</t>
        </r>
      </text>
    </comment>
  </commentList>
</comments>
</file>

<file path=xl/sharedStrings.xml><?xml version="1.0" encoding="utf-8"?>
<sst xmlns="http://schemas.openxmlformats.org/spreadsheetml/2006/main" count="83" uniqueCount="73">
  <si>
    <t>Avg Position Size</t>
  </si>
  <si>
    <t>Available Cash</t>
  </si>
  <si>
    <t>Return %</t>
  </si>
  <si>
    <t>Return $</t>
  </si>
  <si>
    <t>DATE BUY</t>
  </si>
  <si>
    <t>TICK</t>
  </si>
  <si>
    <t>SHARE</t>
  </si>
  <si>
    <t>BUY PRICE</t>
  </si>
  <si>
    <t>STOP LOSS</t>
  </si>
  <si>
    <t>PRICE TARGET</t>
  </si>
  <si>
    <t>RISK RATIO</t>
  </si>
  <si>
    <t>EQUITY</t>
  </si>
  <si>
    <t>% of Cap.</t>
  </si>
  <si>
    <t>DATE SELL</t>
  </si>
  <si>
    <t>SELL PRICE</t>
  </si>
  <si>
    <t>$ RETURN</t>
  </si>
  <si>
    <t>% RETURN</t>
  </si>
  <si>
    <t>Capital</t>
  </si>
  <si>
    <t>% CAPITAL</t>
  </si>
  <si>
    <t>CODE</t>
  </si>
  <si>
    <t>Days Held</t>
  </si>
  <si>
    <t>NOTES</t>
  </si>
  <si>
    <t>DLPN</t>
  </si>
  <si>
    <t>BREAKOUT</t>
  </si>
  <si>
    <t>Goal</t>
  </si>
  <si>
    <t>11-15%</t>
  </si>
  <si>
    <t>SHARPE</t>
  </si>
  <si>
    <t>Open Pos</t>
  </si>
  <si>
    <t>Avg. Day Hold</t>
  </si>
  <si>
    <t>All Trades</t>
  </si>
  <si>
    <t>NTEC</t>
  </si>
  <si>
    <t>DAYTRADE</t>
  </si>
  <si>
    <t>%  Calculator</t>
  </si>
  <si>
    <t>RTW</t>
  </si>
  <si>
    <t>SWINGDIPBUY</t>
  </si>
  <si>
    <t>Buy</t>
  </si>
  <si>
    <t>Sell</t>
  </si>
  <si>
    <t>Shares</t>
  </si>
  <si>
    <t>Pos. Sz</t>
  </si>
  <si>
    <t>Gain</t>
  </si>
  <si>
    <t>Gain $</t>
  </si>
  <si>
    <t>Wins / Win%</t>
  </si>
  <si>
    <t>Loss</t>
  </si>
  <si>
    <t>WL Ratio</t>
  </si>
  <si>
    <t>2R(+)$ % of CAP</t>
  </si>
  <si>
    <t>Average % Return</t>
  </si>
  <si>
    <t>Avg. Sz</t>
  </si>
  <si>
    <t>Goal Sz</t>
  </si>
  <si>
    <t>1R(-)$ % of CAP</t>
  </si>
  <si>
    <t>(+)</t>
  </si>
  <si>
    <t>Profit Ratio</t>
  </si>
  <si>
    <t>(-)</t>
  </si>
  <si>
    <t>Exp. Ret. 250 Trades</t>
  </si>
  <si>
    <t>Average</t>
  </si>
  <si>
    <t xml:space="preserve">Total </t>
  </si>
  <si>
    <t>Wins</t>
  </si>
  <si>
    <t>PNL</t>
  </si>
  <si>
    <t>Profit%</t>
  </si>
  <si>
    <t>Loss%</t>
  </si>
  <si>
    <t>+R/-R</t>
  </si>
  <si>
    <t>INVEST</t>
  </si>
  <si>
    <t>CONSOLIDATION</t>
  </si>
  <si>
    <t>Tag</t>
  </si>
  <si>
    <t>Definition</t>
  </si>
  <si>
    <t>Momentum on the daily, dip to supp on hrly</t>
  </si>
  <si>
    <t>Scalp play or Cup on 5min</t>
  </si>
  <si>
    <t>Momo. On daily. 4 day-10 day hold. Fundamental play</t>
  </si>
  <si>
    <t>BO of consolidation/resistance. On 15min-1hr</t>
  </si>
  <si>
    <t xml:space="preserve">Consolidating after recent big volume green move. </t>
  </si>
  <si>
    <t>CODES</t>
  </si>
  <si>
    <t>% of Capital</t>
  </si>
  <si>
    <t>Initial Capital</t>
  </si>
  <si>
    <t>Last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</si>
</sst>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.0_);_(&quot;$&quot;* \(#,##0.0\);_(&quot;$&quot;* &quot;-&quot;??_);_(@_)"/>
    <numFmt numFmtId="166" formatCode="_(&quot;$&quot;* #,##0_);_(&quot;$&quot;* \(#,##0\);_(&quot;$&quot;* &quot;-&quot;??_);_(@_)"/>
    <numFmt numFmtId="167" formatCode="_(&quot;$&quot;* #,##0.000_);_(&quot;$&quot;* \(#,##0.000\);_(&quot;$&quot;* &quot;-&quot;??_);_(@_)"/>
    <numFmt numFmtId="168" formatCode="_(* #,##0_);_(* \(#,##0\);_(* &quot;-&quot;??_);_(@_)"/>
    <numFmt numFmtId="169" formatCode="0.0"/>
    <numFmt numFmtId="170" formatCode="_(* #,##0.0_);_(* \(#,##0.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onsolas"/>
      <family val="3"/>
    </font>
    <font>
      <sz val="1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Calibri Light"/>
      <family val="2"/>
      <scheme val="major"/>
    </font>
    <font>
      <b/>
      <sz val="11"/>
      <color theme="1"/>
      <name val="Consolas"/>
    </font>
    <font>
      <sz val="11"/>
      <color theme="1"/>
      <name val="Consolas"/>
    </font>
    <font>
      <sz val="11"/>
      <color theme="1"/>
      <name val="Calibri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ADA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16" fontId="4" fillId="3" borderId="4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44" fontId="4" fillId="3" borderId="5" xfId="2" applyFont="1" applyFill="1" applyBorder="1" applyAlignment="1">
      <alignment horizontal="center" wrapText="1"/>
    </xf>
    <xf numFmtId="164" fontId="4" fillId="3" borderId="5" xfId="3" applyNumberFormat="1" applyFont="1" applyFill="1" applyBorder="1" applyAlignment="1">
      <alignment horizontal="center" wrapText="1"/>
    </xf>
    <xf numFmtId="165" fontId="4" fillId="3" borderId="5" xfId="2" applyNumberFormat="1" applyFont="1" applyFill="1" applyBorder="1" applyAlignment="1">
      <alignment horizontal="center" wrapText="1"/>
    </xf>
    <xf numFmtId="9" fontId="4" fillId="3" borderId="5" xfId="3" applyFont="1" applyFill="1" applyBorder="1" applyAlignment="1">
      <alignment horizontal="center" wrapText="1"/>
    </xf>
    <xf numFmtId="16" fontId="4" fillId="2" borderId="4" xfId="0" applyNumberFormat="1" applyFont="1" applyFill="1" applyBorder="1" applyAlignment="1">
      <alignment horizontal="center" wrapText="1"/>
    </xf>
    <xf numFmtId="44" fontId="4" fillId="2" borderId="5" xfId="2" applyFont="1" applyFill="1" applyBorder="1" applyAlignment="1">
      <alignment horizontal="center" wrapText="1"/>
    </xf>
    <xf numFmtId="165" fontId="4" fillId="4" borderId="5" xfId="2" applyNumberFormat="1" applyFont="1" applyFill="1" applyBorder="1" applyAlignment="1">
      <alignment horizontal="center" wrapText="1"/>
    </xf>
    <xf numFmtId="166" fontId="4" fillId="3" borderId="5" xfId="2" applyNumberFormat="1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5" fillId="0" borderId="0" xfId="0" applyFont="1" applyAlignment="1"/>
    <xf numFmtId="0" fontId="0" fillId="0" borderId="8" xfId="0" applyFill="1" applyBorder="1"/>
    <xf numFmtId="164" fontId="0" fillId="0" borderId="9" xfId="3" applyNumberFormat="1" applyFont="1" applyBorder="1"/>
    <xf numFmtId="166" fontId="0" fillId="0" borderId="10" xfId="2" applyNumberFormat="1" applyFont="1" applyBorder="1"/>
    <xf numFmtId="166" fontId="0" fillId="0" borderId="11" xfId="2" applyNumberFormat="1" applyFont="1" applyBorder="1"/>
    <xf numFmtId="9" fontId="0" fillId="0" borderId="11" xfId="3" applyNumberFormat="1" applyFont="1" applyBorder="1"/>
    <xf numFmtId="166" fontId="0" fillId="0" borderId="12" xfId="0" applyNumberFormat="1" applyBorder="1"/>
    <xf numFmtId="16" fontId="0" fillId="0" borderId="13" xfId="0" applyNumberFormat="1" applyBorder="1" applyAlignment="1">
      <alignment horizontal="left"/>
    </xf>
    <xf numFmtId="0" fontId="0" fillId="0" borderId="14" xfId="0" applyFill="1" applyBorder="1" applyAlignment="1">
      <alignment horizontal="center"/>
    </xf>
    <xf numFmtId="167" fontId="6" fillId="5" borderId="14" xfId="2" applyNumberFormat="1" applyFont="1" applyFill="1" applyBorder="1" applyAlignment="1"/>
    <xf numFmtId="44" fontId="7" fillId="6" borderId="14" xfId="2" applyFont="1" applyFill="1" applyBorder="1" applyAlignment="1"/>
    <xf numFmtId="44" fontId="7" fillId="7" borderId="14" xfId="2" applyFont="1" applyFill="1" applyBorder="1" applyAlignment="1"/>
    <xf numFmtId="39" fontId="7" fillId="2" borderId="15" xfId="3" applyNumberFormat="1" applyFont="1" applyFill="1" applyBorder="1" applyAlignment="1"/>
    <xf numFmtId="165" fontId="7" fillId="3" borderId="14" xfId="2" applyNumberFormat="1" applyFont="1" applyFill="1" applyBorder="1" applyAlignment="1"/>
    <xf numFmtId="9" fontId="1" fillId="3" borderId="14" xfId="3" applyFont="1" applyFill="1" applyBorder="1" applyAlignment="1">
      <alignment horizontal="center"/>
    </xf>
    <xf numFmtId="16" fontId="0" fillId="0" borderId="13" xfId="0" applyNumberFormat="1" applyBorder="1"/>
    <xf numFmtId="44" fontId="7" fillId="5" borderId="14" xfId="2" applyFont="1" applyFill="1" applyBorder="1" applyAlignment="1">
      <alignment horizontal="left"/>
    </xf>
    <xf numFmtId="165" fontId="0" fillId="4" borderId="15" xfId="2" applyNumberFormat="1" applyFont="1" applyFill="1" applyBorder="1" applyAlignment="1"/>
    <xf numFmtId="9" fontId="6" fillId="8" borderId="15" xfId="3" applyFont="1" applyFill="1" applyBorder="1" applyAlignment="1">
      <alignment horizontal="center"/>
    </xf>
    <xf numFmtId="166" fontId="8" fillId="0" borderId="15" xfId="2" applyNumberFormat="1" applyFont="1" applyFill="1" applyBorder="1" applyAlignment="1">
      <alignment horizontal="right"/>
    </xf>
    <xf numFmtId="164" fontId="0" fillId="0" borderId="15" xfId="3" applyNumberFormat="1" applyFont="1" applyFill="1" applyBorder="1" applyAlignment="1">
      <alignment horizontal="right"/>
    </xf>
    <xf numFmtId="0" fontId="0" fillId="0" borderId="14" xfId="0" applyBorder="1" applyAlignment="1">
      <alignment horizontal="left"/>
    </xf>
    <xf numFmtId="168" fontId="0" fillId="0" borderId="0" xfId="1" applyNumberFormat="1" applyFont="1"/>
    <xf numFmtId="0" fontId="0" fillId="0" borderId="16" xfId="0" applyBorder="1"/>
    <xf numFmtId="0" fontId="0" fillId="0" borderId="10" xfId="0" applyFill="1" applyBorder="1"/>
    <xf numFmtId="0" fontId="0" fillId="3" borderId="1" xfId="0" applyFont="1" applyFill="1" applyBorder="1"/>
    <xf numFmtId="0" fontId="0" fillId="3" borderId="17" xfId="0" applyFill="1" applyBorder="1"/>
    <xf numFmtId="0" fontId="0" fillId="3" borderId="3" xfId="0" applyFont="1" applyFill="1" applyBorder="1"/>
    <xf numFmtId="0" fontId="0" fillId="3" borderId="18" xfId="0" applyFont="1" applyFill="1" applyBorder="1"/>
    <xf numFmtId="166" fontId="1" fillId="0" borderId="14" xfId="2" applyNumberFormat="1" applyFont="1" applyFill="1" applyBorder="1" applyAlignment="1">
      <alignment horizontal="right"/>
    </xf>
    <xf numFmtId="0" fontId="2" fillId="9" borderId="8" xfId="0" applyFont="1" applyFill="1" applyBorder="1"/>
    <xf numFmtId="0" fontId="0" fillId="9" borderId="9" xfId="0" applyFill="1" applyBorder="1"/>
    <xf numFmtId="43" fontId="0" fillId="0" borderId="10" xfId="1" applyFont="1" applyBorder="1"/>
    <xf numFmtId="0" fontId="0" fillId="0" borderId="19" xfId="0" applyBorder="1"/>
    <xf numFmtId="169" fontId="0" fillId="0" borderId="19" xfId="0" applyNumberFormat="1" applyBorder="1"/>
    <xf numFmtId="1" fontId="0" fillId="0" borderId="12" xfId="0" applyNumberFormat="1" applyBorder="1"/>
    <xf numFmtId="43" fontId="7" fillId="2" borderId="14" xfId="1" applyFont="1" applyFill="1" applyBorder="1" applyAlignment="1">
      <alignment horizontal="center"/>
    </xf>
    <xf numFmtId="0" fontId="0" fillId="0" borderId="8" xfId="0" applyBorder="1"/>
    <xf numFmtId="44" fontId="0" fillId="0" borderId="9" xfId="2" applyFont="1" applyBorder="1"/>
    <xf numFmtId="0" fontId="0" fillId="0" borderId="9" xfId="0" applyBorder="1"/>
    <xf numFmtId="165" fontId="0" fillId="4" borderId="9" xfId="2" applyNumberFormat="1" applyFont="1" applyFill="1" applyBorder="1"/>
    <xf numFmtId="164" fontId="0" fillId="4" borderId="9" xfId="3" applyNumberFormat="1" applyFont="1" applyFill="1" applyBorder="1"/>
    <xf numFmtId="165" fontId="0" fillId="4" borderId="12" xfId="2" applyNumberFormat="1" applyFont="1" applyFill="1" applyBorder="1"/>
    <xf numFmtId="0" fontId="0" fillId="0" borderId="20" xfId="0" applyBorder="1"/>
    <xf numFmtId="0" fontId="0" fillId="0" borderId="21" xfId="0" applyBorder="1"/>
    <xf numFmtId="9" fontId="0" fillId="0" borderId="22" xfId="3" applyFont="1" applyBorder="1"/>
    <xf numFmtId="0" fontId="0" fillId="0" borderId="23" xfId="0" applyBorder="1"/>
    <xf numFmtId="1" fontId="0" fillId="0" borderId="15" xfId="0" applyNumberFormat="1" applyBorder="1"/>
    <xf numFmtId="0" fontId="2" fillId="0" borderId="24" xfId="0" applyFont="1" applyBorder="1"/>
    <xf numFmtId="0" fontId="2" fillId="3" borderId="25" xfId="0" applyFont="1" applyFill="1" applyBorder="1"/>
    <xf numFmtId="2" fontId="2" fillId="0" borderId="26" xfId="0" applyNumberFormat="1" applyFont="1" applyBorder="1"/>
    <xf numFmtId="169" fontId="0" fillId="4" borderId="27" xfId="0" applyNumberFormat="1" applyFill="1" applyBorder="1"/>
    <xf numFmtId="10" fontId="0" fillId="0" borderId="28" xfId="3" applyNumberFormat="1" applyFont="1" applyBorder="1"/>
    <xf numFmtId="0" fontId="0" fillId="0" borderId="29" xfId="0" applyBorder="1"/>
    <xf numFmtId="0" fontId="0" fillId="3" borderId="1" xfId="0" applyFill="1" applyBorder="1"/>
    <xf numFmtId="0" fontId="0" fillId="3" borderId="2" xfId="0" applyFill="1" applyBorder="1"/>
    <xf numFmtId="44" fontId="6" fillId="5" borderId="14" xfId="2" applyFont="1" applyFill="1" applyBorder="1" applyAlignment="1"/>
    <xf numFmtId="44" fontId="7" fillId="5" borderId="14" xfId="2" applyFont="1" applyFill="1" applyBorder="1" applyAlignment="1">
      <alignment horizontal="left" vertical="center"/>
    </xf>
    <xf numFmtId="10" fontId="0" fillId="0" borderId="30" xfId="3" applyNumberFormat="1" applyFont="1" applyBorder="1"/>
    <xf numFmtId="0" fontId="0" fillId="0" borderId="31" xfId="0" applyFill="1" applyBorder="1"/>
    <xf numFmtId="10" fontId="0" fillId="0" borderId="9" xfId="3" applyNumberFormat="1" applyFont="1" applyBorder="1"/>
    <xf numFmtId="165" fontId="0" fillId="0" borderId="10" xfId="2" applyNumberFormat="1" applyFont="1" applyBorder="1"/>
    <xf numFmtId="166" fontId="0" fillId="0" borderId="12" xfId="2" applyNumberFormat="1" applyFont="1" applyBorder="1"/>
    <xf numFmtId="2" fontId="2" fillId="0" borderId="32" xfId="0" applyNumberFormat="1" applyFont="1" applyBorder="1"/>
    <xf numFmtId="0" fontId="0" fillId="4" borderId="33" xfId="0" applyFill="1" applyBorder="1"/>
    <xf numFmtId="10" fontId="0" fillId="0" borderId="12" xfId="3" applyNumberFormat="1" applyFont="1" applyBorder="1"/>
    <xf numFmtId="170" fontId="0" fillId="0" borderId="0" xfId="1" applyNumberFormat="1" applyFont="1"/>
    <xf numFmtId="0" fontId="0" fillId="0" borderId="0" xfId="0" applyFill="1" applyBorder="1"/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166" fontId="0" fillId="0" borderId="36" xfId="2" applyNumberFormat="1" applyFont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2" borderId="20" xfId="0" applyFill="1" applyBorder="1" applyAlignment="1">
      <alignment horizontal="left"/>
    </xf>
    <xf numFmtId="0" fontId="0" fillId="0" borderId="28" xfId="0" applyBorder="1"/>
    <xf numFmtId="2" fontId="0" fillId="0" borderId="28" xfId="3" applyNumberFormat="1" applyFont="1" applyBorder="1"/>
    <xf numFmtId="164" fontId="0" fillId="0" borderId="28" xfId="3" applyNumberFormat="1" applyFont="1" applyBorder="1"/>
    <xf numFmtId="2" fontId="0" fillId="0" borderId="37" xfId="0" applyNumberFormat="1" applyBorder="1"/>
    <xf numFmtId="0" fontId="0" fillId="2" borderId="23" xfId="0" applyFill="1" applyBorder="1"/>
    <xf numFmtId="0" fontId="0" fillId="0" borderId="15" xfId="0" applyBorder="1"/>
    <xf numFmtId="2" fontId="0" fillId="0" borderId="15" xfId="3" applyNumberFormat="1" applyFont="1" applyBorder="1"/>
    <xf numFmtId="164" fontId="0" fillId="0" borderId="15" xfId="3" applyNumberFormat="1" applyFont="1" applyBorder="1"/>
    <xf numFmtId="2" fontId="0" fillId="0" borderId="24" xfId="0" applyNumberFormat="1" applyBorder="1"/>
    <xf numFmtId="2" fontId="0" fillId="0" borderId="38" xfId="0" applyNumberFormat="1" applyBorder="1"/>
    <xf numFmtId="0" fontId="0" fillId="2" borderId="25" xfId="0" applyFill="1" applyBorder="1"/>
    <xf numFmtId="0" fontId="0" fillId="0" borderId="26" xfId="0" applyBorder="1"/>
    <xf numFmtId="2" fontId="0" fillId="0" borderId="26" xfId="3" applyNumberFormat="1" applyFont="1" applyBorder="1"/>
    <xf numFmtId="164" fontId="0" fillId="0" borderId="26" xfId="3" applyNumberFormat="1" applyFont="1" applyBorder="1"/>
    <xf numFmtId="2" fontId="0" fillId="0" borderId="39" xfId="0" applyNumberFormat="1" applyBorder="1"/>
    <xf numFmtId="9" fontId="0" fillId="0" borderId="0" xfId="3" applyFont="1"/>
    <xf numFmtId="0" fontId="0" fillId="0" borderId="14" xfId="0" applyFont="1" applyFill="1" applyBorder="1" applyAlignment="1">
      <alignment horizontal="center"/>
    </xf>
    <xf numFmtId="164" fontId="7" fillId="2" borderId="14" xfId="3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165" fontId="0" fillId="4" borderId="14" xfId="2" applyNumberFormat="1" applyFont="1" applyFill="1" applyBorder="1" applyAlignment="1"/>
    <xf numFmtId="39" fontId="7" fillId="2" borderId="14" xfId="3" applyNumberFormat="1" applyFont="1" applyFill="1" applyBorder="1" applyAlignment="1">
      <alignment horizontal="center"/>
    </xf>
    <xf numFmtId="16" fontId="0" fillId="0" borderId="14" xfId="0" applyNumberFormat="1" applyBorder="1"/>
    <xf numFmtId="165" fontId="0" fillId="0" borderId="16" xfId="2" applyNumberFormat="1" applyFont="1" applyFill="1" applyBorder="1" applyAlignment="1"/>
    <xf numFmtId="168" fontId="0" fillId="0" borderId="0" xfId="0" applyNumberFormat="1" applyBorder="1" applyAlignment="1">
      <alignment horizontal="left"/>
    </xf>
    <xf numFmtId="165" fontId="1" fillId="0" borderId="16" xfId="2" applyNumberFormat="1" applyFont="1" applyFill="1" applyBorder="1" applyAlignment="1"/>
    <xf numFmtId="9" fontId="6" fillId="0" borderId="14" xfId="3" applyFont="1" applyFill="1" applyBorder="1" applyAlignment="1">
      <alignment horizontal="center"/>
    </xf>
    <xf numFmtId="166" fontId="1" fillId="0" borderId="13" xfId="2" applyNumberFormat="1" applyFont="1" applyFill="1" applyBorder="1" applyAlignment="1">
      <alignment horizontal="right"/>
    </xf>
    <xf numFmtId="164" fontId="1" fillId="0" borderId="14" xfId="3" applyNumberFormat="1" applyFont="1" applyFill="1" applyBorder="1" applyAlignment="1">
      <alignment horizontal="right"/>
    </xf>
    <xf numFmtId="166" fontId="0" fillId="0" borderId="13" xfId="2" applyNumberFormat="1" applyFont="1" applyFill="1" applyBorder="1" applyAlignment="1">
      <alignment horizontal="right"/>
    </xf>
    <xf numFmtId="164" fontId="0" fillId="0" borderId="14" xfId="3" applyNumberFormat="1" applyFont="1" applyFill="1" applyBorder="1" applyAlignment="1">
      <alignment horizontal="right"/>
    </xf>
    <xf numFmtId="44" fontId="9" fillId="5" borderId="14" xfId="2" applyFont="1" applyFill="1" applyBorder="1" applyAlignment="1"/>
    <xf numFmtId="44" fontId="10" fillId="6" borderId="14" xfId="2" applyFont="1" applyFill="1" applyBorder="1" applyAlignment="1"/>
    <xf numFmtId="44" fontId="10" fillId="7" borderId="14" xfId="2" applyFont="1" applyFill="1" applyBorder="1" applyAlignment="1"/>
    <xf numFmtId="39" fontId="10" fillId="2" borderId="14" xfId="3" applyNumberFormat="1" applyFont="1" applyFill="1" applyBorder="1" applyAlignment="1">
      <alignment horizontal="center"/>
    </xf>
    <xf numFmtId="165" fontId="10" fillId="3" borderId="14" xfId="2" applyNumberFormat="1" applyFont="1" applyFill="1" applyBorder="1" applyAlignment="1"/>
    <xf numFmtId="44" fontId="10" fillId="5" borderId="14" xfId="2" applyFont="1" applyFill="1" applyBorder="1" applyAlignment="1">
      <alignment horizontal="left"/>
    </xf>
    <xf numFmtId="165" fontId="11" fillId="0" borderId="16" xfId="2" applyNumberFormat="1" applyFont="1" applyFill="1" applyBorder="1" applyAlignment="1"/>
    <xf numFmtId="9" fontId="9" fillId="0" borderId="14" xfId="3" applyFont="1" applyFill="1" applyBorder="1" applyAlignment="1">
      <alignment horizontal="center"/>
    </xf>
    <xf numFmtId="166" fontId="11" fillId="0" borderId="13" xfId="2" applyNumberFormat="1" applyFont="1" applyFill="1" applyBorder="1" applyAlignment="1">
      <alignment horizontal="right"/>
    </xf>
    <xf numFmtId="164" fontId="11" fillId="0" borderId="14" xfId="3" applyNumberFormat="1" applyFont="1" applyFill="1" applyBorder="1" applyAlignment="1">
      <alignment horizontal="right"/>
    </xf>
    <xf numFmtId="16" fontId="0" fillId="0" borderId="0" xfId="0" applyNumberFormat="1"/>
    <xf numFmtId="165" fontId="0" fillId="0" borderId="0" xfId="2" applyNumberFormat="1" applyFont="1"/>
    <xf numFmtId="9" fontId="0" fillId="0" borderId="40" xfId="3" applyFont="1" applyBorder="1"/>
    <xf numFmtId="165" fontId="0" fillId="4" borderId="0" xfId="0" applyNumberFormat="1" applyFill="1"/>
    <xf numFmtId="9" fontId="2" fillId="8" borderId="0" xfId="3" applyFont="1" applyFill="1" applyAlignment="1">
      <alignment horizontal="center"/>
    </xf>
    <xf numFmtId="166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83"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</dxf>
    <dxf>
      <font>
        <color rgb="FFFF0000"/>
      </font>
    </dxf>
    <dxf>
      <font>
        <strike val="0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8" formatCode="_(* #,##0_);_(* \(#,##0\);_(* &quot;-&quot;??_);_(@_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.0_);_(&quot;$&quot;* \(#,##0.0\);_(&quot;$&quot;* &quot;-&quot;??_);_(@_)"/>
      <fill>
        <patternFill patternType="none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165" formatCode="_(&quot;$&quot;* #,##0.0_);_(&quot;$&quot;* \(#,##0.0\);_(&quot;$&quot;* &quot;-&quot;??_);_(@_)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7" formatCode="#,##0.00_);\(#,##0.00\)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rgb="FFF9ADA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rgb="FFF9ADA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</a:t>
            </a:r>
            <a:r>
              <a:rPr lang="en-US" baseline="0"/>
              <a:t> Size % of Capital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val>
            <c:numRef>
              <c:f>'Stocks (6)'!$P$15:$P$91</c:f>
              <c:numCache>
                <c:formatCode>0%</c:formatCode>
                <c:ptCount val="77"/>
              </c:numCache>
            </c:numRef>
          </c:val>
          <c:extLst>
            <c:ext xmlns:c16="http://schemas.microsoft.com/office/drawing/2014/chart" uri="{C3380CC4-5D6E-409C-BE32-E72D297353CC}">
              <c16:uniqueId val="{00000000-AA28-4309-91AF-17AD0DC24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overlap val="-27"/>
        <c:axId val="962852000"/>
        <c:axId val="1018100048"/>
      </c:barChart>
      <c:catAx>
        <c:axId val="96285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00048"/>
        <c:crosses val="autoZero"/>
        <c:auto val="1"/>
        <c:lblAlgn val="ctr"/>
        <c:lblOffset val="100"/>
        <c:noMultiLvlLbl val="0"/>
      </c:catAx>
      <c:valAx>
        <c:axId val="101810004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5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Return on Capital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'Stocks (6)'!$V$1</c:f>
              <c:strCache>
                <c:ptCount val="1"/>
                <c:pt idx="0">
                  <c:v>%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20"/>
            <c:dispRSqr val="0"/>
            <c:dispEq val="0"/>
          </c:trendline>
          <c:val>
            <c:numRef>
              <c:f>'Stocks (6)'!$V$2:$V$96</c:f>
              <c:numCache>
                <c:formatCode>0.0%</c:formatCode>
                <c:ptCount val="95"/>
                <c:pt idx="0">
                  <c:v>0</c:v>
                </c:pt>
                <c:pt idx="1">
                  <c:v>5.0951086956521783E-3</c:v>
                </c:pt>
                <c:pt idx="2">
                  <c:v>7.0657101816237571E-3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D-4AA2-89A4-B1CD6BCD9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018100832"/>
        <c:axId val="1018101224"/>
      </c:barChart>
      <c:catAx>
        <c:axId val="10181008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018101224"/>
        <c:crosses val="autoZero"/>
        <c:auto val="1"/>
        <c:lblAlgn val="ctr"/>
        <c:lblOffset val="100"/>
        <c:noMultiLvlLbl val="0"/>
      </c:catAx>
      <c:valAx>
        <c:axId val="1018101224"/>
        <c:scaling>
          <c:orientation val="minMax"/>
          <c:max val="5.000000000000001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0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903196740586704"/>
                  <c:y val="-1.8935185185185208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'Stocks (6)'!$U$2:$U$198</c:f>
              <c:numCache>
                <c:formatCode>_("$"* #,##0_);_("$"* \(#,##0\);_("$"* "-"??_);_(@_)</c:formatCode>
                <c:ptCount val="197"/>
                <c:pt idx="0">
                  <c:v>556.51</c:v>
                </c:pt>
                <c:pt idx="1">
                  <c:v>559.36</c:v>
                </c:pt>
                <c:pt idx="2">
                  <c:v>563.34040000000005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FE-4EEE-8D07-DB7633E0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102008"/>
        <c:axId val="1018102400"/>
      </c:scatterChart>
      <c:valAx>
        <c:axId val="1018102008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02400"/>
        <c:crosses val="autoZero"/>
        <c:crossBetween val="midCat"/>
      </c:valAx>
      <c:valAx>
        <c:axId val="1018102400"/>
        <c:scaling>
          <c:orientation val="minMax"/>
          <c:max val="12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02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195263</xdr:rowOff>
    </xdr:from>
    <xdr:to>
      <xdr:col>6</xdr:col>
      <xdr:colOff>581025</xdr:colOff>
      <xdr:row>40</xdr:row>
      <xdr:rowOff>97631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116681</xdr:rowOff>
    </xdr:from>
    <xdr:to>
      <xdr:col>6</xdr:col>
      <xdr:colOff>571500</xdr:colOff>
      <xdr:row>53</xdr:row>
      <xdr:rowOff>97632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53</xdr:row>
      <xdr:rowOff>163605</xdr:rowOff>
    </xdr:from>
    <xdr:to>
      <xdr:col>6</xdr:col>
      <xdr:colOff>526678</xdr:colOff>
      <xdr:row>68</xdr:row>
      <xdr:rowOff>49305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0.63542</cdr:x>
      <cdr:y>0.04514</cdr:y>
    </cdr:from>
    <cdr:to>
      <cdr:x>0.83542</cdr:x>
      <cdr:y>0.37847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05125" y="1238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63434/Documents/Daniel%20Personal/Mon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s (6)"/>
      <sheetName val="Monthly Budget"/>
      <sheetName val="SideIncome"/>
      <sheetName val="UberCalc"/>
      <sheetName val="Monthly Forecast"/>
      <sheetName val="Debts"/>
      <sheetName val="Stocks (5)"/>
      <sheetName val="Stocks (4)"/>
      <sheetName val="Stocks (3)"/>
      <sheetName val="Stocks (2)"/>
      <sheetName val="Stocks"/>
      <sheetName val="Aug '19"/>
      <sheetName val="Jul '19"/>
      <sheetName val="Jun '19"/>
      <sheetName val="May '19"/>
      <sheetName val="Apr '19"/>
      <sheetName val="Mar '19"/>
      <sheetName val="Feb '19"/>
      <sheetName val="Aug '17"/>
      <sheetName val="Jul '17"/>
    </sheetNames>
    <sheetDataSet>
      <sheetData sheetId="0">
        <row r="1">
          <cell r="V1" t="str">
            <v>% CAPITAL</v>
          </cell>
        </row>
        <row r="2">
          <cell r="U2">
            <v>556.51</v>
          </cell>
          <cell r="V2">
            <v>0</v>
          </cell>
        </row>
        <row r="3">
          <cell r="U3">
            <v>559.36</v>
          </cell>
          <cell r="V3">
            <v>5.0951086956521783E-3</v>
          </cell>
        </row>
        <row r="4">
          <cell r="U4">
            <v>563.34040000000005</v>
          </cell>
          <cell r="V4">
            <v>7.0657101816237571E-3</v>
          </cell>
        </row>
        <row r="5">
          <cell r="U5">
            <v>578.8456000000001</v>
          </cell>
          <cell r="V5">
            <v>2.6786417656107259E-2</v>
          </cell>
        </row>
        <row r="6">
          <cell r="U6">
            <v>597.31560000000013</v>
          </cell>
          <cell r="V6">
            <v>3.0921676915854877E-2</v>
          </cell>
        </row>
        <row r="7">
          <cell r="U7">
            <v>608.56560000000013</v>
          </cell>
          <cell r="V7">
            <v>1.8486092542858122E-2</v>
          </cell>
        </row>
        <row r="8">
          <cell r="U8">
            <v>601.04160000000013</v>
          </cell>
          <cell r="V8">
            <v>-1.2518268286255053E-2</v>
          </cell>
        </row>
        <row r="9">
          <cell r="U9">
            <v>605.47460000000012</v>
          </cell>
          <cell r="V9">
            <v>7.321529259856646E-3</v>
          </cell>
        </row>
        <row r="10">
          <cell r="U10">
            <v>617.07460000000015</v>
          </cell>
          <cell r="V10">
            <v>1.8798375431430814E-2</v>
          </cell>
        </row>
        <row r="11">
          <cell r="U11">
            <v>607.82460000000015</v>
          </cell>
          <cell r="V11">
            <v>-1.5218206041677156E-2</v>
          </cell>
        </row>
        <row r="12">
          <cell r="U12">
            <v>611.02460000000019</v>
          </cell>
          <cell r="V12">
            <v>5.2371050199942733E-3</v>
          </cell>
        </row>
        <row r="13">
          <cell r="U13">
            <v>594.07460000000015</v>
          </cell>
          <cell r="V13">
            <v>-2.8531770252422834E-2</v>
          </cell>
        </row>
        <row r="14">
          <cell r="U14">
            <v>606.57460000000015</v>
          </cell>
          <cell r="V14">
            <v>2.0607522965847887E-2</v>
          </cell>
        </row>
        <row r="15">
          <cell r="P15">
            <v>7.0604166687001951E-2</v>
          </cell>
          <cell r="U15">
            <v>614.69460000000015</v>
          </cell>
          <cell r="V15">
            <v>1.3209811831761656E-2</v>
          </cell>
        </row>
        <row r="16">
          <cell r="P16">
            <v>5.770151879748029E-2</v>
          </cell>
          <cell r="U16">
            <v>628.83960000000013</v>
          </cell>
          <cell r="V16">
            <v>2.2493812412577065E-2</v>
          </cell>
        </row>
        <row r="17">
          <cell r="P17">
            <v>5.9748214894412892E-2</v>
          </cell>
          <cell r="U17">
            <v>626.6296000000001</v>
          </cell>
          <cell r="V17">
            <v>-3.5268043514063152E-3</v>
          </cell>
        </row>
        <row r="18">
          <cell r="P18">
            <v>7.3653077353664137E-2</v>
          </cell>
          <cell r="U18">
            <v>624.54960000000005</v>
          </cell>
          <cell r="V18">
            <v>-3.3304000194700192E-3</v>
          </cell>
        </row>
        <row r="19">
          <cell r="P19">
            <v>6.0025784814524488E-2</v>
          </cell>
          <cell r="U19">
            <v>626.88060000000007</v>
          </cell>
          <cell r="V19">
            <v>3.7184114486873508E-3</v>
          </cell>
        </row>
        <row r="20">
          <cell r="P20">
            <v>3.2196456926262794E-2</v>
          </cell>
          <cell r="U20">
            <v>628.64060000000006</v>
          </cell>
          <cell r="V20">
            <v>2.7996919066315459E-3</v>
          </cell>
        </row>
        <row r="21">
          <cell r="P21">
            <v>9.6176012805727629E-2</v>
          </cell>
          <cell r="U21">
            <v>691.44060000000002</v>
          </cell>
          <cell r="V21">
            <v>9.0824866228566836E-2</v>
          </cell>
        </row>
        <row r="22">
          <cell r="P22">
            <v>8.9693279647973023E-2</v>
          </cell>
          <cell r="U22">
            <v>704.40060000000005</v>
          </cell>
          <cell r="V22">
            <v>1.8398621466250879E-2</v>
          </cell>
        </row>
        <row r="23">
          <cell r="P23">
            <v>7.426154070756058E-2</v>
          </cell>
          <cell r="U23">
            <v>711.00060000000008</v>
          </cell>
          <cell r="V23">
            <v>9.2826925884450708E-3</v>
          </cell>
        </row>
        <row r="24">
          <cell r="P24">
            <v>8.980994281731855E-2</v>
          </cell>
          <cell r="U24">
            <v>723.75060000000008</v>
          </cell>
          <cell r="V24">
            <v>1.7616565706474015E-2</v>
          </cell>
        </row>
        <row r="25">
          <cell r="P25">
            <v>8.4772813639493586E-2</v>
          </cell>
          <cell r="U25">
            <v>753.13060000000007</v>
          </cell>
          <cell r="V25">
            <v>3.9010498311979357E-2</v>
          </cell>
        </row>
        <row r="26">
          <cell r="P26">
            <v>9.3903750744558034E-2</v>
          </cell>
          <cell r="U26">
            <v>765.89060000000006</v>
          </cell>
          <cell r="V26">
            <v>1.6660342874034485E-2</v>
          </cell>
        </row>
        <row r="27">
          <cell r="P27">
            <v>6.2420587206421324E-2</v>
          </cell>
          <cell r="U27">
            <v>774.1196000000001</v>
          </cell>
          <cell r="V27">
            <v>1.0630140355572958E-2</v>
          </cell>
        </row>
        <row r="28">
          <cell r="P28">
            <v>7.0618226152494204E-2</v>
          </cell>
          <cell r="U28">
            <v>783.14060000000006</v>
          </cell>
          <cell r="V28">
            <v>1.151900437801334E-2</v>
          </cell>
        </row>
        <row r="29">
          <cell r="P29">
            <v>6.712213375324351E-2</v>
          </cell>
          <cell r="U29">
            <v>803.21940000000006</v>
          </cell>
          <cell r="V29">
            <v>2.4997902192103422E-2</v>
          </cell>
        </row>
        <row r="30">
          <cell r="P30">
            <v>4.9479526025185211E-2</v>
          </cell>
          <cell r="U30">
            <v>807.28340000000003</v>
          </cell>
          <cell r="V30">
            <v>5.0341676789092907E-3</v>
          </cell>
        </row>
        <row r="31">
          <cell r="P31">
            <v>8.3616563889248638E-2</v>
          </cell>
          <cell r="U31">
            <v>816.9434</v>
          </cell>
          <cell r="V31">
            <v>1.1824564590398788E-2</v>
          </cell>
        </row>
        <row r="32">
          <cell r="P32">
            <v>0.12124230774907584</v>
          </cell>
          <cell r="U32">
            <v>799.47339999999997</v>
          </cell>
          <cell r="V32">
            <v>-2.1851884002644737E-2</v>
          </cell>
        </row>
        <row r="33">
          <cell r="P33">
            <v>9.7085683735038342E-2</v>
          </cell>
          <cell r="U33">
            <v>788.19859999999994</v>
          </cell>
          <cell r="V33">
            <v>-1.4304516653543917E-2</v>
          </cell>
        </row>
        <row r="34">
          <cell r="P34">
            <v>5.6365865071437066E-2</v>
          </cell>
          <cell r="U34">
            <v>802.2586</v>
          </cell>
          <cell r="V34">
            <v>1.7525521072631698E-2</v>
          </cell>
        </row>
        <row r="35">
          <cell r="P35">
            <v>7.1674798612677684E-2</v>
          </cell>
          <cell r="U35">
            <v>795.2586</v>
          </cell>
          <cell r="V35">
            <v>-8.8021682506797174E-3</v>
          </cell>
        </row>
        <row r="36">
          <cell r="P36">
            <v>0.11151991435270577</v>
          </cell>
          <cell r="U36">
            <v>781.25059999999996</v>
          </cell>
          <cell r="V36">
            <v>-1.793022622958625E-2</v>
          </cell>
        </row>
        <row r="37">
          <cell r="P37">
            <v>0.1074553574736926</v>
          </cell>
          <cell r="U37">
            <v>782.65059999999994</v>
          </cell>
          <cell r="V37">
            <v>1.7887931089556513E-3</v>
          </cell>
        </row>
        <row r="38">
          <cell r="P38">
            <v>9.1141222670404198E-2</v>
          </cell>
          <cell r="U38">
            <v>802.60059999999999</v>
          </cell>
          <cell r="V38">
            <v>2.4856697091928399E-2</v>
          </cell>
        </row>
        <row r="39">
          <cell r="P39">
            <v>0.15820549278577917</v>
          </cell>
          <cell r="U39">
            <v>840.36273114754101</v>
          </cell>
          <cell r="V39">
            <v>4.4935513853613746E-2</v>
          </cell>
        </row>
        <row r="40">
          <cell r="P40">
            <v>0.1009319213255825</v>
          </cell>
          <cell r="U40">
            <v>854.71473114754099</v>
          </cell>
          <cell r="V40">
            <v>1.6791567381471223E-2</v>
          </cell>
        </row>
        <row r="41">
          <cell r="P41">
            <v>7.9607042354615146E-2</v>
          </cell>
          <cell r="U41">
            <v>860.47663590944569</v>
          </cell>
          <cell r="V41">
            <v>6.6961780499884644E-3</v>
          </cell>
        </row>
        <row r="42">
          <cell r="P42">
            <v>4.5298811643753108E-2</v>
          </cell>
          <cell r="U42">
            <v>856.10413590944574</v>
          </cell>
          <cell r="V42">
            <v>-5.1074394067201368E-3</v>
          </cell>
        </row>
        <row r="43">
          <cell r="P43">
            <v>4.7119277730704137E-2</v>
          </cell>
          <cell r="U43">
            <v>865.88763590944575</v>
          </cell>
          <cell r="V43">
            <v>1.1298810139175094E-2</v>
          </cell>
        </row>
        <row r="44">
          <cell r="P44">
            <v>5.6886070716793254E-2</v>
          </cell>
          <cell r="U44">
            <v>860.66763590944572</v>
          </cell>
          <cell r="V44">
            <v>-6.0650590102463405E-3</v>
          </cell>
        </row>
        <row r="45">
          <cell r="P45">
            <v>7.6142047478955338E-2</v>
          </cell>
          <cell r="U45">
            <v>873.36763590944577</v>
          </cell>
          <cell r="V45">
            <v>1.4541413578687707E-2</v>
          </cell>
        </row>
        <row r="46">
          <cell r="P46">
            <v>7.5918698971584528E-2</v>
          </cell>
          <cell r="U46">
            <v>910.44763590944581</v>
          </cell>
          <cell r="V46">
            <v>4.0727218719131271E-2</v>
          </cell>
        </row>
        <row r="47">
          <cell r="P47">
            <v>0.12123935452516135</v>
          </cell>
          <cell r="U47">
            <v>900.69763590944581</v>
          </cell>
          <cell r="V47">
            <v>-1.0824942368317972E-2</v>
          </cell>
        </row>
        <row r="48">
          <cell r="P48">
            <v>0.12941367910741766</v>
          </cell>
          <cell r="U48">
            <v>892.33843590944582</v>
          </cell>
          <cell r="V48">
            <v>-9.367746208847923E-3</v>
          </cell>
        </row>
        <row r="49">
          <cell r="P49">
            <v>6.4066782821982457E-2</v>
          </cell>
          <cell r="U49">
            <v>882.20443590944581</v>
          </cell>
          <cell r="V49">
            <v>-1.1487133353113419E-2</v>
          </cell>
        </row>
        <row r="50">
          <cell r="P50">
            <v>8.2652806050588737E-2</v>
          </cell>
          <cell r="U50">
            <v>901.78063590944578</v>
          </cell>
          <cell r="V50">
            <v>2.1708383636179322E-2</v>
          </cell>
        </row>
        <row r="51">
          <cell r="P51">
            <v>7.9807741890906503E-2</v>
          </cell>
          <cell r="U51">
            <v>915.70063590944574</v>
          </cell>
          <cell r="V51">
            <v>1.5201474645886953E-2</v>
          </cell>
        </row>
        <row r="52">
          <cell r="P52">
            <v>0.10912758169488626</v>
          </cell>
          <cell r="U52">
            <v>918.48823590944573</v>
          </cell>
          <cell r="V52">
            <v>3.0349871571733861E-3</v>
          </cell>
        </row>
        <row r="53">
          <cell r="P53">
            <v>8.502037644791148E-2</v>
          </cell>
          <cell r="U53">
            <v>941.28023590944576</v>
          </cell>
          <cell r="V53">
            <v>2.4213830409366692E-2</v>
          </cell>
        </row>
        <row r="54">
          <cell r="P54">
            <v>2.1180153136147978E-2</v>
          </cell>
          <cell r="U54">
            <v>944.28023590944576</v>
          </cell>
          <cell r="V54">
            <v>3.1770229704221969E-3</v>
          </cell>
        </row>
        <row r="55">
          <cell r="P55">
            <v>0.106097104144439</v>
          </cell>
          <cell r="U55">
            <v>962.42023590944575</v>
          </cell>
          <cell r="V55">
            <v>1.8848315240232314E-2</v>
          </cell>
        </row>
        <row r="56">
          <cell r="P56">
            <v>6.4022505778676991E-2</v>
          </cell>
          <cell r="U56">
            <v>970.63523590944578</v>
          </cell>
          <cell r="V56">
            <v>8.4635295485671145E-3</v>
          </cell>
        </row>
        <row r="57">
          <cell r="P57">
            <v>6.4487701325180474E-2</v>
          </cell>
          <cell r="U57">
            <v>985.60343590944581</v>
          </cell>
          <cell r="V57">
            <v>1.5186838290786186E-2</v>
          </cell>
        </row>
        <row r="58">
          <cell r="P58">
            <v>0.10483484006323331</v>
          </cell>
          <cell r="U58">
            <v>966.3104359094458</v>
          </cell>
          <cell r="V58">
            <v>-1.9965633489037453E-2</v>
          </cell>
        </row>
        <row r="59">
          <cell r="P59">
            <v>0.13374096785828243</v>
          </cell>
          <cell r="U59">
            <v>951.6904359094458</v>
          </cell>
          <cell r="V59">
            <v>-1.5362138199937841E-2</v>
          </cell>
        </row>
        <row r="60">
          <cell r="P60">
            <v>0.15759221058208914</v>
          </cell>
          <cell r="U60">
            <v>992.0509359094458</v>
          </cell>
          <cell r="V60">
            <v>4.0683898919968466E-2</v>
          </cell>
        </row>
        <row r="61">
          <cell r="P61">
            <v>3.0834438417221451E-2</v>
          </cell>
          <cell r="U61">
            <v>1006.9909359094459</v>
          </cell>
          <cell r="V61">
            <v>1.483628051379351E-2</v>
          </cell>
        </row>
        <row r="62">
          <cell r="P62">
            <v>4.6819403930429736E-2</v>
          </cell>
          <cell r="U62">
            <v>1019.2120359094458</v>
          </cell>
          <cell r="V62">
            <v>1.19907335955811E-2</v>
          </cell>
        </row>
        <row r="63">
          <cell r="P63">
            <v>8.9787012843587671E-2</v>
          </cell>
          <cell r="U63">
            <v>1038.0120359094458</v>
          </cell>
          <cell r="V63">
            <v>1.8111543363298791E-2</v>
          </cell>
        </row>
        <row r="64">
          <cell r="P64">
            <v>8.0205928369356388E-2</v>
          </cell>
          <cell r="U64">
            <v>1059.7720359094458</v>
          </cell>
          <cell r="V64">
            <v>2.0532717662555242E-2</v>
          </cell>
        </row>
        <row r="65">
          <cell r="P65">
            <v>9.6600269147680495E-2</v>
          </cell>
          <cell r="U65">
            <v>1089.8520359094457</v>
          </cell>
          <cell r="V65">
            <v>2.7600076899337297E-2</v>
          </cell>
        </row>
        <row r="66">
          <cell r="P66">
            <v>7.0518191310130762E-2</v>
          </cell>
          <cell r="U66">
            <v>1114.2940359094457</v>
          </cell>
          <cell r="V66">
            <v>2.1934964392097227E-2</v>
          </cell>
        </row>
        <row r="67">
          <cell r="P67">
            <v>0.13086312526207419</v>
          </cell>
          <cell r="U67">
            <v>1114.2940359094457</v>
          </cell>
          <cell r="V67">
            <v>0</v>
          </cell>
        </row>
        <row r="68">
          <cell r="P68">
            <v>7.9179155950697883E-2</v>
          </cell>
          <cell r="U68">
            <v>1139.4160359094458</v>
          </cell>
          <cell r="V68">
            <v>2.2048136245465793E-2</v>
          </cell>
        </row>
        <row r="69">
          <cell r="P69">
            <v>0.1192085063819313</v>
          </cell>
          <cell r="U69">
            <v>1202.4712359094458</v>
          </cell>
          <cell r="V69">
            <v>5.2438011086652275E-2</v>
          </cell>
        </row>
        <row r="70">
          <cell r="P70">
            <v>4.6896190606114434E-2</v>
          </cell>
          <cell r="U70">
            <v>1191.7812359094457</v>
          </cell>
          <cell r="V70">
            <v>-8.9697669990940008E-3</v>
          </cell>
        </row>
        <row r="71">
          <cell r="P71">
            <v>7.7537522947844981E-2</v>
          </cell>
          <cell r="U71">
            <v>1216.7012359094458</v>
          </cell>
          <cell r="V71">
            <v>2.0481609835279808E-2</v>
          </cell>
        </row>
        <row r="72">
          <cell r="P72">
            <v>7.3512234972018822E-2</v>
          </cell>
          <cell r="U72">
            <v>1221.0212359094457</v>
          </cell>
          <cell r="V72">
            <v>3.5380220040009003E-3</v>
          </cell>
        </row>
        <row r="73">
          <cell r="P73">
            <v>1.9542350702216098E-2</v>
          </cell>
          <cell r="U73">
            <v>1218.8912359094456</v>
          </cell>
          <cell r="V73">
            <v>-1.7474897983089958E-3</v>
          </cell>
        </row>
        <row r="74">
          <cell r="P74">
            <v>7.6791902508306142E-2</v>
          </cell>
          <cell r="U74">
            <v>1239.0056359094456</v>
          </cell>
          <cell r="V74">
            <v>1.6234308720666772E-2</v>
          </cell>
        </row>
        <row r="75">
          <cell r="P75">
            <v>7.7592141187613178E-2</v>
          </cell>
          <cell r="U75">
            <v>1379.0056359094456</v>
          </cell>
          <cell r="V75">
            <v>0.1015224277221107</v>
          </cell>
        </row>
        <row r="76">
          <cell r="P76">
            <v>8.3103358692527773E-2</v>
          </cell>
          <cell r="U76">
            <v>1379.0056359094456</v>
          </cell>
          <cell r="V76">
            <v>0</v>
          </cell>
        </row>
        <row r="77">
          <cell r="P77">
            <v>6.4900278837054098E-2</v>
          </cell>
          <cell r="U77">
            <v>1403.0756359094455</v>
          </cell>
          <cell r="V77">
            <v>1.7155169246737229E-2</v>
          </cell>
        </row>
        <row r="78">
          <cell r="P78">
            <v>8.8979522418317789E-2</v>
          </cell>
          <cell r="U78">
            <v>1403.0756359094455</v>
          </cell>
          <cell r="V78">
            <v>0</v>
          </cell>
        </row>
        <row r="79">
          <cell r="P79">
            <v>8.1845982441400414E-2</v>
          </cell>
          <cell r="U79">
            <v>1391.4916359094454</v>
          </cell>
          <cell r="V79">
            <v>-8.3248793604346599E-3</v>
          </cell>
        </row>
        <row r="80">
          <cell r="P80">
            <v>5.168206689523832E-2</v>
          </cell>
          <cell r="U80">
            <v>1403.5816359094454</v>
          </cell>
          <cell r="V80">
            <v>8.6136778158730568E-3</v>
          </cell>
        </row>
        <row r="81">
          <cell r="P81">
            <v>6.6735596344488876E-2</v>
          </cell>
          <cell r="U81">
            <v>1420.1566359094454</v>
          </cell>
          <cell r="V81">
            <v>1.1671247791188642E-2</v>
          </cell>
        </row>
        <row r="82">
          <cell r="P82">
            <v>7.8930730009381542E-2</v>
          </cell>
          <cell r="U82">
            <v>1420.1566359094454</v>
          </cell>
          <cell r="V82">
            <v>0</v>
          </cell>
        </row>
        <row r="83">
          <cell r="P83">
            <v>8.6377795869991544E-2</v>
          </cell>
          <cell r="U83">
            <v>1420.1566359094454</v>
          </cell>
          <cell r="V83">
            <v>0</v>
          </cell>
        </row>
        <row r="84">
          <cell r="P84">
            <v>5.7058706600418965E-2</v>
          </cell>
          <cell r="U84">
            <v>1427.1266359094454</v>
          </cell>
          <cell r="V84">
            <v>4.883939395860501E-3</v>
          </cell>
        </row>
        <row r="85">
          <cell r="P85">
            <v>9.8757879261489004E-2</v>
          </cell>
          <cell r="U85">
            <v>1427.1266359094454</v>
          </cell>
          <cell r="V85">
            <v>0</v>
          </cell>
        </row>
        <row r="86">
          <cell r="P86">
            <v>8.6038785723477645E-2</v>
          </cell>
          <cell r="U86">
            <v>1451.0316359094454</v>
          </cell>
          <cell r="V86">
            <v>1.6474485744080516E-2</v>
          </cell>
        </row>
        <row r="87">
          <cell r="P87">
            <v>7.5826689767279812E-2</v>
          </cell>
          <cell r="U87">
            <v>1474.4676359094453</v>
          </cell>
          <cell r="V87">
            <v>1.5894550296822747E-2</v>
          </cell>
        </row>
        <row r="88">
          <cell r="P88">
            <v>7.1905260323082767E-2</v>
          </cell>
          <cell r="U88">
            <v>1525.7576359094453</v>
          </cell>
          <cell r="V88">
            <v>3.3616086062992566E-2</v>
          </cell>
        </row>
        <row r="89">
          <cell r="P89">
            <v>7.4454813350671792E-2</v>
          </cell>
          <cell r="U89">
            <v>1525.7576359094453</v>
          </cell>
          <cell r="V89">
            <v>0</v>
          </cell>
        </row>
        <row r="90">
          <cell r="P90">
            <v>7.2424823899033305E-2</v>
          </cell>
          <cell r="U90">
            <v>1566.0376359094453</v>
          </cell>
          <cell r="V90">
            <v>2.5720965496852939E-2</v>
          </cell>
        </row>
        <row r="91">
          <cell r="P91">
            <v>7.2795185368451726E-2</v>
          </cell>
          <cell r="U91">
            <v>1566.0376359094453</v>
          </cell>
          <cell r="V91">
            <v>0</v>
          </cell>
        </row>
        <row r="92">
          <cell r="U92">
            <v>1566.0376359094453</v>
          </cell>
          <cell r="V92">
            <v>0</v>
          </cell>
        </row>
        <row r="93">
          <cell r="U93">
            <v>1566.0376359094453</v>
          </cell>
        </row>
        <row r="94">
          <cell r="U94">
            <v>1566.0376359094453</v>
          </cell>
        </row>
        <row r="95">
          <cell r="U95">
            <v>1566.0376359094453</v>
          </cell>
        </row>
        <row r="96">
          <cell r="U96">
            <v>1566.0376359094453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id="1" name="Table224" displayName="Table224" ref="H1:Y96" headerRowDxfId="182" headerRowBorderDxfId="180" tableBorderDxfId="181" totalsRowBorderDxfId="179">
  <autoFilter ref="H1:Y96"/>
  <tableColumns count="18">
    <tableColumn id="1" name="DATE BUY" totalsRowLabel="Total" dataDxfId="177" totalsRowDxfId="178"/>
    <tableColumn id="2" name="TICK" dataDxfId="175" totalsRowDxfId="176"/>
    <tableColumn id="3" name="SHARE" dataDxfId="173" totalsRowDxfId="174"/>
    <tableColumn id="4" name="BUY PRICE" dataDxfId="171" totalsRowDxfId="172" dataCellStyle="Currency"/>
    <tableColumn id="5" name="STOP LOSS" dataDxfId="169" totalsRowDxfId="170" dataCellStyle="Currency"/>
    <tableColumn id="6" name="PRICE TARGET" dataDxfId="167" totalsRowDxfId="168" dataCellStyle="Currency"/>
    <tableColumn id="7" name="RISK RATIO" dataDxfId="165" totalsRowDxfId="166" dataCellStyle="Percent">
      <calculatedColumnFormula>(M2-K2)/(K2-L2)</calculatedColumnFormula>
    </tableColumn>
    <tableColumn id="8" name="EQUITY" dataDxfId="163" totalsRowDxfId="164" dataCellStyle="Currency">
      <calculatedColumnFormula>J2*K2</calculatedColumnFormula>
    </tableColumn>
    <tableColumn id="9" name="% of Cap." dataDxfId="161" totalsRowDxfId="162" dataCellStyle="Percent">
      <calculatedColumnFormula>O2/IF(ISBLANK(U2),LOOKUP(2,1/(U:U&lt;&gt;""),U:U),U2)</calculatedColumnFormula>
    </tableColumn>
    <tableColumn id="10" name="DATE SELL" dataDxfId="159" totalsRowDxfId="160"/>
    <tableColumn id="11" name="SELL PRICE" dataDxfId="157" totalsRowDxfId="158" dataCellStyle="Currency"/>
    <tableColumn id="12" name="$ RETURN" dataDxfId="156" dataCellStyle="Currency"/>
    <tableColumn id="13" name="% RETURN" dataDxfId="155" dataCellStyle="Percent">
      <calculatedColumnFormula>S2/O2</calculatedColumnFormula>
    </tableColumn>
    <tableColumn id="14" name="Capital" dataDxfId="153" totalsRowDxfId="154" dataCellStyle="Currency">
      <calculatedColumnFormula>U1+S1</calculatedColumnFormula>
    </tableColumn>
    <tableColumn id="15" name="% CAPITAL" dataDxfId="151" totalsRowDxfId="152" dataCellStyle="Percent"/>
    <tableColumn id="16" name="CODE" dataDxfId="149" totalsRowDxfId="150"/>
    <tableColumn id="18" name="Days Held" dataDxfId="147" totalsRowDxfId="148">
      <calculatedColumnFormula>IF(Table224[[#This Row],[DATE BUY]]&gt;0,MIN(   Table224[[#This Row],[DATE SELL]],    TODAY())-Table224[[#This Row],[DATE BUY]],     0)</calculatedColumnFormula>
    </tableColumn>
    <tableColumn id="17" name="NOTES" totalsRowFunction="count" dataDxfId="145" totalsRowDxfId="14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4"/>
  <sheetViews>
    <sheetView tabSelected="1" zoomScale="70" zoomScaleNormal="70" workbookViewId="0">
      <selection activeCell="E9" sqref="E9"/>
    </sheetView>
  </sheetViews>
  <sheetFormatPr defaultRowHeight="15" x14ac:dyDescent="0.25"/>
  <cols>
    <col min="1" max="1" width="15.5703125" customWidth="1"/>
    <col min="4" max="4" width="9.85546875" customWidth="1"/>
    <col min="5" max="5" width="9.7109375" customWidth="1"/>
    <col min="6" max="6" width="9" customWidth="1"/>
    <col min="8" max="8" width="8.42578125" customWidth="1"/>
    <col min="10" max="10" width="7.42578125" customWidth="1"/>
    <col min="11" max="11" width="13.5703125" customWidth="1"/>
    <col min="12" max="12" width="11.140625" customWidth="1"/>
    <col min="13" max="13" width="12" customWidth="1"/>
    <col min="14" max="14" width="11.5703125" customWidth="1"/>
    <col min="15" max="15" width="10.85546875" style="135" customWidth="1"/>
    <col min="16" max="16" width="10.7109375" style="136" customWidth="1"/>
    <col min="17" max="17" width="8.42578125" customWidth="1"/>
    <col min="18" max="18" width="12.85546875" customWidth="1"/>
    <col min="19" max="19" width="12.28515625" style="137" customWidth="1"/>
    <col min="20" max="20" width="12.7109375" style="138" customWidth="1"/>
    <col min="21" max="21" width="12.140625" style="139" customWidth="1"/>
    <col min="22" max="22" width="11.42578125" customWidth="1"/>
    <col min="23" max="23" width="16.5703125" customWidth="1"/>
    <col min="24" max="24" width="8.85546875" customWidth="1"/>
    <col min="25" max="25" width="42.7109375" customWidth="1"/>
  </cols>
  <sheetData>
    <row r="1" spans="1:25" s="20" customFormat="1" ht="30" x14ac:dyDescent="0.25">
      <c r="A1" s="1" t="s">
        <v>0</v>
      </c>
      <c r="B1" s="2"/>
      <c r="C1" s="3" t="s">
        <v>71</v>
      </c>
      <c r="D1" s="4" t="s">
        <v>1</v>
      </c>
      <c r="E1" s="4" t="s">
        <v>72</v>
      </c>
      <c r="F1" s="5" t="s">
        <v>2</v>
      </c>
      <c r="G1" s="6" t="s">
        <v>3</v>
      </c>
      <c r="H1" s="7" t="s">
        <v>4</v>
      </c>
      <c r="I1" s="8" t="s">
        <v>5</v>
      </c>
      <c r="J1" s="8" t="s">
        <v>6</v>
      </c>
      <c r="K1" s="9" t="s">
        <v>7</v>
      </c>
      <c r="L1" s="9" t="s">
        <v>8</v>
      </c>
      <c r="M1" s="9" t="s">
        <v>9</v>
      </c>
      <c r="N1" s="10" t="s">
        <v>10</v>
      </c>
      <c r="O1" s="11" t="s">
        <v>11</v>
      </c>
      <c r="P1" s="12" t="s">
        <v>12</v>
      </c>
      <c r="Q1" s="13" t="s">
        <v>13</v>
      </c>
      <c r="R1" s="14" t="s">
        <v>14</v>
      </c>
      <c r="S1" s="15" t="s">
        <v>15</v>
      </c>
      <c r="T1" s="12" t="s">
        <v>16</v>
      </c>
      <c r="U1" s="16" t="s">
        <v>17</v>
      </c>
      <c r="V1" s="10" t="s">
        <v>18</v>
      </c>
      <c r="W1" s="17" t="s">
        <v>19</v>
      </c>
      <c r="X1" s="18" t="s">
        <v>20</v>
      </c>
      <c r="Y1" s="19" t="s">
        <v>21</v>
      </c>
    </row>
    <row r="2" spans="1:25" ht="15.75" thickBot="1" x14ac:dyDescent="0.3">
      <c r="A2" s="21" t="s">
        <v>70</v>
      </c>
      <c r="B2" s="22">
        <f>AVERAGE(P:P)</f>
        <v>7.4925841710154983E-2</v>
      </c>
      <c r="C2" s="23">
        <f>445+100-50+50+50+50</f>
        <v>645</v>
      </c>
      <c r="D2" s="24">
        <f>LOOKUP(2,1/(U:U&lt;&gt;""),U:U)-SUMIFS(O:O,K:K,"&gt;0",T:T,"=0")</f>
        <v>563.34040000000005</v>
      </c>
      <c r="E2" s="24">
        <f>LOOKUP(2,1/(U:U&lt;&gt;""),U:U)</f>
        <v>563.34040000000005</v>
      </c>
      <c r="F2" s="25">
        <f>(E2-C2)/C2</f>
        <v>-0.12660403100775186</v>
      </c>
      <c r="G2" s="26">
        <f>E2-C2</f>
        <v>-81.659599999999955</v>
      </c>
      <c r="H2" s="27">
        <v>43972</v>
      </c>
      <c r="I2" s="28" t="s">
        <v>22</v>
      </c>
      <c r="J2" s="28">
        <v>100</v>
      </c>
      <c r="K2" s="29">
        <v>0.63490000000000002</v>
      </c>
      <c r="L2" s="30">
        <v>0.5</v>
      </c>
      <c r="M2" s="31">
        <v>0.7</v>
      </c>
      <c r="N2" s="32">
        <f t="shared" ref="N2:N44" si="0">(M2-K2)/(K2-L2)</f>
        <v>0.48257968865826484</v>
      </c>
      <c r="O2" s="33">
        <f t="shared" ref="O2:O65" si="1">J2*K2</f>
        <v>63.49</v>
      </c>
      <c r="P2" s="34">
        <f t="shared" ref="P2:P65" si="2">O2/IF(ISBLANK(U2),LOOKUP(2,1/(U:U&lt;&gt;""),U:U),U2)</f>
        <v>0.11408600025156782</v>
      </c>
      <c r="Q2" s="35">
        <v>43985</v>
      </c>
      <c r="R2" s="36">
        <v>0.75</v>
      </c>
      <c r="S2" s="37">
        <f>IF(Table224[[#This Row],[SELL PRICE]]&gt;0,(R2-K2)*J2,1/0)</f>
        <v>11.509999999999998</v>
      </c>
      <c r="T2" s="38">
        <f>IF(Table224[[#This Row],[SELL PRICE]]=0,0,S2/O2)</f>
        <v>0.18128839187273582</v>
      </c>
      <c r="U2" s="39">
        <v>556.51</v>
      </c>
      <c r="V2" s="40">
        <v>0</v>
      </c>
      <c r="W2" s="41" t="s">
        <v>23</v>
      </c>
      <c r="X2" s="42">
        <f ca="1">IF(Table224[[#This Row],[DATE BUY]]&gt;0,MIN(   Table224[[#This Row],[DATE SELL]],    TODAY())-Table224[[#This Row],[DATE BUY]],     0)</f>
        <v>13</v>
      </c>
      <c r="Y2" s="43"/>
    </row>
    <row r="3" spans="1:25" ht="15.75" thickBot="1" x14ac:dyDescent="0.3">
      <c r="A3" s="44" t="s">
        <v>24</v>
      </c>
      <c r="B3" s="71" t="s">
        <v>25</v>
      </c>
      <c r="C3" s="45" t="s">
        <v>26</v>
      </c>
      <c r="D3" s="46" t="s">
        <v>27</v>
      </c>
      <c r="E3" s="47" t="s">
        <v>28</v>
      </c>
      <c r="F3" s="48" t="s">
        <v>29</v>
      </c>
      <c r="H3" s="27">
        <v>43972</v>
      </c>
      <c r="I3" s="28" t="s">
        <v>30</v>
      </c>
      <c r="J3" s="28">
        <v>100</v>
      </c>
      <c r="K3" s="29">
        <v>0.28949999999999998</v>
      </c>
      <c r="L3" s="30">
        <v>0.25</v>
      </c>
      <c r="M3" s="31">
        <v>0.31</v>
      </c>
      <c r="N3" s="32">
        <f t="shared" si="0"/>
        <v>0.51898734177215267</v>
      </c>
      <c r="O3" s="33">
        <f t="shared" si="1"/>
        <v>28.95</v>
      </c>
      <c r="P3" s="34">
        <f t="shared" si="2"/>
        <v>5.175557780320366E-2</v>
      </c>
      <c r="Q3" s="35">
        <v>43972</v>
      </c>
      <c r="R3" s="36">
        <v>0.318</v>
      </c>
      <c r="S3" s="37">
        <f t="shared" ref="S3:S66" si="3">(R3-K3)*J3</f>
        <v>2.8500000000000023</v>
      </c>
      <c r="T3" s="38">
        <f>IF(Table224[[#This Row],[SELL PRICE]]=0,0,S3/O3)</f>
        <v>9.8445595854922366E-2</v>
      </c>
      <c r="U3" s="49">
        <v>559.36</v>
      </c>
      <c r="V3" s="40">
        <f>S3/U3</f>
        <v>5.0951086956521783E-3</v>
      </c>
      <c r="W3" s="41" t="s">
        <v>31</v>
      </c>
      <c r="X3" s="42">
        <f ca="1">IF(Table224[[#This Row],[DATE BUY]]&gt;0,MIN(   Table224[[#This Row],[DATE SELL]],    TODAY())-Table224[[#This Row],[DATE BUY]],     0)</f>
        <v>0</v>
      </c>
      <c r="Y3" s="43"/>
    </row>
    <row r="4" spans="1:25" ht="15.75" thickBot="1" x14ac:dyDescent="0.3">
      <c r="A4" s="50" t="s">
        <v>32</v>
      </c>
      <c r="B4" s="51"/>
      <c r="C4" s="52">
        <f>(G2-0.1*C2)/_xlfn.STDEV.P(U:U)</f>
        <v>-52.177511850127111</v>
      </c>
      <c r="D4" s="53">
        <f>COUNTIFS(K:K,"&gt;0",T:T,"=0")</f>
        <v>0</v>
      </c>
      <c r="E4" s="54">
        <f ca="1">SUMIF(X:X,"&gt;0")/COUNTIF(X:X,"&gt;0")</f>
        <v>14</v>
      </c>
      <c r="F4" s="55">
        <f>COUNTIF(H:H,"&gt;0")</f>
        <v>3</v>
      </c>
      <c r="H4" s="27">
        <v>43957</v>
      </c>
      <c r="I4" s="28" t="s">
        <v>33</v>
      </c>
      <c r="J4" s="28">
        <v>93</v>
      </c>
      <c r="K4" s="29">
        <f>0.357</f>
        <v>0.35699999999999998</v>
      </c>
      <c r="L4" s="30"/>
      <c r="M4" s="31"/>
      <c r="N4" s="56">
        <f t="shared" si="0"/>
        <v>-1</v>
      </c>
      <c r="O4" s="33">
        <f t="shared" si="1"/>
        <v>33.201000000000001</v>
      </c>
      <c r="P4" s="34">
        <f t="shared" si="2"/>
        <v>5.8935947075693482E-2</v>
      </c>
      <c r="Q4" s="35">
        <v>43972</v>
      </c>
      <c r="R4" s="36">
        <v>0.39979999999999999</v>
      </c>
      <c r="S4" s="37">
        <f t="shared" si="3"/>
        <v>3.9804000000000004</v>
      </c>
      <c r="T4" s="38">
        <f>IF(Table224[[#This Row],[SELL PRICE]]=0,0,S4/O4)</f>
        <v>0.11988795518207283</v>
      </c>
      <c r="U4" s="49">
        <v>563.34040000000005</v>
      </c>
      <c r="V4" s="40">
        <f>S4/U4</f>
        <v>7.0657101816237571E-3</v>
      </c>
      <c r="W4" s="41" t="s">
        <v>34</v>
      </c>
      <c r="X4" s="42">
        <f ca="1">IF(Table224[[#This Row],[DATE BUY]]&gt;0,MIN(   Table224[[#This Row],[DATE SELL]],    TODAY())-Table224[[#This Row],[DATE BUY]],     0)</f>
        <v>15</v>
      </c>
      <c r="Y4" s="43"/>
    </row>
    <row r="5" spans="1:25" x14ac:dyDescent="0.25">
      <c r="A5" s="57" t="s">
        <v>35</v>
      </c>
      <c r="B5" s="58">
        <v>1.44</v>
      </c>
      <c r="H5" s="27"/>
      <c r="I5" s="28"/>
      <c r="J5" s="28"/>
      <c r="K5" s="29"/>
      <c r="L5" s="30"/>
      <c r="M5" s="31"/>
      <c r="N5" s="56"/>
      <c r="O5" s="33"/>
      <c r="P5" s="34"/>
      <c r="Q5" s="35"/>
      <c r="R5" s="36"/>
      <c r="S5" s="37"/>
      <c r="T5" s="38"/>
      <c r="U5" s="49"/>
      <c r="V5" s="40"/>
      <c r="W5" s="41"/>
      <c r="X5" s="42"/>
      <c r="Y5" s="43"/>
    </row>
    <row r="6" spans="1:25" x14ac:dyDescent="0.25">
      <c r="A6" s="57" t="s">
        <v>36</v>
      </c>
      <c r="B6" s="58">
        <v>1.8</v>
      </c>
      <c r="H6" s="27"/>
      <c r="I6" s="28"/>
      <c r="J6" s="28"/>
      <c r="K6" s="29"/>
      <c r="L6" s="30"/>
      <c r="M6" s="31"/>
      <c r="N6" s="56"/>
      <c r="O6" s="33"/>
      <c r="P6" s="34"/>
      <c r="Q6" s="35"/>
      <c r="R6" s="36"/>
      <c r="S6" s="37"/>
      <c r="T6" s="38"/>
      <c r="U6" s="49"/>
      <c r="V6" s="40"/>
      <c r="W6" s="41"/>
      <c r="X6" s="42"/>
      <c r="Y6" s="43"/>
    </row>
    <row r="7" spans="1:25" x14ac:dyDescent="0.25">
      <c r="A7" s="57" t="s">
        <v>37</v>
      </c>
      <c r="B7" s="59">
        <v>65</v>
      </c>
      <c r="H7" s="27"/>
      <c r="I7" s="28"/>
      <c r="J7" s="28"/>
      <c r="K7" s="29"/>
      <c r="L7" s="30"/>
      <c r="M7" s="31"/>
      <c r="N7" s="56"/>
      <c r="O7" s="33"/>
      <c r="P7" s="34"/>
      <c r="Q7" s="35"/>
      <c r="R7" s="36"/>
      <c r="S7" s="37"/>
      <c r="T7" s="38"/>
      <c r="U7" s="49"/>
      <c r="V7" s="40"/>
      <c r="W7" s="41"/>
      <c r="X7" s="42"/>
      <c r="Y7" s="43"/>
    </row>
    <row r="8" spans="1:25" x14ac:dyDescent="0.25">
      <c r="A8" s="57" t="s">
        <v>38</v>
      </c>
      <c r="B8" s="60">
        <f>B7*B5</f>
        <v>93.6</v>
      </c>
      <c r="H8" s="27"/>
      <c r="I8" s="28"/>
      <c r="J8" s="28"/>
      <c r="K8" s="29"/>
      <c r="L8" s="30"/>
      <c r="M8" s="31"/>
      <c r="N8" s="56"/>
      <c r="O8" s="33"/>
      <c r="P8" s="34"/>
      <c r="Q8" s="35"/>
      <c r="R8" s="36"/>
      <c r="S8" s="37"/>
      <c r="T8" s="38"/>
      <c r="U8" s="49"/>
      <c r="V8" s="40"/>
      <c r="W8" s="41"/>
      <c r="X8" s="42"/>
      <c r="Y8" s="43"/>
    </row>
    <row r="9" spans="1:25" x14ac:dyDescent="0.25">
      <c r="A9" s="57" t="s">
        <v>39</v>
      </c>
      <c r="B9" s="61">
        <f>(B6-B5)/B5</f>
        <v>0.25000000000000006</v>
      </c>
      <c r="H9" s="27"/>
      <c r="I9" s="28"/>
      <c r="J9" s="28"/>
      <c r="K9" s="29"/>
      <c r="L9" s="30"/>
      <c r="M9" s="31"/>
      <c r="N9" s="56"/>
      <c r="O9" s="33"/>
      <c r="P9" s="34"/>
      <c r="Q9" s="35"/>
      <c r="R9" s="36"/>
      <c r="S9" s="37"/>
      <c r="T9" s="38"/>
      <c r="U9" s="49"/>
      <c r="V9" s="40"/>
      <c r="W9" s="41"/>
      <c r="X9" s="42"/>
      <c r="Y9" s="43"/>
    </row>
    <row r="10" spans="1:25" ht="15.75" thickBot="1" x14ac:dyDescent="0.3">
      <c r="A10" s="44" t="s">
        <v>40</v>
      </c>
      <c r="B10" s="62">
        <f>(B6-B5)*B7</f>
        <v>23.400000000000006</v>
      </c>
      <c r="H10" s="27"/>
      <c r="I10" s="28"/>
      <c r="J10" s="28"/>
      <c r="K10" s="29"/>
      <c r="L10" s="30"/>
      <c r="M10" s="31"/>
      <c r="N10" s="56"/>
      <c r="O10" s="33"/>
      <c r="P10" s="34"/>
      <c r="Q10" s="35"/>
      <c r="R10" s="36"/>
      <c r="S10" s="37"/>
      <c r="T10" s="38"/>
      <c r="U10" s="49"/>
      <c r="V10" s="40"/>
      <c r="W10" s="41"/>
      <c r="X10" s="42"/>
      <c r="Y10" s="43"/>
    </row>
    <row r="11" spans="1:25" x14ac:dyDescent="0.25">
      <c r="A11" s="63" t="s">
        <v>41</v>
      </c>
      <c r="B11" s="64">
        <f>COUNTIF(T:T,"&gt;0")</f>
        <v>3</v>
      </c>
      <c r="C11" s="65">
        <f>(B11)/(B11+B12)</f>
        <v>1</v>
      </c>
      <c r="H11" s="27"/>
      <c r="I11" s="28"/>
      <c r="J11" s="28"/>
      <c r="K11" s="29"/>
      <c r="L11" s="30"/>
      <c r="M11" s="31"/>
      <c r="N11" s="56"/>
      <c r="O11" s="33"/>
      <c r="P11" s="34"/>
      <c r="Q11" s="35"/>
      <c r="R11" s="36"/>
      <c r="S11" s="37"/>
      <c r="T11" s="38"/>
      <c r="U11" s="49"/>
      <c r="V11" s="40"/>
      <c r="W11" s="41"/>
      <c r="X11" s="42"/>
      <c r="Y11" s="43"/>
    </row>
    <row r="12" spans="1:25" x14ac:dyDescent="0.25">
      <c r="A12" s="66" t="s">
        <v>42</v>
      </c>
      <c r="B12" s="67">
        <f>COUNTIF(T:T,"&lt;0")</f>
        <v>0</v>
      </c>
      <c r="C12" s="68" t="s">
        <v>24</v>
      </c>
      <c r="H12" s="27"/>
      <c r="I12" s="28"/>
      <c r="J12" s="28"/>
      <c r="K12" s="29"/>
      <c r="L12" s="30"/>
      <c r="M12" s="31"/>
      <c r="N12" s="56"/>
      <c r="O12" s="33"/>
      <c r="P12" s="34"/>
      <c r="Q12" s="35"/>
      <c r="R12" s="36"/>
      <c r="S12" s="37"/>
      <c r="T12" s="38"/>
      <c r="U12" s="49"/>
      <c r="V12" s="40"/>
      <c r="W12" s="41"/>
      <c r="X12" s="42"/>
      <c r="Y12" s="43"/>
    </row>
    <row r="13" spans="1:25" ht="15.75" thickBot="1" x14ac:dyDescent="0.3">
      <c r="A13" s="69" t="s">
        <v>43</v>
      </c>
      <c r="B13" s="70" t="e">
        <f>B11/(B12)</f>
        <v>#DIV/0!</v>
      </c>
      <c r="C13" s="71">
        <v>1</v>
      </c>
      <c r="H13" s="27"/>
      <c r="I13" s="28"/>
      <c r="J13" s="28"/>
      <c r="K13" s="29"/>
      <c r="L13" s="30"/>
      <c r="M13" s="31"/>
      <c r="N13" s="56"/>
      <c r="O13" s="33"/>
      <c r="P13" s="34"/>
      <c r="Q13" s="35"/>
      <c r="R13" s="36"/>
      <c r="S13" s="37"/>
      <c r="T13" s="38"/>
      <c r="U13" s="49"/>
      <c r="V13" s="40"/>
      <c r="W13" s="41"/>
      <c r="X13" s="42"/>
      <c r="Y13" s="43"/>
    </row>
    <row r="14" spans="1:25" ht="15.75" thickBot="1" x14ac:dyDescent="0.3">
      <c r="H14" s="27"/>
      <c r="I14" s="28"/>
      <c r="J14" s="28"/>
      <c r="K14" s="29"/>
      <c r="L14" s="30"/>
      <c r="M14" s="31"/>
      <c r="N14" s="56"/>
      <c r="O14" s="33"/>
      <c r="P14" s="34"/>
      <c r="Q14" s="35"/>
      <c r="R14" s="36"/>
      <c r="S14" s="37"/>
      <c r="T14" s="38"/>
      <c r="U14" s="49"/>
      <c r="V14" s="40"/>
      <c r="W14" s="41"/>
      <c r="X14" s="42"/>
      <c r="Y14" s="43"/>
    </row>
    <row r="15" spans="1:25" ht="15.75" thickBot="1" x14ac:dyDescent="0.3">
      <c r="A15" s="63" t="s">
        <v>44</v>
      </c>
      <c r="B15" s="72">
        <f>ABS(SUMIF(T:T,"&gt;0",V:V))/B11</f>
        <v>4.0536062924253118E-3</v>
      </c>
      <c r="C15" s="73"/>
      <c r="D15" s="74" t="s">
        <v>45</v>
      </c>
      <c r="E15" s="75"/>
      <c r="F15" s="45" t="s">
        <v>46</v>
      </c>
      <c r="G15" s="75" t="s">
        <v>47</v>
      </c>
      <c r="H15" s="27"/>
      <c r="I15" s="28"/>
      <c r="J15" s="28"/>
      <c r="K15" s="76"/>
      <c r="L15" s="30"/>
      <c r="M15" s="31"/>
      <c r="N15" s="56"/>
      <c r="O15" s="33"/>
      <c r="P15" s="34"/>
      <c r="Q15" s="35"/>
      <c r="R15" s="77"/>
      <c r="S15" s="37"/>
      <c r="T15" s="38"/>
      <c r="U15" s="49"/>
      <c r="V15" s="40"/>
      <c r="W15" s="41"/>
      <c r="X15" s="42"/>
      <c r="Y15" s="43"/>
    </row>
    <row r="16" spans="1:25" ht="15.75" thickBot="1" x14ac:dyDescent="0.3">
      <c r="A16" s="66" t="s">
        <v>48</v>
      </c>
      <c r="B16" s="78" t="e">
        <f>ABS(SUMIF(T:T,"&lt;0",V:V))/B12</f>
        <v>#DIV/0!</v>
      </c>
      <c r="C16" s="79" t="s">
        <v>24</v>
      </c>
      <c r="D16" s="21" t="s">
        <v>49</v>
      </c>
      <c r="E16" s="80">
        <f>SUMIF(T:T,"&gt;0",T:T)/COUNTIF(T:T,"&gt;0")</f>
        <v>0.13320731430324367</v>
      </c>
      <c r="F16" s="81">
        <f>AVERAGE(O:O)</f>
        <v>41.880333333333333</v>
      </c>
      <c r="G16" s="82">
        <f>0.1*E2</f>
        <v>56.334040000000009</v>
      </c>
      <c r="H16" s="27"/>
      <c r="I16" s="28"/>
      <c r="J16" s="28"/>
      <c r="K16" s="76"/>
      <c r="L16" s="30"/>
      <c r="M16" s="31"/>
      <c r="N16" s="56"/>
      <c r="O16" s="33"/>
      <c r="P16" s="34"/>
      <c r="Q16" s="35"/>
      <c r="R16" s="36"/>
      <c r="S16" s="37"/>
      <c r="T16" s="38"/>
      <c r="U16" s="49"/>
      <c r="V16" s="40"/>
      <c r="W16" s="41"/>
      <c r="X16" s="42"/>
      <c r="Y16" s="43"/>
    </row>
    <row r="17" spans="1:25" ht="15.75" thickBot="1" x14ac:dyDescent="0.3">
      <c r="A17" s="69" t="s">
        <v>50</v>
      </c>
      <c r="B17" s="83" t="e">
        <f>B15/IF(B16=0,1,B16)</f>
        <v>#DIV/0!</v>
      </c>
      <c r="C17" s="84">
        <v>2</v>
      </c>
      <c r="D17" s="44" t="s">
        <v>51</v>
      </c>
      <c r="E17" s="85" t="e">
        <f>SUMIF(T:T,"&lt;0",T:T)/COUNTIF(T:T,"&lt;0")</f>
        <v>#DIV/0!</v>
      </c>
      <c r="F17" s="86"/>
      <c r="H17" s="27"/>
      <c r="I17" s="28"/>
      <c r="J17" s="28"/>
      <c r="K17" s="76"/>
      <c r="L17" s="30"/>
      <c r="M17" s="31"/>
      <c r="N17" s="56"/>
      <c r="O17" s="33"/>
      <c r="P17" s="34"/>
      <c r="Q17" s="35"/>
      <c r="R17" s="36"/>
      <c r="S17" s="37"/>
      <c r="T17" s="38"/>
      <c r="U17" s="49"/>
      <c r="V17" s="40"/>
      <c r="W17" s="41"/>
      <c r="X17" s="42"/>
      <c r="Y17" s="43"/>
    </row>
    <row r="18" spans="1:25" ht="15.75" thickBot="1" x14ac:dyDescent="0.3">
      <c r="A18" s="87"/>
      <c r="C18" s="88" t="s">
        <v>52</v>
      </c>
      <c r="D18" s="89"/>
      <c r="E18" s="90" t="e">
        <f>(C11*E16+(1-C11)*E17)*F16*250</f>
        <v>#DIV/0!</v>
      </c>
      <c r="H18" s="27"/>
      <c r="I18" s="28"/>
      <c r="J18" s="28"/>
      <c r="K18" s="76"/>
      <c r="L18" s="30"/>
      <c r="M18" s="31"/>
      <c r="N18" s="56"/>
      <c r="O18" s="33"/>
      <c r="P18" s="34"/>
      <c r="Q18" s="35"/>
      <c r="R18" s="36"/>
      <c r="S18" s="37"/>
      <c r="T18" s="38"/>
      <c r="U18" s="49"/>
      <c r="V18" s="40"/>
      <c r="W18" s="41"/>
      <c r="X18" s="42"/>
      <c r="Y18" s="43"/>
    </row>
    <row r="19" spans="1:25" x14ac:dyDescent="0.25">
      <c r="E19" s="91" t="s">
        <v>53</v>
      </c>
      <c r="F19" s="91"/>
      <c r="H19" s="27"/>
      <c r="I19" s="28"/>
      <c r="J19" s="28"/>
      <c r="K19" s="76"/>
      <c r="L19" s="30"/>
      <c r="M19" s="31"/>
      <c r="N19" s="56"/>
      <c r="O19" s="33"/>
      <c r="P19" s="34"/>
      <c r="Q19" s="35"/>
      <c r="R19" s="36"/>
      <c r="S19" s="37"/>
      <c r="T19" s="38"/>
      <c r="U19" s="49"/>
      <c r="V19" s="40"/>
      <c r="W19" s="41"/>
      <c r="X19" s="42"/>
      <c r="Y19" s="43"/>
    </row>
    <row r="20" spans="1:25" ht="15.75" thickBot="1" x14ac:dyDescent="0.3">
      <c r="A20" t="s">
        <v>69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s="92" t="s">
        <v>59</v>
      </c>
      <c r="H20" s="27"/>
      <c r="I20" s="28"/>
      <c r="J20" s="28"/>
      <c r="K20" s="76"/>
      <c r="L20" s="30"/>
      <c r="M20" s="31"/>
      <c r="N20" s="56"/>
      <c r="O20" s="33"/>
      <c r="P20" s="34"/>
      <c r="Q20" s="35"/>
      <c r="R20" s="36"/>
      <c r="S20" s="37"/>
      <c r="T20" s="38"/>
      <c r="U20" s="49"/>
      <c r="V20" s="40"/>
      <c r="W20" s="41"/>
      <c r="X20" s="42"/>
      <c r="Y20" s="43"/>
    </row>
    <row r="21" spans="1:25" x14ac:dyDescent="0.25">
      <c r="A21" s="93" t="s">
        <v>34</v>
      </c>
      <c r="B21" s="94">
        <f>SUMPRODUCT(--(ISNUMBER(FIND(A21,W:W))))</f>
        <v>1</v>
      </c>
      <c r="C21" s="94">
        <f>COUNTIFS(T:T,"&gt;0",W:W,CONCATENATE(A21,"*"))</f>
        <v>1</v>
      </c>
      <c r="D21" s="95" t="e">
        <f>C21/(B21-C21)</f>
        <v>#DIV/0!</v>
      </c>
      <c r="E21" s="96">
        <f>SUMIFS(T:T,T:T,"&gt;0",W:W,CONCATENATE(A21,"*"))/COUNTIFS(T:T,"&gt;0",W:W,CONCATENATE(A21,"*"))</f>
        <v>0.11988795518207283</v>
      </c>
      <c r="F21" s="96" t="e">
        <f>SUMIFS(T:T,T:T,"&lt;0",W:W,CONCATENATE(A21,"*"))/COUNTIFS(T:T,"&lt;0",W:W,CONCATENATE(A21,"*"))</f>
        <v>#DIV/0!</v>
      </c>
      <c r="G21" s="97" t="e">
        <f>E21/ABS(F21)</f>
        <v>#DIV/0!</v>
      </c>
      <c r="H21" s="27"/>
      <c r="I21" s="28"/>
      <c r="J21" s="28"/>
      <c r="K21" s="76"/>
      <c r="L21" s="30"/>
      <c r="M21" s="31"/>
      <c r="N21" s="56"/>
      <c r="O21" s="33"/>
      <c r="P21" s="34"/>
      <c r="Q21" s="35"/>
      <c r="R21" s="36"/>
      <c r="S21" s="37"/>
      <c r="T21" s="38"/>
      <c r="U21" s="49"/>
      <c r="V21" s="40"/>
      <c r="W21" s="41"/>
      <c r="X21" s="42"/>
      <c r="Y21" s="43"/>
    </row>
    <row r="22" spans="1:25" x14ac:dyDescent="0.25">
      <c r="A22" s="98" t="s">
        <v>31</v>
      </c>
      <c r="B22" s="99">
        <f>SUMPRODUCT(--(ISNUMBER(FIND(A22,W:W))))</f>
        <v>1</v>
      </c>
      <c r="C22" s="99">
        <f>COUNTIFS(T:T,"&gt;0",W:W,CONCATENATE(A22,"*"))</f>
        <v>1</v>
      </c>
      <c r="D22" s="100" t="e">
        <f>C22/(B22-C22)</f>
        <v>#DIV/0!</v>
      </c>
      <c r="E22" s="101">
        <f>SUMIFS(T:T,T:T,"&gt;0",W:W,CONCATENATE(A22,"*"))/COUNTIFS(T:T,"&gt;0",W:W,CONCATENATE(A22,"*"))</f>
        <v>9.8445595854922366E-2</v>
      </c>
      <c r="F22" s="101" t="e">
        <f>SUMIFS(T:T,T:T,"&lt;0",W:W,CONCATENATE(A22,"*"))/COUNTIFS(T:T,"&lt;0",W:W,CONCATENATE(A22,"*"))</f>
        <v>#DIV/0!</v>
      </c>
      <c r="G22" s="102" t="e">
        <f>E22/ABS(F22)</f>
        <v>#DIV/0!</v>
      </c>
      <c r="H22" s="27"/>
      <c r="I22" s="28"/>
      <c r="J22" s="28"/>
      <c r="K22" s="76"/>
      <c r="L22" s="30"/>
      <c r="M22" s="31"/>
      <c r="N22" s="56"/>
      <c r="O22" s="33"/>
      <c r="P22" s="34"/>
      <c r="Q22" s="35"/>
      <c r="R22" s="36"/>
      <c r="S22" s="37"/>
      <c r="T22" s="38"/>
      <c r="U22" s="49"/>
      <c r="V22" s="40"/>
      <c r="W22" s="41"/>
      <c r="X22" s="42"/>
      <c r="Y22" s="43"/>
    </row>
    <row r="23" spans="1:25" x14ac:dyDescent="0.25">
      <c r="A23" s="98" t="s">
        <v>60</v>
      </c>
      <c r="B23" s="99">
        <f>SUMPRODUCT(--(ISNUMBER(FIND(A23,W:W))))</f>
        <v>0</v>
      </c>
      <c r="C23" s="99">
        <f>COUNTIFS(T:T,"&gt;0",W:W,CONCATENATE(A23,"*"))</f>
        <v>0</v>
      </c>
      <c r="D23" s="100" t="e">
        <f>C23/(B23-C23)</f>
        <v>#DIV/0!</v>
      </c>
      <c r="E23" s="101" t="e">
        <f>SUMIFS(T:T,T:T,"&gt;0",W:W,CONCATENATE(A23,"*"))/COUNTIFS(T:T,"&gt;0",W:W,CONCATENATE(A23,"*"))</f>
        <v>#DIV/0!</v>
      </c>
      <c r="F23" s="101" t="e">
        <f>SUMIFS(T:T,T:T,"&lt;0",W:W,CONCATENATE(A23,"*"))/COUNTIFS(T:T,"&lt;0",W:W,CONCATENATE(A23,"*"))</f>
        <v>#DIV/0!</v>
      </c>
      <c r="G23" s="103" t="e">
        <f>E23/ABS(F23)</f>
        <v>#DIV/0!</v>
      </c>
      <c r="H23" s="27"/>
      <c r="I23" s="28"/>
      <c r="J23" s="28"/>
      <c r="K23" s="76"/>
      <c r="L23" s="30"/>
      <c r="M23" s="31"/>
      <c r="N23" s="56"/>
      <c r="O23" s="33"/>
      <c r="P23" s="34"/>
      <c r="Q23" s="35"/>
      <c r="R23" s="36"/>
      <c r="S23" s="37"/>
      <c r="T23" s="38"/>
      <c r="U23" s="49"/>
      <c r="V23" s="40"/>
      <c r="W23" s="41"/>
      <c r="X23" s="42"/>
      <c r="Y23" s="43"/>
    </row>
    <row r="24" spans="1:25" x14ac:dyDescent="0.25">
      <c r="A24" s="98" t="s">
        <v>23</v>
      </c>
      <c r="B24" s="99">
        <f>SUMPRODUCT(--(ISNUMBER(FIND(A24,W:W))))</f>
        <v>1</v>
      </c>
      <c r="C24" s="99">
        <f>COUNTIFS(T:T,"&gt;0",W:W,CONCATENATE(A24,"*"))</f>
        <v>1</v>
      </c>
      <c r="D24" s="100">
        <f>C24/IF(B24=C24,B24,(B24-C24))</f>
        <v>1</v>
      </c>
      <c r="E24" s="101">
        <f>SUMIFS(T:T,T:T,"&gt;0",W:W,CONCATENATE(A24,"*"))/COUNTIFS(T:T,"&gt;0",W:W,CONCATENATE(A24,"*"))</f>
        <v>0.18128839187273582</v>
      </c>
      <c r="F24" s="101" t="e">
        <f>SUMIFS(T:T,T:T,"&lt;0",W:W,CONCATENATE(A24,"*"))/COUNTIFS(T:T,"&lt;0",W:W,CONCATENATE(A24,"*"))</f>
        <v>#DIV/0!</v>
      </c>
      <c r="G24" s="102" t="e">
        <f>E24/ABS(F24)</f>
        <v>#DIV/0!</v>
      </c>
      <c r="H24" s="27"/>
      <c r="I24" s="28"/>
      <c r="J24" s="28"/>
      <c r="K24" s="29"/>
      <c r="L24" s="30"/>
      <c r="M24" s="31"/>
      <c r="N24" s="56"/>
      <c r="O24" s="33"/>
      <c r="P24" s="34"/>
      <c r="Q24" s="35"/>
      <c r="R24" s="36"/>
      <c r="S24" s="37"/>
      <c r="T24" s="38"/>
      <c r="U24" s="49"/>
      <c r="V24" s="40"/>
      <c r="W24" s="41"/>
      <c r="X24" s="42"/>
      <c r="Y24" s="43"/>
    </row>
    <row r="25" spans="1:25" ht="15.75" thickBot="1" x14ac:dyDescent="0.3">
      <c r="A25" s="104" t="s">
        <v>61</v>
      </c>
      <c r="B25" s="105">
        <f>SUMPRODUCT(--(ISNUMBER(FIND(A25,W:W))))</f>
        <v>0</v>
      </c>
      <c r="C25" s="105">
        <f>COUNTIFS(T:T,"&gt;0",W:W,CONCATENATE(A25,"*"))</f>
        <v>0</v>
      </c>
      <c r="D25" s="106" t="e">
        <f>C25/IF(B25=C25,B25,(B25-C25))</f>
        <v>#DIV/0!</v>
      </c>
      <c r="E25" s="107" t="e">
        <f>SUMIFS(T:T,T:T,"&gt;0",W:W,CONCATENATE(A25,"*"))/COUNTIFS(T:T,"&gt;0",W:W,CONCATENATE(A25,"*"))</f>
        <v>#DIV/0!</v>
      </c>
      <c r="F25" s="107" t="e">
        <f>SUMIFS(T:T,T:T,"&lt;0",W:W,CONCATENATE(A25,"*"))/COUNTIFS(T:T,"&lt;0",W:W,CONCATENATE(A25,"*"))</f>
        <v>#DIV/0!</v>
      </c>
      <c r="G25" s="108" t="e">
        <f>E25/ABS(F25)</f>
        <v>#DIV/0!</v>
      </c>
      <c r="H25" s="27"/>
      <c r="I25" s="28"/>
      <c r="J25" s="28"/>
      <c r="K25" s="76"/>
      <c r="L25" s="30"/>
      <c r="M25" s="31"/>
      <c r="N25" s="56"/>
      <c r="O25" s="33"/>
      <c r="P25" s="34"/>
      <c r="Q25" s="35"/>
      <c r="R25" s="36"/>
      <c r="S25" s="37"/>
      <c r="T25" s="38"/>
      <c r="U25" s="49"/>
      <c r="V25" s="40"/>
      <c r="W25" s="41"/>
      <c r="X25" s="42"/>
      <c r="Y25" s="43"/>
    </row>
    <row r="26" spans="1:25" x14ac:dyDescent="0.25">
      <c r="E26" s="109"/>
      <c r="H26" s="27"/>
      <c r="I26" s="28"/>
      <c r="J26" s="28"/>
      <c r="K26" s="76"/>
      <c r="L26" s="30"/>
      <c r="M26" s="31"/>
      <c r="N26" s="56"/>
      <c r="O26" s="33"/>
      <c r="P26" s="34"/>
      <c r="Q26" s="35"/>
      <c r="R26" s="36"/>
      <c r="S26" s="37"/>
      <c r="T26" s="38"/>
      <c r="U26" s="49"/>
      <c r="V26" s="40"/>
      <c r="W26" s="41"/>
      <c r="X26" s="42"/>
      <c r="Y26" s="43"/>
    </row>
    <row r="27" spans="1:25" x14ac:dyDescent="0.25">
      <c r="H27" s="27"/>
      <c r="I27" s="28"/>
      <c r="J27" s="28"/>
      <c r="K27" s="76"/>
      <c r="L27" s="30"/>
      <c r="M27" s="31"/>
      <c r="N27" s="56"/>
      <c r="O27" s="33"/>
      <c r="P27" s="34"/>
      <c r="Q27" s="35"/>
      <c r="R27" s="36"/>
      <c r="S27" s="37"/>
      <c r="T27" s="38"/>
      <c r="U27" s="49"/>
      <c r="V27" s="40"/>
      <c r="W27" s="41"/>
      <c r="X27" s="42"/>
      <c r="Y27" s="43"/>
    </row>
    <row r="28" spans="1:25" x14ac:dyDescent="0.25">
      <c r="H28" s="27"/>
      <c r="I28" s="28"/>
      <c r="J28" s="28"/>
      <c r="K28" s="76"/>
      <c r="L28" s="30"/>
      <c r="M28" s="31"/>
      <c r="N28" s="56"/>
      <c r="O28" s="33"/>
      <c r="P28" s="34"/>
      <c r="Q28" s="35"/>
      <c r="R28" s="36"/>
      <c r="S28" s="37"/>
      <c r="T28" s="38"/>
      <c r="U28" s="49"/>
      <c r="V28" s="40"/>
      <c r="W28" s="41"/>
      <c r="X28" s="42"/>
      <c r="Y28" s="43"/>
    </row>
    <row r="29" spans="1:25" x14ac:dyDescent="0.25">
      <c r="H29" s="27"/>
      <c r="I29" s="28"/>
      <c r="J29" s="28"/>
      <c r="K29" s="76"/>
      <c r="L29" s="30"/>
      <c r="M29" s="31"/>
      <c r="N29" s="56"/>
      <c r="O29" s="33"/>
      <c r="P29" s="34"/>
      <c r="Q29" s="35"/>
      <c r="R29" s="36"/>
      <c r="S29" s="37"/>
      <c r="T29" s="38"/>
      <c r="U29" s="49"/>
      <c r="V29" s="40"/>
      <c r="W29" s="41"/>
      <c r="X29" s="42"/>
      <c r="Y29" s="43"/>
    </row>
    <row r="30" spans="1:25" x14ac:dyDescent="0.25">
      <c r="H30" s="27"/>
      <c r="I30" s="28"/>
      <c r="J30" s="28"/>
      <c r="K30" s="76"/>
      <c r="L30" s="30"/>
      <c r="M30" s="31"/>
      <c r="N30" s="56"/>
      <c r="O30" s="33"/>
      <c r="P30" s="34"/>
      <c r="Q30" s="35"/>
      <c r="R30" s="36"/>
      <c r="S30" s="37"/>
      <c r="T30" s="38"/>
      <c r="U30" s="49"/>
      <c r="V30" s="40"/>
      <c r="W30" s="41"/>
      <c r="X30" s="42"/>
      <c r="Y30" s="43"/>
    </row>
    <row r="31" spans="1:25" x14ac:dyDescent="0.25">
      <c r="H31" s="27"/>
      <c r="I31" s="28"/>
      <c r="J31" s="28"/>
      <c r="K31" s="76"/>
      <c r="L31" s="30"/>
      <c r="M31" s="31"/>
      <c r="N31" s="56"/>
      <c r="O31" s="33"/>
      <c r="P31" s="34"/>
      <c r="Q31" s="35"/>
      <c r="R31" s="36"/>
      <c r="S31" s="37"/>
      <c r="T31" s="38"/>
      <c r="U31" s="49"/>
      <c r="V31" s="40"/>
      <c r="W31" s="41"/>
      <c r="X31" s="42"/>
      <c r="Y31" s="43"/>
    </row>
    <row r="32" spans="1:25" x14ac:dyDescent="0.25">
      <c r="H32" s="27"/>
      <c r="I32" s="28"/>
      <c r="J32" s="28"/>
      <c r="K32" s="76"/>
      <c r="L32" s="30"/>
      <c r="M32" s="31"/>
      <c r="N32" s="56"/>
      <c r="O32" s="33"/>
      <c r="P32" s="34"/>
      <c r="Q32" s="35"/>
      <c r="R32" s="36"/>
      <c r="S32" s="37"/>
      <c r="T32" s="38"/>
      <c r="U32" s="49"/>
      <c r="V32" s="40"/>
      <c r="W32" s="41"/>
      <c r="X32" s="42"/>
      <c r="Y32" s="43"/>
    </row>
    <row r="33" spans="8:25" x14ac:dyDescent="0.25">
      <c r="H33" s="27"/>
      <c r="I33" s="28"/>
      <c r="J33" s="28"/>
      <c r="K33" s="76"/>
      <c r="L33" s="30"/>
      <c r="M33" s="31"/>
      <c r="N33" s="56"/>
      <c r="O33" s="33"/>
      <c r="P33" s="34"/>
      <c r="Q33" s="35"/>
      <c r="R33" s="36"/>
      <c r="S33" s="37"/>
      <c r="T33" s="38"/>
      <c r="U33" s="49"/>
      <c r="V33" s="40"/>
      <c r="W33" s="41"/>
      <c r="X33" s="42"/>
      <c r="Y33" s="43"/>
    </row>
    <row r="34" spans="8:25" x14ac:dyDescent="0.25">
      <c r="H34" s="27"/>
      <c r="I34" s="28"/>
      <c r="J34" s="28"/>
      <c r="K34" s="76"/>
      <c r="L34" s="30"/>
      <c r="M34" s="31"/>
      <c r="N34" s="56"/>
      <c r="O34" s="33"/>
      <c r="P34" s="34"/>
      <c r="Q34" s="35"/>
      <c r="R34" s="36"/>
      <c r="S34" s="37"/>
      <c r="T34" s="38"/>
      <c r="U34" s="49"/>
      <c r="V34" s="40"/>
      <c r="W34" s="41"/>
      <c r="X34" s="42"/>
      <c r="Y34" s="43"/>
    </row>
    <row r="35" spans="8:25" x14ac:dyDescent="0.25">
      <c r="H35" s="27"/>
      <c r="I35" s="28"/>
      <c r="J35" s="28"/>
      <c r="K35" s="76"/>
      <c r="L35" s="30"/>
      <c r="M35" s="31"/>
      <c r="N35" s="56"/>
      <c r="O35" s="33"/>
      <c r="P35" s="34"/>
      <c r="Q35" s="35"/>
      <c r="R35" s="36"/>
      <c r="S35" s="37"/>
      <c r="T35" s="38"/>
      <c r="U35" s="49"/>
      <c r="V35" s="40"/>
      <c r="W35" s="41"/>
      <c r="X35" s="42"/>
      <c r="Y35" s="43"/>
    </row>
    <row r="36" spans="8:25" x14ac:dyDescent="0.25">
      <c r="H36" s="27"/>
      <c r="I36" s="28"/>
      <c r="J36" s="28"/>
      <c r="K36" s="76"/>
      <c r="L36" s="30"/>
      <c r="M36" s="31"/>
      <c r="N36" s="56"/>
      <c r="O36" s="33"/>
      <c r="P36" s="34"/>
      <c r="Q36" s="35"/>
      <c r="R36" s="36"/>
      <c r="S36" s="37"/>
      <c r="T36" s="38"/>
      <c r="U36" s="49"/>
      <c r="V36" s="40"/>
      <c r="W36" s="41"/>
      <c r="X36" s="42"/>
      <c r="Y36" s="43"/>
    </row>
    <row r="37" spans="8:25" x14ac:dyDescent="0.25">
      <c r="H37" s="27"/>
      <c r="I37" s="28"/>
      <c r="J37" s="28"/>
      <c r="K37" s="76"/>
      <c r="L37" s="30"/>
      <c r="M37" s="31"/>
      <c r="N37" s="56"/>
      <c r="O37" s="33"/>
      <c r="P37" s="34"/>
      <c r="Q37" s="35"/>
      <c r="R37" s="36"/>
      <c r="S37" s="37"/>
      <c r="T37" s="38"/>
      <c r="U37" s="49"/>
      <c r="V37" s="40"/>
      <c r="W37" s="41"/>
      <c r="X37" s="42"/>
      <c r="Y37" s="43"/>
    </row>
    <row r="38" spans="8:25" x14ac:dyDescent="0.25">
      <c r="H38" s="27"/>
      <c r="I38" s="28"/>
      <c r="J38" s="28"/>
      <c r="K38" s="76"/>
      <c r="L38" s="30"/>
      <c r="M38" s="31"/>
      <c r="N38" s="56"/>
      <c r="O38" s="33"/>
      <c r="P38" s="34"/>
      <c r="Q38" s="35"/>
      <c r="R38" s="36"/>
      <c r="S38" s="37"/>
      <c r="T38" s="38"/>
      <c r="U38" s="49"/>
      <c r="V38" s="40"/>
      <c r="W38" s="41"/>
      <c r="X38" s="42"/>
      <c r="Y38" s="43"/>
    </row>
    <row r="39" spans="8:25" x14ac:dyDescent="0.25">
      <c r="H39" s="27"/>
      <c r="I39" s="110"/>
      <c r="J39" s="28"/>
      <c r="K39" s="76"/>
      <c r="L39" s="30"/>
      <c r="M39" s="31"/>
      <c r="N39" s="56"/>
      <c r="O39" s="33"/>
      <c r="P39" s="34"/>
      <c r="Q39" s="35"/>
      <c r="R39" s="36"/>
      <c r="S39" s="37"/>
      <c r="T39" s="38"/>
      <c r="U39" s="49"/>
      <c r="V39" s="40"/>
      <c r="W39" s="41"/>
      <c r="X39" s="42"/>
      <c r="Y39" s="43"/>
    </row>
    <row r="40" spans="8:25" x14ac:dyDescent="0.25">
      <c r="H40" s="27"/>
      <c r="I40" s="28"/>
      <c r="J40" s="28"/>
      <c r="K40" s="76"/>
      <c r="L40" s="30"/>
      <c r="M40" s="31"/>
      <c r="N40" s="56"/>
      <c r="O40" s="33"/>
      <c r="P40" s="34"/>
      <c r="Q40" s="35"/>
      <c r="R40" s="36"/>
      <c r="S40" s="37"/>
      <c r="T40" s="38"/>
      <c r="U40" s="49"/>
      <c r="V40" s="40"/>
      <c r="W40" s="41"/>
      <c r="X40" s="42"/>
      <c r="Y40" s="43"/>
    </row>
    <row r="41" spans="8:25" x14ac:dyDescent="0.25">
      <c r="H41" s="27"/>
      <c r="I41" s="28"/>
      <c r="J41" s="28"/>
      <c r="K41" s="76"/>
      <c r="L41" s="30"/>
      <c r="M41" s="31"/>
      <c r="N41" s="56"/>
      <c r="O41" s="33"/>
      <c r="P41" s="34"/>
      <c r="Q41" s="35"/>
      <c r="R41" s="36"/>
      <c r="S41" s="37"/>
      <c r="T41" s="38"/>
      <c r="U41" s="49"/>
      <c r="V41" s="40"/>
      <c r="W41" s="41"/>
      <c r="X41" s="42"/>
      <c r="Y41" s="43"/>
    </row>
    <row r="42" spans="8:25" x14ac:dyDescent="0.25">
      <c r="H42" s="27"/>
      <c r="I42" s="28"/>
      <c r="J42" s="28"/>
      <c r="K42" s="76"/>
      <c r="L42" s="30"/>
      <c r="M42" s="31"/>
      <c r="N42" s="56"/>
      <c r="O42" s="33"/>
      <c r="P42" s="34"/>
      <c r="Q42" s="35"/>
      <c r="R42" s="36"/>
      <c r="S42" s="37"/>
      <c r="T42" s="38"/>
      <c r="U42" s="49"/>
      <c r="V42" s="40"/>
      <c r="W42" s="41"/>
      <c r="X42" s="42"/>
      <c r="Y42" s="43"/>
    </row>
    <row r="43" spans="8:25" x14ac:dyDescent="0.25">
      <c r="H43" s="27"/>
      <c r="I43" s="28"/>
      <c r="J43" s="28"/>
      <c r="K43" s="76"/>
      <c r="L43" s="30"/>
      <c r="M43" s="31"/>
      <c r="N43" s="56"/>
      <c r="O43" s="33"/>
      <c r="P43" s="34"/>
      <c r="Q43" s="35"/>
      <c r="R43" s="36"/>
      <c r="S43" s="37"/>
      <c r="T43" s="38"/>
      <c r="U43" s="49"/>
      <c r="V43" s="40"/>
      <c r="W43" s="41"/>
      <c r="X43" s="42"/>
      <c r="Y43" s="43"/>
    </row>
    <row r="44" spans="8:25" x14ac:dyDescent="0.25">
      <c r="H44" s="27"/>
      <c r="I44" s="28"/>
      <c r="J44" s="28"/>
      <c r="K44" s="76"/>
      <c r="L44" s="30"/>
      <c r="M44" s="31"/>
      <c r="N44" s="56"/>
      <c r="O44" s="33"/>
      <c r="P44" s="34"/>
      <c r="Q44" s="35"/>
      <c r="R44" s="36"/>
      <c r="S44" s="37"/>
      <c r="T44" s="38"/>
      <c r="U44" s="49"/>
      <c r="V44" s="40"/>
      <c r="W44" s="41"/>
      <c r="X44" s="42"/>
      <c r="Y44" s="43"/>
    </row>
    <row r="45" spans="8:25" x14ac:dyDescent="0.25">
      <c r="H45" s="27"/>
      <c r="I45" s="28"/>
      <c r="J45" s="28"/>
      <c r="K45" s="76"/>
      <c r="L45" s="30"/>
      <c r="M45" s="31"/>
      <c r="N45" s="111"/>
      <c r="O45" s="33"/>
      <c r="P45" s="34"/>
      <c r="Q45" s="35"/>
      <c r="R45" s="36"/>
      <c r="S45" s="37"/>
      <c r="T45" s="38"/>
      <c r="U45" s="49"/>
      <c r="V45" s="40"/>
      <c r="W45" s="41"/>
      <c r="X45" s="42"/>
      <c r="Y45" s="43"/>
    </row>
    <row r="46" spans="8:25" x14ac:dyDescent="0.25">
      <c r="H46" s="27"/>
      <c r="I46" s="28"/>
      <c r="J46" s="28"/>
      <c r="K46" s="76"/>
      <c r="L46" s="30"/>
      <c r="M46" s="31"/>
      <c r="N46" s="32"/>
      <c r="O46" s="33"/>
      <c r="P46" s="34"/>
      <c r="Q46" s="35"/>
      <c r="R46" s="36"/>
      <c r="S46" s="37"/>
      <c r="T46" s="38"/>
      <c r="U46" s="49"/>
      <c r="V46" s="40"/>
      <c r="W46" s="41"/>
      <c r="X46" s="42"/>
      <c r="Y46" s="43"/>
    </row>
    <row r="47" spans="8:25" x14ac:dyDescent="0.25">
      <c r="H47" s="27"/>
      <c r="I47" s="28"/>
      <c r="J47" s="28"/>
      <c r="K47" s="76"/>
      <c r="L47" s="30"/>
      <c r="M47" s="31"/>
      <c r="N47" s="56"/>
      <c r="O47" s="33"/>
      <c r="P47" s="34"/>
      <c r="Q47" s="35"/>
      <c r="R47" s="36"/>
      <c r="S47" s="37"/>
      <c r="T47" s="38"/>
      <c r="U47" s="49"/>
      <c r="V47" s="40"/>
      <c r="W47" s="41"/>
      <c r="X47" s="42"/>
      <c r="Y47" s="43"/>
    </row>
    <row r="48" spans="8:25" x14ac:dyDescent="0.25">
      <c r="H48" s="27"/>
      <c r="I48" s="28"/>
      <c r="J48" s="28"/>
      <c r="K48" s="76"/>
      <c r="L48" s="30"/>
      <c r="M48" s="31"/>
      <c r="N48" s="56"/>
      <c r="O48" s="33"/>
      <c r="P48" s="34"/>
      <c r="Q48" s="35"/>
      <c r="R48" s="36"/>
      <c r="S48" s="37"/>
      <c r="T48" s="38"/>
      <c r="U48" s="49"/>
      <c r="V48" s="40"/>
      <c r="W48" s="41"/>
      <c r="X48" s="42"/>
      <c r="Y48" s="43"/>
    </row>
    <row r="49" spans="8:25" x14ac:dyDescent="0.25">
      <c r="H49" s="27"/>
      <c r="I49" s="28"/>
      <c r="J49" s="28"/>
      <c r="K49" s="76"/>
      <c r="L49" s="30"/>
      <c r="M49" s="31"/>
      <c r="N49" s="56"/>
      <c r="O49" s="33"/>
      <c r="P49" s="34"/>
      <c r="Q49" s="35"/>
      <c r="R49" s="36"/>
      <c r="S49" s="37"/>
      <c r="T49" s="38"/>
      <c r="U49" s="49"/>
      <c r="V49" s="40"/>
      <c r="W49" s="41"/>
      <c r="X49" s="42"/>
      <c r="Y49" s="43"/>
    </row>
    <row r="50" spans="8:25" x14ac:dyDescent="0.25">
      <c r="H50" s="27"/>
      <c r="I50" s="28"/>
      <c r="J50" s="28"/>
      <c r="K50" s="76"/>
      <c r="L50" s="30"/>
      <c r="M50" s="31"/>
      <c r="N50" s="56"/>
      <c r="O50" s="33"/>
      <c r="P50" s="34"/>
      <c r="Q50" s="35"/>
      <c r="R50" s="36"/>
      <c r="S50" s="37"/>
      <c r="T50" s="38"/>
      <c r="U50" s="49"/>
      <c r="V50" s="40"/>
      <c r="W50" s="41"/>
      <c r="X50" s="42"/>
      <c r="Y50" s="43"/>
    </row>
    <row r="51" spans="8:25" x14ac:dyDescent="0.25">
      <c r="H51" s="27"/>
      <c r="I51" s="28"/>
      <c r="J51" s="28"/>
      <c r="K51" s="76"/>
      <c r="L51" s="30"/>
      <c r="M51" s="31"/>
      <c r="N51" s="56"/>
      <c r="O51" s="33"/>
      <c r="P51" s="34"/>
      <c r="Q51" s="35"/>
      <c r="R51" s="36"/>
      <c r="S51" s="37"/>
      <c r="T51" s="38"/>
      <c r="U51" s="49"/>
      <c r="V51" s="40"/>
      <c r="W51" s="41"/>
      <c r="X51" s="42"/>
      <c r="Y51" s="43"/>
    </row>
    <row r="52" spans="8:25" x14ac:dyDescent="0.25">
      <c r="H52" s="27"/>
      <c r="I52" s="28"/>
      <c r="J52" s="28"/>
      <c r="K52" s="76"/>
      <c r="L52" s="30"/>
      <c r="M52" s="31"/>
      <c r="N52" s="56"/>
      <c r="O52" s="33"/>
      <c r="P52" s="34"/>
      <c r="Q52" s="35"/>
      <c r="R52" s="36"/>
      <c r="S52" s="37"/>
      <c r="T52" s="38"/>
      <c r="U52" s="49"/>
      <c r="V52" s="40"/>
      <c r="W52" s="41"/>
      <c r="X52" s="42"/>
      <c r="Y52" s="43"/>
    </row>
    <row r="53" spans="8:25" x14ac:dyDescent="0.25">
      <c r="H53" s="27"/>
      <c r="I53" s="110"/>
      <c r="J53" s="28"/>
      <c r="K53" s="76"/>
      <c r="L53" s="30"/>
      <c r="M53" s="31"/>
      <c r="N53" s="56"/>
      <c r="O53" s="33"/>
      <c r="P53" s="34"/>
      <c r="Q53" s="35"/>
      <c r="R53" s="36"/>
      <c r="S53" s="37"/>
      <c r="T53" s="38"/>
      <c r="U53" s="49"/>
      <c r="V53" s="40"/>
      <c r="W53" s="41"/>
      <c r="X53" s="42"/>
      <c r="Y53" s="43"/>
    </row>
    <row r="54" spans="8:25" x14ac:dyDescent="0.25">
      <c r="H54" s="27"/>
      <c r="I54" s="28"/>
      <c r="J54" s="28"/>
      <c r="K54" s="76"/>
      <c r="L54" s="30"/>
      <c r="M54" s="31"/>
      <c r="N54" s="32"/>
      <c r="O54" s="33"/>
      <c r="P54" s="34"/>
      <c r="Q54" s="35"/>
      <c r="R54" s="36"/>
      <c r="S54" s="37"/>
      <c r="T54" s="38"/>
      <c r="U54" s="49"/>
      <c r="V54" s="40"/>
      <c r="W54" s="41"/>
      <c r="X54" s="42"/>
      <c r="Y54" s="43"/>
    </row>
    <row r="55" spans="8:25" x14ac:dyDescent="0.25">
      <c r="H55" s="27"/>
      <c r="I55" s="28"/>
      <c r="J55" s="28"/>
      <c r="K55" s="76"/>
      <c r="L55" s="30"/>
      <c r="M55" s="31"/>
      <c r="N55" s="56"/>
      <c r="O55" s="33"/>
      <c r="P55" s="34"/>
      <c r="Q55" s="35"/>
      <c r="R55" s="36"/>
      <c r="S55" s="37"/>
      <c r="T55" s="38"/>
      <c r="U55" s="49"/>
      <c r="V55" s="40"/>
      <c r="W55" s="41"/>
      <c r="X55" s="42"/>
      <c r="Y55" s="43"/>
    </row>
    <row r="56" spans="8:25" x14ac:dyDescent="0.25">
      <c r="H56" s="27"/>
      <c r="I56" s="28"/>
      <c r="J56" s="28"/>
      <c r="K56" s="76"/>
      <c r="L56" s="30"/>
      <c r="M56" s="31"/>
      <c r="N56" s="32"/>
      <c r="O56" s="33"/>
      <c r="P56" s="34"/>
      <c r="Q56" s="35"/>
      <c r="R56" s="36"/>
      <c r="S56" s="37"/>
      <c r="T56" s="38"/>
      <c r="U56" s="49"/>
      <c r="V56" s="40"/>
      <c r="W56" s="41"/>
      <c r="X56" s="42"/>
      <c r="Y56" s="43"/>
    </row>
    <row r="57" spans="8:25" x14ac:dyDescent="0.25">
      <c r="H57" s="27"/>
      <c r="I57" s="28"/>
      <c r="J57" s="28"/>
      <c r="K57" s="76"/>
      <c r="L57" s="30"/>
      <c r="M57" s="31"/>
      <c r="N57" s="32"/>
      <c r="O57" s="33"/>
      <c r="P57" s="34"/>
      <c r="Q57" s="35"/>
      <c r="R57" s="36"/>
      <c r="S57" s="37"/>
      <c r="T57" s="38"/>
      <c r="U57" s="49"/>
      <c r="V57" s="40"/>
      <c r="W57" s="41"/>
      <c r="X57" s="42"/>
      <c r="Y57" s="43"/>
    </row>
    <row r="58" spans="8:25" x14ac:dyDescent="0.25">
      <c r="H58" s="27"/>
      <c r="I58" s="28"/>
      <c r="J58" s="28"/>
      <c r="K58" s="76"/>
      <c r="L58" s="30"/>
      <c r="M58" s="31"/>
      <c r="N58" s="32"/>
      <c r="O58" s="33"/>
      <c r="P58" s="34"/>
      <c r="Q58" s="35"/>
      <c r="R58" s="36"/>
      <c r="S58" s="37"/>
      <c r="T58" s="38"/>
      <c r="U58" s="49"/>
      <c r="V58" s="40"/>
      <c r="W58" s="41"/>
      <c r="X58" s="42"/>
      <c r="Y58" s="43"/>
    </row>
    <row r="59" spans="8:25" x14ac:dyDescent="0.25">
      <c r="H59" s="27"/>
      <c r="I59" s="28"/>
      <c r="J59" s="28"/>
      <c r="K59" s="76"/>
      <c r="L59" s="30"/>
      <c r="M59" s="31"/>
      <c r="N59" s="111"/>
      <c r="O59" s="33"/>
      <c r="P59" s="34"/>
      <c r="Q59" s="35"/>
      <c r="R59" s="36"/>
      <c r="S59" s="37"/>
      <c r="T59" s="38"/>
      <c r="U59" s="49"/>
      <c r="V59" s="40"/>
      <c r="W59" s="41"/>
      <c r="X59" s="42"/>
      <c r="Y59" s="43"/>
    </row>
    <row r="60" spans="8:25" x14ac:dyDescent="0.25">
      <c r="H60" s="27"/>
      <c r="I60" s="112"/>
      <c r="J60" s="28"/>
      <c r="K60" s="76"/>
      <c r="L60" s="30"/>
      <c r="M60" s="31"/>
      <c r="N60" s="32"/>
      <c r="O60" s="33"/>
      <c r="P60" s="34"/>
      <c r="Q60" s="35"/>
      <c r="R60" s="36"/>
      <c r="S60" s="37"/>
      <c r="T60" s="38"/>
      <c r="U60" s="49"/>
      <c r="V60" s="40"/>
      <c r="W60" s="41"/>
      <c r="X60" s="42"/>
      <c r="Y60" s="43"/>
    </row>
    <row r="61" spans="8:25" x14ac:dyDescent="0.25">
      <c r="H61" s="27"/>
      <c r="I61" s="28"/>
      <c r="J61" s="28"/>
      <c r="K61" s="76"/>
      <c r="L61" s="30"/>
      <c r="M61" s="31"/>
      <c r="N61" s="32"/>
      <c r="O61" s="33"/>
      <c r="P61" s="34"/>
      <c r="Q61" s="35"/>
      <c r="R61" s="36"/>
      <c r="S61" s="37"/>
      <c r="T61" s="38"/>
      <c r="U61" s="49"/>
      <c r="V61" s="40"/>
      <c r="W61" s="41"/>
      <c r="X61" s="42"/>
      <c r="Y61" s="43"/>
    </row>
    <row r="62" spans="8:25" x14ac:dyDescent="0.25">
      <c r="H62" s="27"/>
      <c r="I62" s="28"/>
      <c r="J62" s="28"/>
      <c r="K62" s="76"/>
      <c r="L62" s="30"/>
      <c r="M62" s="31"/>
      <c r="N62" s="111"/>
      <c r="O62" s="33"/>
      <c r="P62" s="34"/>
      <c r="Q62" s="35"/>
      <c r="R62" s="36"/>
      <c r="S62" s="37"/>
      <c r="T62" s="38"/>
      <c r="U62" s="49"/>
      <c r="V62" s="40"/>
      <c r="W62" s="41"/>
      <c r="X62" s="42"/>
      <c r="Y62" s="43"/>
    </row>
    <row r="63" spans="8:25" x14ac:dyDescent="0.25">
      <c r="H63" s="27"/>
      <c r="I63" s="28"/>
      <c r="J63" s="28"/>
      <c r="K63" s="76"/>
      <c r="L63" s="30"/>
      <c r="M63" s="31"/>
      <c r="N63" s="56"/>
      <c r="O63" s="33"/>
      <c r="P63" s="34"/>
      <c r="Q63" s="35"/>
      <c r="R63" s="36"/>
      <c r="S63" s="37"/>
      <c r="T63" s="38"/>
      <c r="U63" s="49"/>
      <c r="V63" s="40"/>
      <c r="W63" s="41"/>
      <c r="X63" s="42"/>
      <c r="Y63" s="43"/>
    </row>
    <row r="64" spans="8:25" x14ac:dyDescent="0.25">
      <c r="H64" s="27"/>
      <c r="I64" s="28"/>
      <c r="J64" s="28"/>
      <c r="K64" s="76"/>
      <c r="L64" s="30"/>
      <c r="M64" s="31"/>
      <c r="N64" s="111"/>
      <c r="O64" s="33"/>
      <c r="P64" s="34"/>
      <c r="Q64" s="35"/>
      <c r="R64" s="36"/>
      <c r="S64" s="37"/>
      <c r="T64" s="38"/>
      <c r="U64" s="49"/>
      <c r="V64" s="40"/>
      <c r="W64" s="41"/>
      <c r="X64" s="42"/>
      <c r="Y64" s="43"/>
    </row>
    <row r="65" spans="1:25" x14ac:dyDescent="0.25">
      <c r="H65" s="27"/>
      <c r="I65" s="28"/>
      <c r="J65" s="28"/>
      <c r="K65" s="76"/>
      <c r="L65" s="30"/>
      <c r="M65" s="31"/>
      <c r="N65" s="111"/>
      <c r="O65" s="33"/>
      <c r="P65" s="34"/>
      <c r="Q65" s="35"/>
      <c r="R65" s="36"/>
      <c r="S65" s="37"/>
      <c r="T65" s="38"/>
      <c r="U65" s="49"/>
      <c r="V65" s="40"/>
      <c r="W65" s="41"/>
      <c r="X65" s="42"/>
      <c r="Y65" s="43"/>
    </row>
    <row r="66" spans="1:25" x14ac:dyDescent="0.25">
      <c r="H66" s="27"/>
      <c r="I66" s="28"/>
      <c r="J66" s="28"/>
      <c r="K66" s="76"/>
      <c r="L66" s="30"/>
      <c r="M66" s="31"/>
      <c r="N66" s="32"/>
      <c r="O66" s="33"/>
      <c r="P66" s="34"/>
      <c r="Q66" s="35"/>
      <c r="R66" s="36"/>
      <c r="S66" s="37"/>
      <c r="T66" s="38"/>
      <c r="U66" s="49"/>
      <c r="V66" s="40"/>
      <c r="W66" s="41"/>
      <c r="X66" s="42"/>
      <c r="Y66" s="43"/>
    </row>
    <row r="67" spans="1:25" x14ac:dyDescent="0.25">
      <c r="H67" s="27"/>
      <c r="I67" s="28"/>
      <c r="J67" s="28"/>
      <c r="K67" s="76"/>
      <c r="L67" s="30"/>
      <c r="M67" s="31"/>
      <c r="N67" s="111"/>
      <c r="O67" s="33"/>
      <c r="P67" s="34"/>
      <c r="Q67" s="35"/>
      <c r="R67" s="36"/>
      <c r="S67" s="37"/>
      <c r="T67" s="38"/>
      <c r="U67" s="49"/>
      <c r="V67" s="40"/>
      <c r="W67" s="41"/>
      <c r="X67" s="42"/>
      <c r="Y67" s="43"/>
    </row>
    <row r="68" spans="1:25" x14ac:dyDescent="0.25">
      <c r="H68" s="27"/>
      <c r="I68" s="28"/>
      <c r="J68" s="28"/>
      <c r="K68" s="76"/>
      <c r="L68" s="30"/>
      <c r="M68" s="31"/>
      <c r="N68" s="111"/>
      <c r="O68" s="33"/>
      <c r="P68" s="34"/>
      <c r="Q68" s="35"/>
      <c r="R68" s="36"/>
      <c r="S68" s="37"/>
      <c r="T68" s="38"/>
      <c r="U68" s="49"/>
      <c r="V68" s="40"/>
      <c r="W68" s="41"/>
      <c r="X68" s="42"/>
      <c r="Y68" s="43"/>
    </row>
    <row r="69" spans="1:25" x14ac:dyDescent="0.25">
      <c r="H69" s="27"/>
      <c r="I69" s="28"/>
      <c r="J69" s="28"/>
      <c r="K69" s="76"/>
      <c r="L69" s="30"/>
      <c r="M69" s="31"/>
      <c r="N69" s="111"/>
      <c r="O69" s="33"/>
      <c r="P69" s="34"/>
      <c r="Q69" s="35"/>
      <c r="R69" s="36"/>
      <c r="S69" s="37"/>
      <c r="T69" s="38"/>
      <c r="U69" s="49"/>
      <c r="V69" s="40"/>
      <c r="W69" s="41"/>
      <c r="X69" s="42"/>
      <c r="Y69" s="43"/>
    </row>
    <row r="70" spans="1:25" x14ac:dyDescent="0.25">
      <c r="H70" s="27"/>
      <c r="I70" s="28"/>
      <c r="J70" s="28"/>
      <c r="K70" s="76"/>
      <c r="L70" s="30"/>
      <c r="M70" s="31"/>
      <c r="N70" s="111"/>
      <c r="O70" s="33"/>
      <c r="P70" s="34"/>
      <c r="Q70" s="35"/>
      <c r="R70" s="36"/>
      <c r="S70" s="37"/>
      <c r="T70" s="38"/>
      <c r="U70" s="49"/>
      <c r="V70" s="40"/>
      <c r="W70" s="41"/>
      <c r="X70" s="42"/>
      <c r="Y70" s="43"/>
    </row>
    <row r="71" spans="1:25" x14ac:dyDescent="0.25">
      <c r="A71" t="s">
        <v>62</v>
      </c>
      <c r="B71" t="s">
        <v>63</v>
      </c>
      <c r="H71" s="27"/>
      <c r="I71" s="28"/>
      <c r="J71" s="28"/>
      <c r="K71" s="76"/>
      <c r="L71" s="30"/>
      <c r="M71" s="31"/>
      <c r="N71" s="111"/>
      <c r="O71" s="33"/>
      <c r="P71" s="34"/>
      <c r="Q71" s="35"/>
      <c r="R71" s="36"/>
      <c r="S71" s="37"/>
      <c r="T71" s="38"/>
      <c r="U71" s="49"/>
      <c r="V71" s="40"/>
      <c r="W71" s="41"/>
      <c r="X71" s="42"/>
      <c r="Y71" s="43"/>
    </row>
    <row r="72" spans="1:25" x14ac:dyDescent="0.25">
      <c r="A72" t="s">
        <v>34</v>
      </c>
      <c r="B72" t="s">
        <v>64</v>
      </c>
      <c r="H72" s="27"/>
      <c r="I72" s="28"/>
      <c r="J72" s="28"/>
      <c r="K72" s="29"/>
      <c r="L72" s="30"/>
      <c r="M72" s="31"/>
      <c r="N72" s="111"/>
      <c r="O72" s="33"/>
      <c r="P72" s="34"/>
      <c r="Q72" s="35"/>
      <c r="R72" s="36"/>
      <c r="S72" s="37"/>
      <c r="T72" s="38"/>
      <c r="U72" s="49"/>
      <c r="V72" s="40"/>
      <c r="W72" s="41"/>
      <c r="X72" s="42"/>
      <c r="Y72" s="43"/>
    </row>
    <row r="73" spans="1:25" x14ac:dyDescent="0.25">
      <c r="A73" t="s">
        <v>31</v>
      </c>
      <c r="B73" t="s">
        <v>65</v>
      </c>
      <c r="H73" s="27"/>
      <c r="I73" s="28"/>
      <c r="J73" s="28"/>
      <c r="K73" s="76"/>
      <c r="L73" s="30"/>
      <c r="M73" s="31"/>
      <c r="N73" s="56"/>
      <c r="O73" s="33"/>
      <c r="P73" s="34"/>
      <c r="Q73" s="35"/>
      <c r="R73" s="36"/>
      <c r="S73" s="37"/>
      <c r="T73" s="38"/>
      <c r="U73" s="49"/>
      <c r="V73" s="40"/>
      <c r="W73" s="41"/>
      <c r="X73" s="42"/>
      <c r="Y73" s="43"/>
    </row>
    <row r="74" spans="1:25" x14ac:dyDescent="0.25">
      <c r="A74" t="s">
        <v>60</v>
      </c>
      <c r="B74" t="s">
        <v>66</v>
      </c>
      <c r="H74" s="27"/>
      <c r="I74" s="28"/>
      <c r="J74" s="28"/>
      <c r="K74" s="76"/>
      <c r="L74" s="30"/>
      <c r="M74" s="31"/>
      <c r="N74" s="56"/>
      <c r="O74" s="33"/>
      <c r="P74" s="34"/>
      <c r="Q74" s="35"/>
      <c r="R74" s="36"/>
      <c r="S74" s="37"/>
      <c r="T74" s="38"/>
      <c r="U74" s="49"/>
      <c r="V74" s="40"/>
      <c r="W74" s="41"/>
      <c r="X74" s="42"/>
      <c r="Y74" s="43"/>
    </row>
    <row r="75" spans="1:25" x14ac:dyDescent="0.25">
      <c r="A75" t="s">
        <v>23</v>
      </c>
      <c r="B75" t="s">
        <v>67</v>
      </c>
      <c r="H75" s="27"/>
      <c r="I75" s="28"/>
      <c r="J75" s="28"/>
      <c r="K75" s="76"/>
      <c r="L75" s="30"/>
      <c r="M75" s="31"/>
      <c r="N75" s="56"/>
      <c r="O75" s="33"/>
      <c r="P75" s="34"/>
      <c r="Q75" s="35"/>
      <c r="R75" s="36"/>
      <c r="S75" s="37"/>
      <c r="T75" s="38"/>
      <c r="U75" s="49"/>
      <c r="V75" s="40"/>
      <c r="W75" s="41"/>
      <c r="X75" s="42"/>
      <c r="Y75" s="43"/>
    </row>
    <row r="76" spans="1:25" x14ac:dyDescent="0.25">
      <c r="A76" t="s">
        <v>61</v>
      </c>
      <c r="B76" t="s">
        <v>68</v>
      </c>
      <c r="H76" s="27"/>
      <c r="I76" s="28"/>
      <c r="J76" s="28"/>
      <c r="K76" s="76"/>
      <c r="L76" s="30"/>
      <c r="M76" s="31"/>
      <c r="N76" s="56"/>
      <c r="O76" s="33"/>
      <c r="P76" s="34"/>
      <c r="Q76" s="35"/>
      <c r="R76" s="36"/>
      <c r="S76" s="37"/>
      <c r="T76" s="38"/>
      <c r="U76" s="49"/>
      <c r="V76" s="40"/>
      <c r="W76" s="41"/>
      <c r="X76" s="42"/>
      <c r="Y76" s="43"/>
    </row>
    <row r="77" spans="1:25" x14ac:dyDescent="0.25">
      <c r="H77" s="27"/>
      <c r="I77" s="28"/>
      <c r="J77" s="28"/>
      <c r="K77" s="76"/>
      <c r="L77" s="30"/>
      <c r="M77" s="31"/>
      <c r="N77" s="56"/>
      <c r="O77" s="33"/>
      <c r="P77" s="34"/>
      <c r="Q77" s="35"/>
      <c r="R77" s="36"/>
      <c r="S77" s="37"/>
      <c r="T77" s="38"/>
      <c r="U77" s="49"/>
      <c r="V77" s="40"/>
      <c r="W77" s="41"/>
      <c r="X77" s="42"/>
      <c r="Y77" s="43"/>
    </row>
    <row r="78" spans="1:25" x14ac:dyDescent="0.25">
      <c r="H78" s="27"/>
      <c r="I78" s="28"/>
      <c r="J78" s="28"/>
      <c r="K78" s="76"/>
      <c r="L78" s="30"/>
      <c r="M78" s="31"/>
      <c r="N78" s="56"/>
      <c r="O78" s="33"/>
      <c r="P78" s="34"/>
      <c r="Q78" s="35"/>
      <c r="R78" s="36"/>
      <c r="S78" s="37"/>
      <c r="T78" s="38"/>
      <c r="U78" s="49"/>
      <c r="V78" s="40"/>
      <c r="W78" s="41"/>
      <c r="X78" s="42"/>
      <c r="Y78" s="43"/>
    </row>
    <row r="79" spans="1:25" x14ac:dyDescent="0.25">
      <c r="H79" s="27"/>
      <c r="I79" s="28"/>
      <c r="J79" s="28"/>
      <c r="K79" s="76"/>
      <c r="L79" s="30"/>
      <c r="M79" s="31"/>
      <c r="N79" s="111"/>
      <c r="O79" s="33"/>
      <c r="P79" s="34"/>
      <c r="Q79" s="35"/>
      <c r="R79" s="36"/>
      <c r="S79" s="37"/>
      <c r="T79" s="38"/>
      <c r="U79" s="49"/>
      <c r="V79" s="40"/>
      <c r="W79" s="41"/>
      <c r="X79" s="42"/>
      <c r="Y79" s="43"/>
    </row>
    <row r="80" spans="1:25" x14ac:dyDescent="0.25">
      <c r="H80" s="27"/>
      <c r="I80" s="28"/>
      <c r="J80" s="28"/>
      <c r="K80" s="76"/>
      <c r="L80" s="30"/>
      <c r="M80" s="31"/>
      <c r="N80" s="56"/>
      <c r="O80" s="33"/>
      <c r="P80" s="34"/>
      <c r="Q80" s="35"/>
      <c r="R80" s="36"/>
      <c r="S80" s="37"/>
      <c r="T80" s="38"/>
      <c r="U80" s="49"/>
      <c r="V80" s="40"/>
      <c r="W80" s="41"/>
      <c r="X80" s="42"/>
      <c r="Y80" s="43"/>
    </row>
    <row r="81" spans="8:25" x14ac:dyDescent="0.25">
      <c r="H81" s="27"/>
      <c r="I81" s="28"/>
      <c r="J81" s="28"/>
      <c r="K81" s="76"/>
      <c r="L81" s="30"/>
      <c r="M81" s="31"/>
      <c r="N81" s="111"/>
      <c r="O81" s="33"/>
      <c r="P81" s="34"/>
      <c r="Q81" s="35"/>
      <c r="R81" s="36"/>
      <c r="S81" s="37"/>
      <c r="T81" s="38"/>
      <c r="U81" s="49"/>
      <c r="V81" s="40"/>
      <c r="W81" s="41"/>
      <c r="X81" s="42"/>
      <c r="Y81" s="43"/>
    </row>
    <row r="82" spans="8:25" x14ac:dyDescent="0.25">
      <c r="H82" s="27"/>
      <c r="I82" s="28"/>
      <c r="J82" s="28"/>
      <c r="K82" s="76"/>
      <c r="L82" s="30"/>
      <c r="M82" s="31"/>
      <c r="N82" s="56"/>
      <c r="O82" s="33"/>
      <c r="P82" s="34"/>
      <c r="Q82" s="35"/>
      <c r="R82" s="36"/>
      <c r="S82" s="37"/>
      <c r="T82" s="38"/>
      <c r="U82" s="49"/>
      <c r="V82" s="40"/>
      <c r="W82" s="41"/>
      <c r="X82" s="42"/>
      <c r="Y82" s="43"/>
    </row>
    <row r="83" spans="8:25" x14ac:dyDescent="0.25">
      <c r="H83" s="27"/>
      <c r="I83" s="28"/>
      <c r="J83" s="28"/>
      <c r="K83" s="76"/>
      <c r="L83" s="30"/>
      <c r="M83" s="31"/>
      <c r="N83" s="56"/>
      <c r="O83" s="33"/>
      <c r="P83" s="34"/>
      <c r="Q83" s="35"/>
      <c r="R83" s="36"/>
      <c r="S83" s="37"/>
      <c r="T83" s="38"/>
      <c r="U83" s="49"/>
      <c r="V83" s="40"/>
      <c r="W83" s="41"/>
      <c r="X83" s="42"/>
      <c r="Y83" s="43"/>
    </row>
    <row r="84" spans="8:25" x14ac:dyDescent="0.25">
      <c r="H84" s="27"/>
      <c r="I84" s="28"/>
      <c r="J84" s="28"/>
      <c r="K84" s="76"/>
      <c r="L84" s="30"/>
      <c r="M84" s="31"/>
      <c r="N84" s="111"/>
      <c r="O84" s="33"/>
      <c r="P84" s="34"/>
      <c r="Q84" s="35"/>
      <c r="R84" s="36"/>
      <c r="S84" s="37"/>
      <c r="T84" s="38"/>
      <c r="U84" s="49"/>
      <c r="V84" s="40"/>
      <c r="W84" s="41"/>
      <c r="X84" s="42"/>
      <c r="Y84" s="43"/>
    </row>
    <row r="85" spans="8:25" x14ac:dyDescent="0.25">
      <c r="H85" s="27"/>
      <c r="I85" s="28"/>
      <c r="J85" s="28"/>
      <c r="K85" s="76"/>
      <c r="L85" s="30"/>
      <c r="M85" s="31"/>
      <c r="N85" s="56"/>
      <c r="O85" s="33"/>
      <c r="P85" s="34"/>
      <c r="Q85" s="35"/>
      <c r="R85" s="36"/>
      <c r="S85" s="37"/>
      <c r="T85" s="38"/>
      <c r="U85" s="49"/>
      <c r="V85" s="40"/>
      <c r="W85" s="41"/>
      <c r="X85" s="42"/>
      <c r="Y85" s="43"/>
    </row>
    <row r="86" spans="8:25" x14ac:dyDescent="0.25">
      <c r="H86" s="27"/>
      <c r="I86" s="28"/>
      <c r="J86" s="28"/>
      <c r="K86" s="76"/>
      <c r="L86" s="30"/>
      <c r="M86" s="31"/>
      <c r="N86" s="56"/>
      <c r="O86" s="33"/>
      <c r="P86" s="34"/>
      <c r="Q86" s="35"/>
      <c r="R86" s="36"/>
      <c r="S86" s="37"/>
      <c r="T86" s="38"/>
      <c r="U86" s="49"/>
      <c r="V86" s="40"/>
      <c r="W86" s="41"/>
      <c r="X86" s="42"/>
      <c r="Y86" s="43"/>
    </row>
    <row r="87" spans="8:25" x14ac:dyDescent="0.25">
      <c r="H87" s="27"/>
      <c r="I87" s="28"/>
      <c r="J87" s="28"/>
      <c r="K87" s="76"/>
      <c r="L87" s="30"/>
      <c r="M87" s="31"/>
      <c r="N87" s="56"/>
      <c r="O87" s="33"/>
      <c r="P87" s="34"/>
      <c r="Q87" s="35"/>
      <c r="R87" s="36"/>
      <c r="S87" s="37"/>
      <c r="T87" s="38"/>
      <c r="U87" s="49"/>
      <c r="V87" s="40"/>
      <c r="W87" s="41"/>
      <c r="X87" s="42"/>
      <c r="Y87" s="43"/>
    </row>
    <row r="88" spans="8:25" x14ac:dyDescent="0.25">
      <c r="H88" s="27"/>
      <c r="I88" s="28"/>
      <c r="J88" s="28"/>
      <c r="K88" s="76"/>
      <c r="L88" s="30"/>
      <c r="M88" s="31"/>
      <c r="N88" s="56"/>
      <c r="O88" s="33"/>
      <c r="P88" s="34"/>
      <c r="Q88" s="35"/>
      <c r="R88" s="36"/>
      <c r="S88" s="37"/>
      <c r="T88" s="38"/>
      <c r="U88" s="49"/>
      <c r="V88" s="40"/>
      <c r="W88" s="41"/>
      <c r="X88" s="42"/>
      <c r="Y88" s="43"/>
    </row>
    <row r="89" spans="8:25" x14ac:dyDescent="0.25">
      <c r="H89" s="27"/>
      <c r="I89" s="28"/>
      <c r="J89" s="28"/>
      <c r="K89" s="76"/>
      <c r="L89" s="30"/>
      <c r="M89" s="31"/>
      <c r="N89" s="56"/>
      <c r="O89" s="33"/>
      <c r="P89" s="34"/>
      <c r="Q89" s="35"/>
      <c r="R89" s="36"/>
      <c r="S89" s="113"/>
      <c r="T89" s="38"/>
      <c r="U89" s="49"/>
      <c r="V89" s="40"/>
      <c r="W89" s="41"/>
      <c r="X89" s="42"/>
      <c r="Y89" s="43"/>
    </row>
    <row r="90" spans="8:25" x14ac:dyDescent="0.25">
      <c r="H90" s="27"/>
      <c r="I90" s="28"/>
      <c r="J90" s="28"/>
      <c r="K90" s="76"/>
      <c r="L90" s="30"/>
      <c r="M90" s="31"/>
      <c r="N90" s="114"/>
      <c r="O90" s="33"/>
      <c r="P90" s="34"/>
      <c r="Q90" s="35"/>
      <c r="R90" s="36"/>
      <c r="S90" s="37"/>
      <c r="T90" s="38"/>
      <c r="U90" s="49"/>
      <c r="V90" s="40"/>
      <c r="W90" s="41"/>
      <c r="X90" s="42"/>
      <c r="Y90" s="43"/>
    </row>
    <row r="91" spans="8:25" x14ac:dyDescent="0.25">
      <c r="H91" s="27"/>
      <c r="I91" s="28"/>
      <c r="J91" s="28"/>
      <c r="K91" s="76"/>
      <c r="L91" s="30"/>
      <c r="M91" s="31"/>
      <c r="N91" s="114"/>
      <c r="O91" s="33"/>
      <c r="P91" s="34"/>
      <c r="Q91" s="35"/>
      <c r="R91" s="36"/>
      <c r="S91" s="113"/>
      <c r="T91" s="38"/>
      <c r="U91" s="49"/>
      <c r="V91" s="40"/>
      <c r="W91" s="41"/>
      <c r="X91" s="42"/>
      <c r="Y91" s="43"/>
    </row>
    <row r="92" spans="8:25" x14ac:dyDescent="0.25">
      <c r="H92" s="27"/>
      <c r="I92" s="28"/>
      <c r="J92" s="28"/>
      <c r="K92" s="76"/>
      <c r="L92" s="30"/>
      <c r="M92" s="31"/>
      <c r="N92" s="114"/>
      <c r="O92" s="33"/>
      <c r="P92" s="34"/>
      <c r="Q92" s="115"/>
      <c r="R92" s="36"/>
      <c r="S92" s="116"/>
      <c r="T92" s="38"/>
      <c r="U92" s="49"/>
      <c r="V92" s="40"/>
      <c r="W92" s="41"/>
      <c r="X92" s="117"/>
      <c r="Y92" s="43"/>
    </row>
    <row r="93" spans="8:25" x14ac:dyDescent="0.25">
      <c r="H93" s="27"/>
      <c r="I93" s="28"/>
      <c r="J93" s="28"/>
      <c r="K93" s="76"/>
      <c r="L93" s="30"/>
      <c r="M93" s="31"/>
      <c r="N93" s="114"/>
      <c r="O93" s="33"/>
      <c r="P93" s="34"/>
      <c r="Q93" s="115"/>
      <c r="R93" s="36"/>
      <c r="S93" s="118"/>
      <c r="T93" s="119"/>
      <c r="U93" s="120"/>
      <c r="V93" s="121"/>
      <c r="W93" s="41"/>
      <c r="X93" s="117"/>
      <c r="Y93" s="43"/>
    </row>
    <row r="94" spans="8:25" x14ac:dyDescent="0.25">
      <c r="H94" s="27"/>
      <c r="I94" s="28"/>
      <c r="J94" s="28"/>
      <c r="K94" s="76"/>
      <c r="L94" s="30"/>
      <c r="M94" s="31"/>
      <c r="N94" s="114"/>
      <c r="O94" s="33"/>
      <c r="P94" s="34"/>
      <c r="Q94" s="115"/>
      <c r="R94" s="36"/>
      <c r="S94" s="116"/>
      <c r="T94" s="119"/>
      <c r="U94" s="122"/>
      <c r="V94" s="123"/>
      <c r="W94" s="41"/>
      <c r="X94" s="117"/>
      <c r="Y94" s="43"/>
    </row>
    <row r="95" spans="8:25" x14ac:dyDescent="0.25">
      <c r="H95" s="27"/>
      <c r="I95" s="28"/>
      <c r="J95" s="28"/>
      <c r="K95" s="76"/>
      <c r="L95" s="30"/>
      <c r="M95" s="31"/>
      <c r="N95" s="114"/>
      <c r="O95" s="33"/>
      <c r="P95" s="34"/>
      <c r="Q95" s="115"/>
      <c r="R95" s="36"/>
      <c r="S95" s="116"/>
      <c r="T95" s="119"/>
      <c r="U95" s="122"/>
      <c r="V95" s="123"/>
      <c r="W95" s="41"/>
      <c r="X95" s="117"/>
      <c r="Y95" s="43"/>
    </row>
    <row r="96" spans="8:25" x14ac:dyDescent="0.25">
      <c r="H96" s="27"/>
      <c r="I96" s="28"/>
      <c r="J96" s="28"/>
      <c r="K96" s="124"/>
      <c r="L96" s="125"/>
      <c r="M96" s="126"/>
      <c r="N96" s="127"/>
      <c r="O96" s="128"/>
      <c r="P96" s="34"/>
      <c r="Q96" s="115"/>
      <c r="R96" s="129"/>
      <c r="S96" s="130"/>
      <c r="T96" s="131"/>
      <c r="U96" s="132"/>
      <c r="V96" s="133"/>
      <c r="W96" s="41"/>
      <c r="X96" s="117"/>
      <c r="Y96" s="43"/>
    </row>
    <row r="134" spans="7:7" x14ac:dyDescent="0.25">
      <c r="G134" s="134"/>
    </row>
  </sheetData>
  <mergeCells count="2">
    <mergeCell ref="C18:D18"/>
    <mergeCell ref="E19:F19"/>
  </mergeCells>
  <conditionalFormatting sqref="V2:V6 T2:T18 T46:T53 V46:V53 V80:V85 T80:T85">
    <cfRule type="cellIs" dxfId="144" priority="173" operator="lessThan">
      <formula>0</formula>
    </cfRule>
    <cfRule type="cellIs" dxfId="143" priority="174" operator="greaterThan">
      <formula>0</formula>
    </cfRule>
  </conditionalFormatting>
  <conditionalFormatting sqref="N1 N46 N60:N61 N63 N66 N73:N78 N80 N82 N90 N29:N35 N54 N56:N58">
    <cfRule type="expression" dxfId="142" priority="175">
      <formula>N1&lt;1</formula>
    </cfRule>
    <cfRule type="expression" dxfId="141" priority="176">
      <formula>N1&gt;=2</formula>
    </cfRule>
  </conditionalFormatting>
  <conditionalFormatting sqref="V2:V6 V46:V53 V80:V85">
    <cfRule type="cellIs" dxfId="140" priority="172" operator="greaterThan">
      <formula>0</formula>
    </cfRule>
  </conditionalFormatting>
  <conditionalFormatting sqref="N2:N3">
    <cfRule type="expression" dxfId="139" priority="170">
      <formula>N2&lt;1</formula>
    </cfRule>
    <cfRule type="expression" dxfId="138" priority="171">
      <formula>N2&gt;=2</formula>
    </cfRule>
  </conditionalFormatting>
  <conditionalFormatting sqref="V7:V18">
    <cfRule type="cellIs" dxfId="137" priority="168" operator="lessThan">
      <formula>0</formula>
    </cfRule>
    <cfRule type="cellIs" dxfId="136" priority="169" operator="greaterThan">
      <formula>0</formula>
    </cfRule>
  </conditionalFormatting>
  <conditionalFormatting sqref="V7:V18">
    <cfRule type="cellIs" dxfId="135" priority="167" operator="greaterThan">
      <formula>0</formula>
    </cfRule>
  </conditionalFormatting>
  <conditionalFormatting sqref="T19:T29">
    <cfRule type="cellIs" dxfId="134" priority="165" operator="lessThan">
      <formula>0</formula>
    </cfRule>
    <cfRule type="cellIs" dxfId="133" priority="166" operator="greaterThan">
      <formula>0</formula>
    </cfRule>
  </conditionalFormatting>
  <conditionalFormatting sqref="V19:V38">
    <cfRule type="cellIs" dxfId="132" priority="163" operator="lessThan">
      <formula>0</formula>
    </cfRule>
    <cfRule type="cellIs" dxfId="131" priority="164" operator="greaterThan">
      <formula>0</formula>
    </cfRule>
  </conditionalFormatting>
  <conditionalFormatting sqref="V19:V38">
    <cfRule type="cellIs" dxfId="130" priority="162" operator="greaterThan">
      <formula>0</formula>
    </cfRule>
  </conditionalFormatting>
  <conditionalFormatting sqref="I1:I1048576">
    <cfRule type="expression" dxfId="129" priority="161">
      <formula>T1=0</formula>
    </cfRule>
  </conditionalFormatting>
  <conditionalFormatting sqref="N2:N35 N45:N46 N54 N84 N56:N82 N90:N9998">
    <cfRule type="expression" dxfId="128" priority="160">
      <formula>N2&lt;2</formula>
    </cfRule>
  </conditionalFormatting>
  <conditionalFormatting sqref="P97:P1048576 P1:P24">
    <cfRule type="colorScale" priority="159">
      <colorScale>
        <cfvo type="num" val="7.0000000000000007E-2"/>
        <cfvo type="num" val="0.11"/>
        <cfvo type="num" val="0.18"/>
        <color rgb="FFFF0000"/>
        <color rgb="FF00B050"/>
        <color rgb="FFFF0000"/>
      </colorScale>
    </cfRule>
  </conditionalFormatting>
  <conditionalFormatting sqref="P25:P29">
    <cfRule type="colorScale" priority="158">
      <colorScale>
        <cfvo type="num" val="7.0000000000000007E-2"/>
        <cfvo type="num" val="0.11"/>
        <cfvo type="num" val="0.18"/>
        <color rgb="FFFF0000"/>
        <color rgb="FF00B050"/>
        <color rgb="FFFF0000"/>
      </colorScale>
    </cfRule>
  </conditionalFormatting>
  <conditionalFormatting sqref="X1:X1048576">
    <cfRule type="colorScale" priority="177">
      <colorScale>
        <cfvo type="num" val="0"/>
        <cfvo type="num" val="$E$4"/>
        <color theme="0"/>
        <color rgb="FFFFEF9C"/>
      </colorScale>
    </cfRule>
  </conditionalFormatting>
  <conditionalFormatting sqref="P30:P35">
    <cfRule type="colorScale" priority="157">
      <colorScale>
        <cfvo type="num" val="7.0000000000000007E-2"/>
        <cfvo type="num" val="0.11"/>
        <cfvo type="num" val="0.18"/>
        <color rgb="FFFF0000"/>
        <color rgb="FF00B050"/>
        <color rgb="FFFF0000"/>
      </colorScale>
    </cfRule>
  </conditionalFormatting>
  <conditionalFormatting sqref="T30">
    <cfRule type="cellIs" dxfId="127" priority="155" operator="lessThan">
      <formula>0</formula>
    </cfRule>
    <cfRule type="cellIs" dxfId="126" priority="156" operator="greaterThan">
      <formula>0</formula>
    </cfRule>
  </conditionalFormatting>
  <conditionalFormatting sqref="T31:T35 T37:T38">
    <cfRule type="cellIs" dxfId="125" priority="153" operator="lessThan">
      <formula>0</formula>
    </cfRule>
    <cfRule type="cellIs" dxfId="124" priority="154" operator="greaterThan">
      <formula>0</formula>
    </cfRule>
  </conditionalFormatting>
  <conditionalFormatting sqref="N36:N39">
    <cfRule type="expression" dxfId="123" priority="151">
      <formula>N36&lt;1</formula>
    </cfRule>
    <cfRule type="expression" dxfId="122" priority="152">
      <formula>N36&gt;=2</formula>
    </cfRule>
  </conditionalFormatting>
  <conditionalFormatting sqref="N36:N39">
    <cfRule type="expression" dxfId="121" priority="150">
      <formula>N36&lt;2</formula>
    </cfRule>
  </conditionalFormatting>
  <conditionalFormatting sqref="P36:P39 P46:P52 P80:P84">
    <cfRule type="colorScale" priority="149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T36">
    <cfRule type="cellIs" dxfId="120" priority="147" operator="lessThan">
      <formula>0</formula>
    </cfRule>
    <cfRule type="cellIs" dxfId="119" priority="148" operator="greaterThan">
      <formula>0</formula>
    </cfRule>
  </conditionalFormatting>
  <conditionalFormatting sqref="P40">
    <cfRule type="colorScale" priority="146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40">
    <cfRule type="expression" dxfId="118" priority="144">
      <formula>N40&lt;1</formula>
    </cfRule>
    <cfRule type="expression" dxfId="117" priority="145">
      <formula>N40&gt;=2</formula>
    </cfRule>
  </conditionalFormatting>
  <conditionalFormatting sqref="N40">
    <cfRule type="expression" dxfId="116" priority="143">
      <formula>N40&lt;2</formula>
    </cfRule>
  </conditionalFormatting>
  <conditionalFormatting sqref="T39">
    <cfRule type="cellIs" dxfId="115" priority="141" operator="lessThan">
      <formula>0</formula>
    </cfRule>
    <cfRule type="cellIs" dxfId="114" priority="142" operator="greaterThan">
      <formula>0</formula>
    </cfRule>
  </conditionalFormatting>
  <conditionalFormatting sqref="V39">
    <cfRule type="cellIs" dxfId="113" priority="139" operator="lessThan">
      <formula>0</formula>
    </cfRule>
    <cfRule type="cellIs" dxfId="112" priority="140" operator="greaterThan">
      <formula>0</formula>
    </cfRule>
  </conditionalFormatting>
  <conditionalFormatting sqref="V39">
    <cfRule type="cellIs" dxfId="111" priority="138" operator="greaterThan">
      <formula>0</formula>
    </cfRule>
  </conditionalFormatting>
  <conditionalFormatting sqref="P41">
    <cfRule type="colorScale" priority="137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41">
    <cfRule type="expression" dxfId="110" priority="135">
      <formula>N41&lt;1</formula>
    </cfRule>
    <cfRule type="expression" dxfId="109" priority="136">
      <formula>N41&gt;=2</formula>
    </cfRule>
  </conditionalFormatting>
  <conditionalFormatting sqref="N41">
    <cfRule type="expression" dxfId="108" priority="134">
      <formula>N41&lt;2</formula>
    </cfRule>
  </conditionalFormatting>
  <conditionalFormatting sqref="T40">
    <cfRule type="cellIs" dxfId="107" priority="132" operator="lessThan">
      <formula>0</formula>
    </cfRule>
    <cfRule type="cellIs" dxfId="106" priority="133" operator="greaterThan">
      <formula>0</formula>
    </cfRule>
  </conditionalFormatting>
  <conditionalFormatting sqref="V40">
    <cfRule type="cellIs" dxfId="105" priority="130" operator="lessThan">
      <formula>0</formula>
    </cfRule>
    <cfRule type="cellIs" dxfId="104" priority="131" operator="greaterThan">
      <formula>0</formula>
    </cfRule>
  </conditionalFormatting>
  <conditionalFormatting sqref="V40">
    <cfRule type="cellIs" dxfId="103" priority="129" operator="greaterThan">
      <formula>0</formula>
    </cfRule>
  </conditionalFormatting>
  <conditionalFormatting sqref="P42">
    <cfRule type="colorScale" priority="128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42">
    <cfRule type="expression" dxfId="102" priority="126">
      <formula>N42&lt;1</formula>
    </cfRule>
    <cfRule type="expression" dxfId="101" priority="127">
      <formula>N42&gt;=2</formula>
    </cfRule>
  </conditionalFormatting>
  <conditionalFormatting sqref="N42">
    <cfRule type="expression" dxfId="100" priority="125">
      <formula>N42&lt;2</formula>
    </cfRule>
  </conditionalFormatting>
  <conditionalFormatting sqref="T41">
    <cfRule type="cellIs" dxfId="99" priority="123" operator="lessThan">
      <formula>0</formula>
    </cfRule>
    <cfRule type="cellIs" dxfId="98" priority="124" operator="greaterThan">
      <formula>0</formula>
    </cfRule>
  </conditionalFormatting>
  <conditionalFormatting sqref="V41">
    <cfRule type="cellIs" dxfId="97" priority="121" operator="lessThan">
      <formula>0</formula>
    </cfRule>
    <cfRule type="cellIs" dxfId="96" priority="122" operator="greaterThan">
      <formula>0</formula>
    </cfRule>
  </conditionalFormatting>
  <conditionalFormatting sqref="V41">
    <cfRule type="cellIs" dxfId="95" priority="120" operator="greaterThan">
      <formula>0</formula>
    </cfRule>
  </conditionalFormatting>
  <conditionalFormatting sqref="P43">
    <cfRule type="colorScale" priority="119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43">
    <cfRule type="expression" dxfId="94" priority="117">
      <formula>N43&lt;1</formula>
    </cfRule>
    <cfRule type="expression" dxfId="93" priority="118">
      <formula>N43&gt;=2</formula>
    </cfRule>
  </conditionalFormatting>
  <conditionalFormatting sqref="N43">
    <cfRule type="expression" dxfId="92" priority="116">
      <formula>N43&lt;2</formula>
    </cfRule>
  </conditionalFormatting>
  <conditionalFormatting sqref="T42">
    <cfRule type="cellIs" dxfId="91" priority="114" operator="lessThan">
      <formula>0</formula>
    </cfRule>
    <cfRule type="cellIs" dxfId="90" priority="115" operator="greaterThan">
      <formula>0</formula>
    </cfRule>
  </conditionalFormatting>
  <conditionalFormatting sqref="V42">
    <cfRule type="cellIs" dxfId="89" priority="112" operator="lessThan">
      <formula>0</formula>
    </cfRule>
    <cfRule type="cellIs" dxfId="88" priority="113" operator="greaterThan">
      <formula>0</formula>
    </cfRule>
  </conditionalFormatting>
  <conditionalFormatting sqref="V42">
    <cfRule type="cellIs" dxfId="87" priority="111" operator="greaterThan">
      <formula>0</formula>
    </cfRule>
  </conditionalFormatting>
  <conditionalFormatting sqref="T43">
    <cfRule type="cellIs" dxfId="86" priority="109" operator="lessThan">
      <formula>0</formula>
    </cfRule>
    <cfRule type="cellIs" dxfId="85" priority="110" operator="greaterThan">
      <formula>0</formula>
    </cfRule>
  </conditionalFormatting>
  <conditionalFormatting sqref="V43">
    <cfRule type="cellIs" dxfId="84" priority="107" operator="lessThan">
      <formula>0</formula>
    </cfRule>
    <cfRule type="cellIs" dxfId="83" priority="108" operator="greaterThan">
      <formula>0</formula>
    </cfRule>
  </conditionalFormatting>
  <conditionalFormatting sqref="V43">
    <cfRule type="cellIs" dxfId="82" priority="106" operator="greaterThan">
      <formula>0</formula>
    </cfRule>
  </conditionalFormatting>
  <conditionalFormatting sqref="P44">
    <cfRule type="colorScale" priority="105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44">
    <cfRule type="expression" dxfId="81" priority="103">
      <formula>N44&lt;1</formula>
    </cfRule>
    <cfRule type="expression" dxfId="80" priority="104">
      <formula>N44&gt;=2</formula>
    </cfRule>
  </conditionalFormatting>
  <conditionalFormatting sqref="N44">
    <cfRule type="expression" dxfId="79" priority="102">
      <formula>N44&lt;2</formula>
    </cfRule>
  </conditionalFormatting>
  <conditionalFormatting sqref="T44">
    <cfRule type="cellIs" dxfId="78" priority="100" operator="lessThan">
      <formula>0</formula>
    </cfRule>
    <cfRule type="cellIs" dxfId="77" priority="101" operator="greaterThan">
      <formula>0</formula>
    </cfRule>
  </conditionalFormatting>
  <conditionalFormatting sqref="V44">
    <cfRule type="cellIs" dxfId="76" priority="98" operator="lessThan">
      <formula>0</formula>
    </cfRule>
    <cfRule type="cellIs" dxfId="75" priority="99" operator="greaterThan">
      <formula>0</formula>
    </cfRule>
  </conditionalFormatting>
  <conditionalFormatting sqref="V44">
    <cfRule type="cellIs" dxfId="74" priority="97" operator="greaterThan">
      <formula>0</formula>
    </cfRule>
  </conditionalFormatting>
  <conditionalFormatting sqref="P45">
    <cfRule type="colorScale" priority="96">
      <colorScale>
        <cfvo type="num" val="7.0000000000000007E-2"/>
        <cfvo type="num" val="0.11"/>
        <cfvo type="num" val="0.18"/>
        <color rgb="FFFF0000"/>
        <color rgb="FF00B050"/>
        <color rgb="FFFF0000"/>
      </colorScale>
    </cfRule>
  </conditionalFormatting>
  <conditionalFormatting sqref="T45">
    <cfRule type="cellIs" dxfId="73" priority="94" operator="lessThan">
      <formula>0</formula>
    </cfRule>
    <cfRule type="cellIs" dxfId="72" priority="95" operator="greaterThan">
      <formula>0</formula>
    </cfRule>
  </conditionalFormatting>
  <conditionalFormatting sqref="V45">
    <cfRule type="cellIs" dxfId="71" priority="92" operator="lessThan">
      <formula>0</formula>
    </cfRule>
    <cfRule type="cellIs" dxfId="70" priority="93" operator="greaterThan">
      <formula>0</formula>
    </cfRule>
  </conditionalFormatting>
  <conditionalFormatting sqref="V45">
    <cfRule type="cellIs" dxfId="69" priority="91" operator="greaterThan">
      <formula>0</formula>
    </cfRule>
  </conditionalFormatting>
  <conditionalFormatting sqref="N47:N52">
    <cfRule type="expression" dxfId="68" priority="89">
      <formula>N47&lt;1</formula>
    </cfRule>
    <cfRule type="expression" dxfId="67" priority="90">
      <formula>N47&gt;=2</formula>
    </cfRule>
  </conditionalFormatting>
  <conditionalFormatting sqref="N47:N52">
    <cfRule type="expression" dxfId="66" priority="88">
      <formula>N47&lt;2</formula>
    </cfRule>
  </conditionalFormatting>
  <conditionalFormatting sqref="P53">
    <cfRule type="colorScale" priority="87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53">
    <cfRule type="expression" dxfId="65" priority="85">
      <formula>N53&lt;1</formula>
    </cfRule>
    <cfRule type="expression" dxfId="64" priority="86">
      <formula>N53&gt;=2</formula>
    </cfRule>
  </conditionalFormatting>
  <conditionalFormatting sqref="N53">
    <cfRule type="expression" dxfId="63" priority="84">
      <formula>N53&lt;2</formula>
    </cfRule>
  </conditionalFormatting>
  <conditionalFormatting sqref="P54">
    <cfRule type="colorScale" priority="83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T54 V54">
    <cfRule type="cellIs" dxfId="62" priority="81" operator="lessThan">
      <formula>0</formula>
    </cfRule>
    <cfRule type="cellIs" dxfId="61" priority="82" operator="greaterThan">
      <formula>0</formula>
    </cfRule>
  </conditionalFormatting>
  <conditionalFormatting sqref="V54">
    <cfRule type="cellIs" dxfId="60" priority="80" operator="greaterThan">
      <formula>0</formula>
    </cfRule>
  </conditionalFormatting>
  <conditionalFormatting sqref="P55">
    <cfRule type="colorScale" priority="79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N55">
    <cfRule type="expression" dxfId="59" priority="77">
      <formula>N55&lt;1</formula>
    </cfRule>
    <cfRule type="expression" dxfId="58" priority="78">
      <formula>N55&gt;=2</formula>
    </cfRule>
  </conditionalFormatting>
  <conditionalFormatting sqref="N55">
    <cfRule type="expression" dxfId="57" priority="76">
      <formula>N55&lt;2</formula>
    </cfRule>
  </conditionalFormatting>
  <conditionalFormatting sqref="V55">
    <cfRule type="cellIs" dxfId="56" priority="74" operator="lessThan">
      <formula>0</formula>
    </cfRule>
    <cfRule type="cellIs" dxfId="55" priority="75" operator="greaterThan">
      <formula>0</formula>
    </cfRule>
  </conditionalFormatting>
  <conditionalFormatting sqref="V55">
    <cfRule type="cellIs" dxfId="54" priority="73" operator="greaterThan">
      <formula>0</formula>
    </cfRule>
  </conditionalFormatting>
  <conditionalFormatting sqref="T55">
    <cfRule type="cellIs" dxfId="53" priority="71" operator="lessThan">
      <formula>0</formula>
    </cfRule>
    <cfRule type="cellIs" dxfId="52" priority="72" operator="greaterThan">
      <formula>0</formula>
    </cfRule>
  </conditionalFormatting>
  <conditionalFormatting sqref="P56">
    <cfRule type="colorScale" priority="70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57:P58">
    <cfRule type="colorScale" priority="69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56:V58">
    <cfRule type="cellIs" dxfId="51" priority="67" operator="lessThan">
      <formula>0</formula>
    </cfRule>
    <cfRule type="cellIs" dxfId="50" priority="68" operator="greaterThan">
      <formula>0</formula>
    </cfRule>
  </conditionalFormatting>
  <conditionalFormatting sqref="V56:V58">
    <cfRule type="cellIs" dxfId="49" priority="66" operator="greaterThan">
      <formula>0</formula>
    </cfRule>
  </conditionalFormatting>
  <conditionalFormatting sqref="T56:T58">
    <cfRule type="cellIs" dxfId="48" priority="64" operator="lessThan">
      <formula>0</formula>
    </cfRule>
    <cfRule type="cellIs" dxfId="47" priority="65" operator="greaterThan">
      <formula>0</formula>
    </cfRule>
  </conditionalFormatting>
  <conditionalFormatting sqref="P59:P60">
    <cfRule type="colorScale" priority="63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59:V64">
    <cfRule type="cellIs" dxfId="46" priority="61" operator="lessThan">
      <formula>0</formula>
    </cfRule>
    <cfRule type="cellIs" dxfId="45" priority="62" operator="greaterThan">
      <formula>0</formula>
    </cfRule>
  </conditionalFormatting>
  <conditionalFormatting sqref="V59:V64">
    <cfRule type="cellIs" dxfId="44" priority="60" operator="greaterThan">
      <formula>0</formula>
    </cfRule>
  </conditionalFormatting>
  <conditionalFormatting sqref="T59">
    <cfRule type="cellIs" dxfId="43" priority="58" operator="lessThan">
      <formula>0</formula>
    </cfRule>
    <cfRule type="cellIs" dxfId="42" priority="59" operator="greaterThan">
      <formula>0</formula>
    </cfRule>
  </conditionalFormatting>
  <conditionalFormatting sqref="P61">
    <cfRule type="colorScale" priority="57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T60">
    <cfRule type="cellIs" dxfId="41" priority="55" operator="lessThan">
      <formula>0</formula>
    </cfRule>
    <cfRule type="cellIs" dxfId="40" priority="56" operator="greaterThan">
      <formula>0</formula>
    </cfRule>
  </conditionalFormatting>
  <conditionalFormatting sqref="T61:T62">
    <cfRule type="cellIs" dxfId="39" priority="53" operator="lessThan">
      <formula>0</formula>
    </cfRule>
    <cfRule type="cellIs" dxfId="38" priority="54" operator="greaterThan">
      <formula>0</formula>
    </cfRule>
  </conditionalFormatting>
  <conditionalFormatting sqref="P62">
    <cfRule type="colorScale" priority="52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63">
    <cfRule type="colorScale" priority="51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T63">
    <cfRule type="cellIs" dxfId="37" priority="49" operator="lessThan">
      <formula>0</formula>
    </cfRule>
    <cfRule type="cellIs" dxfId="36" priority="50" operator="greaterThan">
      <formula>0</formula>
    </cfRule>
  </conditionalFormatting>
  <conditionalFormatting sqref="P64">
    <cfRule type="colorScale" priority="48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T64">
    <cfRule type="cellIs" dxfId="35" priority="46" operator="lessThan">
      <formula>0</formula>
    </cfRule>
    <cfRule type="cellIs" dxfId="34" priority="47" operator="greaterThan">
      <formula>0</formula>
    </cfRule>
  </conditionalFormatting>
  <conditionalFormatting sqref="P65">
    <cfRule type="colorScale" priority="45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65">
    <cfRule type="cellIs" dxfId="33" priority="43" operator="lessThan">
      <formula>0</formula>
    </cfRule>
    <cfRule type="cellIs" dxfId="32" priority="44" operator="greaterThan">
      <formula>0</formula>
    </cfRule>
  </conditionalFormatting>
  <conditionalFormatting sqref="V65">
    <cfRule type="cellIs" dxfId="31" priority="42" operator="greaterThan">
      <formula>0</formula>
    </cfRule>
  </conditionalFormatting>
  <conditionalFormatting sqref="T65">
    <cfRule type="cellIs" dxfId="30" priority="40" operator="lessThan">
      <formula>0</formula>
    </cfRule>
    <cfRule type="cellIs" dxfId="29" priority="41" operator="greaterThan">
      <formula>0</formula>
    </cfRule>
  </conditionalFormatting>
  <conditionalFormatting sqref="P66:P67">
    <cfRule type="colorScale" priority="39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66:V67">
    <cfRule type="cellIs" dxfId="28" priority="37" operator="lessThan">
      <formula>0</formula>
    </cfRule>
    <cfRule type="cellIs" dxfId="27" priority="38" operator="greaterThan">
      <formula>0</formula>
    </cfRule>
  </conditionalFormatting>
  <conditionalFormatting sqref="V66:V67">
    <cfRule type="cellIs" dxfId="26" priority="36" operator="greaterThan">
      <formula>0</formula>
    </cfRule>
  </conditionalFormatting>
  <conditionalFormatting sqref="T66:T67">
    <cfRule type="cellIs" dxfId="25" priority="34" operator="lessThan">
      <formula>0</formula>
    </cfRule>
    <cfRule type="cellIs" dxfId="24" priority="35" operator="greaterThan">
      <formula>0</formula>
    </cfRule>
  </conditionalFormatting>
  <conditionalFormatting sqref="P68">
    <cfRule type="colorScale" priority="33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68:V75">
    <cfRule type="cellIs" dxfId="23" priority="31" operator="lessThan">
      <formula>0</formula>
    </cfRule>
    <cfRule type="cellIs" dxfId="22" priority="32" operator="greaterThan">
      <formula>0</formula>
    </cfRule>
  </conditionalFormatting>
  <conditionalFormatting sqref="V68:V75">
    <cfRule type="cellIs" dxfId="21" priority="30" operator="greaterThan">
      <formula>0</formula>
    </cfRule>
  </conditionalFormatting>
  <conditionalFormatting sqref="T68:T75">
    <cfRule type="cellIs" dxfId="20" priority="28" operator="lessThan">
      <formula>0</formula>
    </cfRule>
    <cfRule type="cellIs" dxfId="19" priority="29" operator="greaterThan">
      <formula>0</formula>
    </cfRule>
  </conditionalFormatting>
  <conditionalFormatting sqref="P69">
    <cfRule type="colorScale" priority="27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70">
    <cfRule type="colorScale" priority="26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71:P75">
    <cfRule type="colorScale" priority="25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76:P77">
    <cfRule type="colorScale" priority="24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76:V79">
    <cfRule type="cellIs" dxfId="18" priority="22" operator="lessThan">
      <formula>0</formula>
    </cfRule>
    <cfRule type="cellIs" dxfId="17" priority="23" operator="greaterThan">
      <formula>0</formula>
    </cfRule>
  </conditionalFormatting>
  <conditionalFormatting sqref="V76:V79">
    <cfRule type="cellIs" dxfId="16" priority="21" operator="greaterThan">
      <formula>0</formula>
    </cfRule>
  </conditionalFormatting>
  <conditionalFormatting sqref="T76:T79">
    <cfRule type="cellIs" dxfId="15" priority="19" operator="lessThan">
      <formula>0</formula>
    </cfRule>
    <cfRule type="cellIs" dxfId="14" priority="20" operator="greaterThan">
      <formula>0</formula>
    </cfRule>
  </conditionalFormatting>
  <conditionalFormatting sqref="P78:P79">
    <cfRule type="colorScale" priority="18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85">
    <cfRule type="colorScale" priority="17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P86:P88">
    <cfRule type="colorScale" priority="16">
      <colorScale>
        <cfvo type="num" val="7.0000000000000007E-2"/>
        <cfvo type="num" val="0.12"/>
        <cfvo type="num" val="0.18"/>
        <color rgb="FFFF0000"/>
        <color rgb="FF00B050"/>
        <color rgb="FFFF0000"/>
      </colorScale>
    </cfRule>
  </conditionalFormatting>
  <conditionalFormatting sqref="V86:V92">
    <cfRule type="cellIs" dxfId="13" priority="14" operator="lessThan">
      <formula>0</formula>
    </cfRule>
    <cfRule type="cellIs" dxfId="12" priority="15" operator="greaterThan">
      <formula>0</formula>
    </cfRule>
  </conditionalFormatting>
  <conditionalFormatting sqref="V86:V92">
    <cfRule type="cellIs" dxfId="11" priority="13" operator="greaterThan">
      <formula>0</formula>
    </cfRule>
  </conditionalFormatting>
  <conditionalFormatting sqref="T86:T92">
    <cfRule type="cellIs" dxfId="10" priority="11" operator="lessThan">
      <formula>0</formula>
    </cfRule>
    <cfRule type="cellIs" dxfId="9" priority="12" operator="greaterThan">
      <formula>0</formula>
    </cfRule>
  </conditionalFormatting>
  <conditionalFormatting sqref="N86:N89">
    <cfRule type="expression" dxfId="8" priority="9">
      <formula>N86&lt;1</formula>
    </cfRule>
    <cfRule type="expression" dxfId="7" priority="10">
      <formula>N86&gt;=2</formula>
    </cfRule>
  </conditionalFormatting>
  <conditionalFormatting sqref="N86:N89">
    <cfRule type="expression" dxfId="6" priority="8">
      <formula>N86&lt;2</formula>
    </cfRule>
  </conditionalFormatting>
  <conditionalFormatting sqref="N85">
    <cfRule type="expression" dxfId="5" priority="6">
      <formula>N85&lt;1</formula>
    </cfRule>
    <cfRule type="expression" dxfId="4" priority="7">
      <formula>N85&gt;=2</formula>
    </cfRule>
  </conditionalFormatting>
  <conditionalFormatting sqref="N85">
    <cfRule type="expression" dxfId="3" priority="5">
      <formula>N85&lt;2</formula>
    </cfRule>
  </conditionalFormatting>
  <conditionalFormatting sqref="N83">
    <cfRule type="expression" dxfId="2" priority="3">
      <formula>N83&lt;1</formula>
    </cfRule>
    <cfRule type="expression" dxfId="1" priority="4">
      <formula>N83&gt;=2</formula>
    </cfRule>
  </conditionalFormatting>
  <conditionalFormatting sqref="N83">
    <cfRule type="expression" dxfId="0" priority="2">
      <formula>N83&lt;2</formula>
    </cfRule>
  </conditionalFormatting>
  <conditionalFormatting sqref="P29:P96">
    <cfRule type="colorScale" priority="1">
      <colorScale>
        <cfvo type="num" val="0.06"/>
        <cfvo type="num" val="0.1"/>
        <cfvo type="num" val="0.15"/>
        <color rgb="FFFF0000"/>
        <color rgb="FF00B050"/>
        <color rgb="FFFF0000"/>
      </colorScale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 (6)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Enriquez, Daniel (AS)</dc:creator>
  <cp:lastModifiedBy>Enriquez, Daniel (AS)</cp:lastModifiedBy>
  <dcterms:created xsi:type="dcterms:W3CDTF">2020-08-04T16:57:53Z</dcterms:created>
  <dcterms:modified xsi:type="dcterms:W3CDTF">2020-08-04T17:02:17Z</dcterms:modified>
</cp:coreProperties>
</file>