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STATS - PROBABILITY DISTRIBUTIONS/GITHUB/VBA-PROBABILITY-DISTRIBUTIONS/examples/"/>
    </mc:Choice>
  </mc:AlternateContent>
  <xr:revisionPtr revIDLastSave="0" documentId="8_{6E3A8C73-4DE0-4A11-AC46-C37AC3952064}" xr6:coauthVersionLast="47" xr6:coauthVersionMax="47" xr10:uidLastSave="{00000000-0000-0000-0000-000000000000}"/>
  <bookViews>
    <workbookView xWindow="-120" yWindow="-120" windowWidth="29040" windowHeight="17520" activeTab="4" xr2:uid="{94417426-D71D-4BE8-ADE2-C2E0A6928025}"/>
  </bookViews>
  <sheets>
    <sheet name="HOME" sheetId="16" r:id="rId1"/>
    <sheet name="SETUP" sheetId="17" r:id="rId2"/>
    <sheet name="NORMAL" sheetId="2" r:id="rId3"/>
    <sheet name="LOGNORMAL" sheetId="18" r:id="rId4"/>
    <sheet name="BENCHMARK_NORMALFAMILY" sheetId="22" r:id="rId5"/>
  </sheets>
  <functionGroups builtInGroupCount="19"/>
  <definedNames>
    <definedName name="_xlnm._FilterDatabase" localSheetId="4" hidden="1">BENCHMARK_NORMALFAMILY!$E$4:$X$55</definedName>
    <definedName name="_xleta.IF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1" i="18" l="1" a="1"/>
  <c r="I31" i="18" s="1"/>
  <c r="F31" i="18" a="1"/>
  <c r="F31" i="18" s="1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8" i="22"/>
  <c r="N7" i="22"/>
  <c r="N6" i="22"/>
  <c r="N5" i="22"/>
  <c r="E5" i="22" a="1"/>
  <c r="E5" i="22" s="1"/>
  <c r="N8" i="2"/>
  <c r="N13" i="18"/>
  <c r="N12" i="18"/>
  <c r="N10" i="18"/>
  <c r="N11" i="18" s="1"/>
  <c r="N9" i="18"/>
  <c r="N8" i="18"/>
  <c r="N7" i="18"/>
  <c r="N6" i="18"/>
  <c r="I119" i="18"/>
  <c r="I118" i="18"/>
  <c r="L118" i="18" s="1"/>
  <c r="I117" i="18"/>
  <c r="I116" i="18"/>
  <c r="L116" i="18" s="1"/>
  <c r="I115" i="18"/>
  <c r="L115" i="18" s="1"/>
  <c r="H113" i="18"/>
  <c r="I118" i="2"/>
  <c r="H113" i="2"/>
  <c r="J12" i="2"/>
  <c r="I116" i="2"/>
  <c r="L116" i="2" s="1"/>
  <c r="I117" i="2"/>
  <c r="L117" i="2" s="1"/>
  <c r="I119" i="2"/>
  <c r="L119" i="2" s="1"/>
  <c r="I115" i="2"/>
  <c r="F12" i="2"/>
  <c r="F10" i="2" s="1"/>
  <c r="F11" i="2"/>
  <c r="F9" i="2" s="1"/>
  <c r="J81" i="18" a="1"/>
  <c r="J70" i="18" a="1"/>
  <c r="J40" i="18" a="1"/>
  <c r="J111" i="18" a="1"/>
  <c r="J92" i="18" a="1"/>
  <c r="J87" i="18" a="1"/>
  <c r="G40" i="18" a="1"/>
  <c r="G55" i="18" a="1"/>
  <c r="G70" i="18" a="1"/>
  <c r="G92" i="18" a="1"/>
  <c r="G72" i="18" a="1"/>
  <c r="O36" i="22" a="1"/>
  <c r="O39" i="22" a="1"/>
  <c r="O51" i="22" a="1"/>
  <c r="O7" i="22" a="1"/>
  <c r="J118" i="2" a="1"/>
  <c r="J119" i="2" a="1"/>
  <c r="M116" i="2" a="1"/>
  <c r="M6" i="2" a="1"/>
  <c r="M118" i="2" a="1"/>
  <c r="J37" i="18" a="1"/>
  <c r="O30" i="22" a="1"/>
  <c r="J117" i="18" a="1"/>
  <c r="J57" i="18" a="1"/>
  <c r="J56" i="18" a="1"/>
  <c r="J51" i="18" a="1"/>
  <c r="J31" i="18" a="1"/>
  <c r="G46" i="18" a="1"/>
  <c r="G76" i="18" a="1"/>
  <c r="G94" i="18" a="1"/>
  <c r="G100" i="18" a="1"/>
  <c r="O15" i="22" a="1"/>
  <c r="O12" i="22" a="1"/>
  <c r="M7" i="18" a="1"/>
  <c r="J109" i="18" a="1"/>
  <c r="J68" i="18" a="1"/>
  <c r="J63" i="18" a="1"/>
  <c r="G53" i="18" a="1"/>
  <c r="G98" i="18" a="1"/>
  <c r="G45" i="18" a="1"/>
  <c r="O8" i="22" a="1"/>
  <c r="O5" i="22" a="1"/>
  <c r="J119" i="18" a="1"/>
  <c r="J75" i="18" a="1"/>
  <c r="J99" i="18" a="1"/>
  <c r="J82" i="18" a="1"/>
  <c r="J77" i="18" a="1"/>
  <c r="J79" i="18" a="1"/>
  <c r="G60" i="18" a="1"/>
  <c r="G90" i="18" a="1"/>
  <c r="G38" i="18" a="1"/>
  <c r="G106" i="18" a="1"/>
  <c r="O20" i="22" a="1"/>
  <c r="O47" i="22" a="1"/>
  <c r="O38" i="22" a="1"/>
  <c r="J84" i="18" a="1"/>
  <c r="G67" i="18" a="1"/>
  <c r="G97" i="18" a="1"/>
  <c r="G79" i="18" a="1"/>
  <c r="O6" i="22" a="1"/>
  <c r="J32" i="18" a="1"/>
  <c r="J110" i="18" a="1"/>
  <c r="J91" i="18" a="1"/>
  <c r="G104" i="18" a="1"/>
  <c r="G87" i="18" a="1"/>
  <c r="O33" i="22" a="1"/>
  <c r="M118" i="18" a="1"/>
  <c r="J83" i="18" a="1"/>
  <c r="J64" i="18" a="1"/>
  <c r="P16" i="17" a="1"/>
  <c r="J101" i="18" a="1"/>
  <c r="G109" i="18" a="1"/>
  <c r="G56" i="18" a="1"/>
  <c r="G78" i="18" a="1"/>
  <c r="G86" i="18" a="1"/>
  <c r="O50" i="22" a="1"/>
  <c r="O21" i="22" a="1"/>
  <c r="M116" i="18" a="1"/>
  <c r="J115" i="2" a="1"/>
  <c r="J74" i="18" a="1"/>
  <c r="J97" i="18" a="1"/>
  <c r="J85" i="18" a="1"/>
  <c r="G33" i="18" a="1"/>
  <c r="G63" i="18" a="1"/>
  <c r="G85" i="18" a="1"/>
  <c r="G107" i="18" a="1"/>
  <c r="O43" i="22" a="1"/>
  <c r="O53" i="22"/>
  <c r="J117" i="2" a="1"/>
  <c r="J88" i="18" a="1"/>
  <c r="J98" i="18" a="1"/>
  <c r="J47" i="18" a="1"/>
  <c r="J35" i="18" a="1"/>
  <c r="J106" i="18" a="1"/>
  <c r="J94" i="18" a="1"/>
  <c r="G32" i="18" a="1"/>
  <c r="G47" i="18" a="1"/>
  <c r="G62" i="18" a="1"/>
  <c r="G77" i="18" a="1"/>
  <c r="G99" i="18" a="1"/>
  <c r="G52" i="18" a="1"/>
  <c r="O29" i="22" a="1"/>
  <c r="O32" i="22" a="1"/>
  <c r="O37" i="22" a="1"/>
  <c r="O26" i="22" a="1"/>
  <c r="M6" i="18" a="1"/>
  <c r="G69" i="18" a="1"/>
  <c r="O22" i="22" a="1"/>
  <c r="O19" i="22" a="1"/>
  <c r="O6" i="2" a="1"/>
  <c r="J102" i="18" a="1"/>
  <c r="G61" i="18" a="1"/>
  <c r="O18" i="22" a="1"/>
  <c r="P15" i="17" a="1"/>
  <c r="J65" i="18" a="1"/>
  <c r="G68" i="18" a="1"/>
  <c r="G58" i="18" a="1"/>
  <c r="O9" i="22" a="1"/>
  <c r="M115" i="18" a="1"/>
  <c r="G75" i="18" a="1"/>
  <c r="O44" i="22" a="1"/>
  <c r="J44" i="18" a="1"/>
  <c r="J93" i="18" a="1"/>
  <c r="G82" i="18" a="1"/>
  <c r="G66" i="18" a="1"/>
  <c r="O23" i="22" a="1"/>
  <c r="P14" i="17" a="1"/>
  <c r="J58" i="18" a="1"/>
  <c r="G74" i="18" a="1"/>
  <c r="G43" i="18" a="1"/>
  <c r="G59" i="18" a="1"/>
  <c r="O52" i="22"/>
  <c r="O17" i="22" a="1"/>
  <c r="G41" i="18" a="1"/>
  <c r="O13" i="22" a="1"/>
  <c r="J80" i="18" a="1"/>
  <c r="M11" i="18" a="1"/>
  <c r="J95" i="18" a="1"/>
  <c r="J43" i="18" a="1"/>
  <c r="J54" i="18" a="1"/>
  <c r="J49" i="18" a="1"/>
  <c r="J108" i="18" a="1"/>
  <c r="G39" i="18" a="1"/>
  <c r="G54" i="18" a="1"/>
  <c r="G84" i="18" a="1"/>
  <c r="G73" i="18" a="1"/>
  <c r="G37" i="18" a="1"/>
  <c r="O25" i="22" a="1"/>
  <c r="M12" i="18"/>
  <c r="J61" i="18" a="1"/>
  <c r="G91" i="18" a="1"/>
  <c r="O16" i="22" a="1"/>
  <c r="J78" i="18" a="1"/>
  <c r="G83" i="18" a="1"/>
  <c r="O11" i="22" a="1"/>
  <c r="M119" i="2" a="1"/>
  <c r="G105" i="18" a="1"/>
  <c r="M115" i="2" a="1"/>
  <c r="J89" i="18" a="1"/>
  <c r="G36" i="18" a="1"/>
  <c r="O10" i="22" a="1"/>
  <c r="M8" i="18" a="1"/>
  <c r="J103" i="18" a="1"/>
  <c r="G89" i="18" a="1"/>
  <c r="O54" i="22"/>
  <c r="G102" i="18" a="1"/>
  <c r="G71" i="18" a="1"/>
  <c r="G65" i="18" a="1"/>
  <c r="O27" i="22" a="1"/>
  <c r="M117" i="18" a="1"/>
  <c r="M13" i="18"/>
  <c r="G48" i="18" a="1"/>
  <c r="O14" i="22" a="1"/>
  <c r="J96" i="18" a="1"/>
  <c r="O40" i="22" a="1"/>
  <c r="J100" i="18" a="1"/>
  <c r="J73" i="18" a="1"/>
  <c r="G49" i="18" a="1"/>
  <c r="O28" i="22" a="1"/>
  <c r="J67" i="18" a="1"/>
  <c r="J71" i="18" a="1"/>
  <c r="J42" i="18" a="1"/>
  <c r="J39" i="18" a="1"/>
  <c r="J34" i="18" a="1"/>
  <c r="J72" i="18" a="1"/>
  <c r="J41" i="18" a="1"/>
  <c r="J105" i="18" a="1"/>
  <c r="J107" i="18" a="1"/>
  <c r="G81" i="18" a="1"/>
  <c r="G96" i="18" a="1"/>
  <c r="G111" i="18" a="1"/>
  <c r="G50" i="18" a="1"/>
  <c r="G80" i="18" a="1"/>
  <c r="G51" i="18" a="1"/>
  <c r="O34" i="22" a="1"/>
  <c r="O45" i="22" a="1"/>
  <c r="O49" i="22" a="1"/>
  <c r="M9" i="18" a="1"/>
  <c r="F5" i="17" a="1"/>
  <c r="J46" i="18" a="1"/>
  <c r="J48" i="18" a="1"/>
  <c r="J86" i="18" a="1"/>
  <c r="J55" i="18" a="1"/>
  <c r="J36" i="18" a="1"/>
  <c r="J38" i="18" a="1"/>
  <c r="G88" i="18" a="1"/>
  <c r="G103" i="18" a="1"/>
  <c r="G35" i="18" a="1"/>
  <c r="G57" i="18" a="1"/>
  <c r="G44" i="18" a="1"/>
  <c r="G108" i="18" a="1"/>
  <c r="O48" i="22" a="1"/>
  <c r="O31" i="22" a="1"/>
  <c r="O42" i="22" a="1"/>
  <c r="M119" i="18" a="1"/>
  <c r="J116" i="2" a="1"/>
  <c r="M10" i="18" a="1"/>
  <c r="J53" i="18" a="1"/>
  <c r="J62" i="18" a="1"/>
  <c r="J45" i="18" a="1"/>
  <c r="J69" i="18" a="1"/>
  <c r="J50" i="18" a="1"/>
  <c r="J52" i="18" a="1"/>
  <c r="G95" i="18" a="1"/>
  <c r="G110" i="18" a="1"/>
  <c r="G42" i="18" a="1"/>
  <c r="G64" i="18" a="1"/>
  <c r="G101" i="18" a="1"/>
  <c r="G93" i="18" a="1"/>
  <c r="O41" i="22" a="1"/>
  <c r="O24" i="22" a="1"/>
  <c r="O35" i="22" a="1"/>
  <c r="M117" i="2" a="1"/>
  <c r="J118" i="18" a="1"/>
  <c r="J60" i="18" a="1"/>
  <c r="J76" i="18" a="1"/>
  <c r="J59" i="18" a="1"/>
  <c r="G34" i="18" a="1"/>
  <c r="G31" i="18" a="1"/>
  <c r="J115" i="18" a="1"/>
  <c r="J104" i="18" a="1"/>
  <c r="J90" i="18" a="1"/>
  <c r="J66" i="18" a="1"/>
  <c r="O55" i="22"/>
  <c r="J33" i="18" a="1"/>
  <c r="O46" i="22" a="1"/>
  <c r="J116" i="18" a="1"/>
  <c r="J108" i="18" l="1"/>
  <c r="J94" i="18"/>
  <c r="J87" i="18"/>
  <c r="J80" i="18"/>
  <c r="J66" i="18"/>
  <c r="J59" i="18"/>
  <c r="J52" i="18"/>
  <c r="J38" i="18"/>
  <c r="J107" i="18"/>
  <c r="J100" i="18"/>
  <c r="J93" i="18"/>
  <c r="J79" i="18"/>
  <c r="J65" i="18"/>
  <c r="J51" i="18"/>
  <c r="J37" i="18"/>
  <c r="J106" i="18"/>
  <c r="J92" i="18"/>
  <c r="J85" i="18"/>
  <c r="J71" i="18"/>
  <c r="J64" i="18"/>
  <c r="J50" i="18"/>
  <c r="J36" i="18"/>
  <c r="J105" i="18"/>
  <c r="J91" i="18"/>
  <c r="J84" i="18"/>
  <c r="J77" i="18"/>
  <c r="J63" i="18"/>
  <c r="J56" i="18"/>
  <c r="J49" i="18"/>
  <c r="J35" i="18"/>
  <c r="J111" i="18"/>
  <c r="J97" i="18"/>
  <c r="J90" i="18"/>
  <c r="J76" i="18"/>
  <c r="J69" i="18"/>
  <c r="J55" i="18"/>
  <c r="J41" i="18"/>
  <c r="J103" i="18"/>
  <c r="J89" i="18"/>
  <c r="J82" i="18"/>
  <c r="J68" i="18"/>
  <c r="J61" i="18"/>
  <c r="J54" i="18"/>
  <c r="J47" i="18"/>
  <c r="J40" i="18"/>
  <c r="J33" i="18"/>
  <c r="J101" i="18"/>
  <c r="J73" i="18"/>
  <c r="J45" i="18"/>
  <c r="J86" i="18"/>
  <c r="J72" i="18"/>
  <c r="J58" i="18"/>
  <c r="J44" i="18"/>
  <c r="J99" i="18"/>
  <c r="J78" i="18"/>
  <c r="J57" i="18"/>
  <c r="J43" i="18"/>
  <c r="J98" i="18"/>
  <c r="J70" i="18"/>
  <c r="J42" i="18"/>
  <c r="J104" i="18"/>
  <c r="J83" i="18"/>
  <c r="J62" i="18"/>
  <c r="J48" i="18"/>
  <c r="J34" i="18"/>
  <c r="J110" i="18"/>
  <c r="J96" i="18"/>
  <c r="J75" i="18"/>
  <c r="J109" i="18"/>
  <c r="J102" i="18"/>
  <c r="J95" i="18"/>
  <c r="J88" i="18"/>
  <c r="J81" i="18"/>
  <c r="J74" i="18"/>
  <c r="J67" i="18"/>
  <c r="J60" i="18"/>
  <c r="J53" i="18"/>
  <c r="J46" i="18"/>
  <c r="J39" i="18"/>
  <c r="J32" i="18"/>
  <c r="J31" i="18"/>
  <c r="G31" i="18"/>
  <c r="G93" i="18"/>
  <c r="G108" i="18"/>
  <c r="G51" i="18"/>
  <c r="G87" i="18"/>
  <c r="G66" i="18"/>
  <c r="G106" i="18"/>
  <c r="G45" i="18"/>
  <c r="G100" i="18"/>
  <c r="G37" i="18"/>
  <c r="G52" i="18"/>
  <c r="G72" i="18"/>
  <c r="G107" i="18"/>
  <c r="G86" i="18"/>
  <c r="G65" i="18"/>
  <c r="G101" i="18"/>
  <c r="G44" i="18"/>
  <c r="G80" i="18"/>
  <c r="G59" i="18"/>
  <c r="G79" i="18"/>
  <c r="G38" i="18"/>
  <c r="G58" i="18"/>
  <c r="G94" i="18"/>
  <c r="G73" i="18"/>
  <c r="G99" i="18"/>
  <c r="G92" i="18"/>
  <c r="G85" i="18"/>
  <c r="G78" i="18"/>
  <c r="G71" i="18"/>
  <c r="G64" i="18"/>
  <c r="G57" i="18"/>
  <c r="G50" i="18"/>
  <c r="G43" i="18"/>
  <c r="G36" i="18"/>
  <c r="G105" i="18"/>
  <c r="G98" i="18"/>
  <c r="G91" i="18"/>
  <c r="G84" i="18"/>
  <c r="G77" i="18"/>
  <c r="G70" i="18"/>
  <c r="G63" i="18"/>
  <c r="G56" i="18"/>
  <c r="G49" i="18"/>
  <c r="G42" i="18"/>
  <c r="G35" i="18"/>
  <c r="G111" i="18"/>
  <c r="G104" i="18"/>
  <c r="G97" i="18"/>
  <c r="G90" i="18"/>
  <c r="G83" i="18"/>
  <c r="G76" i="18"/>
  <c r="G69" i="18"/>
  <c r="G62" i="18"/>
  <c r="G55" i="18"/>
  <c r="G48" i="18"/>
  <c r="G41" i="18"/>
  <c r="G34" i="18"/>
  <c r="G110" i="18"/>
  <c r="G103" i="18"/>
  <c r="G96" i="18"/>
  <c r="G89" i="18"/>
  <c r="G82" i="18"/>
  <c r="G75" i="18"/>
  <c r="G68" i="18"/>
  <c r="G61" i="18"/>
  <c r="G54" i="18"/>
  <c r="G47" i="18"/>
  <c r="G40" i="18"/>
  <c r="G33" i="18"/>
  <c r="G109" i="18"/>
  <c r="G102" i="18"/>
  <c r="G95" i="18"/>
  <c r="G88" i="18"/>
  <c r="G81" i="18"/>
  <c r="G74" i="18"/>
  <c r="G67" i="18"/>
  <c r="G60" i="18"/>
  <c r="G53" i="18"/>
  <c r="G46" i="18"/>
  <c r="G39" i="18"/>
  <c r="G32" i="18"/>
  <c r="Q13" i="18"/>
  <c r="P13" i="18"/>
  <c r="Q12" i="18"/>
  <c r="P12" i="18"/>
  <c r="O10" i="22"/>
  <c r="O38" i="22"/>
  <c r="O5" i="22"/>
  <c r="O12" i="22"/>
  <c r="O19" i="22"/>
  <c r="O26" i="22"/>
  <c r="O7" i="22"/>
  <c r="O14" i="22"/>
  <c r="O21" i="22"/>
  <c r="O28" i="22"/>
  <c r="O35" i="22"/>
  <c r="O42" i="22"/>
  <c r="O49" i="22"/>
  <c r="O40" i="22"/>
  <c r="O47" i="22"/>
  <c r="O9" i="22"/>
  <c r="O16" i="22"/>
  <c r="O30" i="22"/>
  <c r="O37" i="22"/>
  <c r="O51" i="22"/>
  <c r="T55" i="22"/>
  <c r="O17" i="22"/>
  <c r="O24" i="22"/>
  <c r="O31" i="22"/>
  <c r="O45" i="22"/>
  <c r="O33" i="22"/>
  <c r="O23" i="22"/>
  <c r="O44" i="22"/>
  <c r="O11" i="22"/>
  <c r="O18" i="22"/>
  <c r="O25" i="22"/>
  <c r="O32" i="22"/>
  <c r="O39" i="22"/>
  <c r="O46" i="22"/>
  <c r="O13" i="22"/>
  <c r="O27" i="22"/>
  <c r="O41" i="22"/>
  <c r="O48" i="22"/>
  <c r="O34" i="22"/>
  <c r="O6" i="22"/>
  <c r="O20" i="22"/>
  <c r="O8" i="22"/>
  <c r="O15" i="22"/>
  <c r="O22" i="22"/>
  <c r="O29" i="22"/>
  <c r="O36" i="22"/>
  <c r="O43" i="22"/>
  <c r="O50" i="22"/>
  <c r="M6" i="2"/>
  <c r="O6" i="2"/>
  <c r="M11" i="18"/>
  <c r="M10" i="18"/>
  <c r="M9" i="18"/>
  <c r="M8" i="18"/>
  <c r="M7" i="18"/>
  <c r="M6" i="18"/>
  <c r="M117" i="18"/>
  <c r="J118" i="18"/>
  <c r="K118" i="18" s="1"/>
  <c r="J115" i="18"/>
  <c r="K115" i="18" s="1"/>
  <c r="M116" i="18"/>
  <c r="N116" i="18" s="1"/>
  <c r="M118" i="18"/>
  <c r="N118" i="18" s="1"/>
  <c r="J117" i="18"/>
  <c r="K117" i="18" s="1"/>
  <c r="J119" i="18"/>
  <c r="K119" i="18" s="1"/>
  <c r="M115" i="18"/>
  <c r="N115" i="18" s="1"/>
  <c r="J116" i="18"/>
  <c r="K116" i="18" s="1"/>
  <c r="M119" i="18"/>
  <c r="L117" i="18"/>
  <c r="E31" i="18" a="1"/>
  <c r="L119" i="18"/>
  <c r="M118" i="2"/>
  <c r="J118" i="2"/>
  <c r="K118" i="2" s="1"/>
  <c r="L118" i="2"/>
  <c r="M117" i="2"/>
  <c r="N117" i="2" s="1"/>
  <c r="M116" i="2"/>
  <c r="N116" i="2" s="1"/>
  <c r="M119" i="2"/>
  <c r="N119" i="2" s="1"/>
  <c r="J119" i="2"/>
  <c r="K119" i="2" s="1"/>
  <c r="J117" i="2"/>
  <c r="K117" i="2" s="1"/>
  <c r="J116" i="2"/>
  <c r="K116" i="2" s="1"/>
  <c r="J115" i="2"/>
  <c r="K115" i="2" s="1"/>
  <c r="L115" i="2"/>
  <c r="M115" i="2"/>
  <c r="E31" i="2" a="1"/>
  <c r="F5" i="17"/>
  <c r="P16" i="17"/>
  <c r="P15" i="17"/>
  <c r="P14" i="17"/>
  <c r="N10" i="2"/>
  <c r="N7" i="2"/>
  <c r="N6" i="2"/>
  <c r="N9" i="2"/>
  <c r="O7" i="2" a="1"/>
  <c r="M88" i="18" a="1"/>
  <c r="M35" i="18" a="1"/>
  <c r="M93" i="18" a="1"/>
  <c r="M103" i="18" a="1"/>
  <c r="M84" i="18" a="1"/>
  <c r="M107" i="18" a="1"/>
  <c r="M76" i="18" a="1"/>
  <c r="M36" i="18" a="1"/>
  <c r="M33" i="18" a="1"/>
  <c r="M109" i="18" a="1"/>
  <c r="M99" i="18" a="1"/>
  <c r="M108" i="18" a="1"/>
  <c r="M39" i="18" a="1"/>
  <c r="M81" i="18" a="1"/>
  <c r="M64" i="18" a="1"/>
  <c r="M111" i="18" a="1"/>
  <c r="M74" i="18" a="1"/>
  <c r="M46" i="18" a="1"/>
  <c r="M78" i="18" a="1"/>
  <c r="M101" i="18" a="1"/>
  <c r="M82" i="18" a="1"/>
  <c r="M50" i="18" a="1"/>
  <c r="M58" i="18" a="1"/>
  <c r="M69" i="18" a="1"/>
  <c r="M48" i="18" a="1"/>
  <c r="M51" i="18" a="1"/>
  <c r="M68" i="18" a="1"/>
  <c r="M34" i="18" a="1"/>
  <c r="M63" i="18" a="1"/>
  <c r="M54" i="18" a="1"/>
  <c r="M75" i="18" a="1"/>
  <c r="M42" i="18" a="1"/>
  <c r="M60" i="18" a="1"/>
  <c r="M100" i="18" a="1"/>
  <c r="M45" i="18" a="1"/>
  <c r="M94" i="18" a="1"/>
  <c r="M72" i="18" a="1"/>
  <c r="M57" i="18" a="1"/>
  <c r="M59" i="18" a="1"/>
  <c r="M90" i="18" a="1"/>
  <c r="M73" i="18" a="1"/>
  <c r="M67" i="18" a="1"/>
  <c r="M91" i="18" a="1"/>
  <c r="M104" i="18" a="1"/>
  <c r="M55" i="18" a="1"/>
  <c r="M79" i="18" a="1"/>
  <c r="M102" i="18" a="1"/>
  <c r="M96" i="18" a="1"/>
  <c r="M47" i="18" a="1"/>
  <c r="M86" i="18" a="1"/>
  <c r="M85" i="18" a="1"/>
  <c r="M56" i="18" a="1"/>
  <c r="M87" i="18" a="1"/>
  <c r="M110" i="18" a="1"/>
  <c r="M106" i="18" a="1"/>
  <c r="M105" i="18" a="1"/>
  <c r="M71" i="18" a="1"/>
  <c r="M92" i="18" a="1"/>
  <c r="M53" i="18" a="1"/>
  <c r="M89" i="18" a="1"/>
  <c r="M41" i="18" a="1"/>
  <c r="M70" i="18" a="1"/>
  <c r="M44" i="18" a="1"/>
  <c r="M43" i="18" a="1"/>
  <c r="M49" i="18" a="1"/>
  <c r="M52" i="18" a="1"/>
  <c r="M38" i="18" a="1"/>
  <c r="M32" i="18" a="1"/>
  <c r="M98" i="18" a="1"/>
  <c r="M62" i="18" a="1"/>
  <c r="M40" i="18" a="1"/>
  <c r="M77" i="18" a="1"/>
  <c r="M80" i="18" a="1"/>
  <c r="M95" i="18" a="1"/>
  <c r="M97" i="18" a="1"/>
  <c r="M61" i="18" a="1"/>
  <c r="M83" i="18" a="1"/>
  <c r="M65" i="18" a="1"/>
  <c r="M37" i="18" a="1"/>
  <c r="M66" i="18" a="1"/>
  <c r="Q6" i="18" l="1"/>
  <c r="P6" i="18"/>
  <c r="P7" i="18"/>
  <c r="Q7" i="18"/>
  <c r="P8" i="18"/>
  <c r="Q8" i="18"/>
  <c r="Q9" i="18"/>
  <c r="P9" i="18"/>
  <c r="Q10" i="18"/>
  <c r="P10" i="18"/>
  <c r="Q11" i="18"/>
  <c r="P11" i="18"/>
  <c r="T24" i="22"/>
  <c r="T42" i="22"/>
  <c r="T34" i="22"/>
  <c r="T28" i="22"/>
  <c r="T46" i="22"/>
  <c r="T49" i="22"/>
  <c r="T51" i="22"/>
  <c r="T22" i="22"/>
  <c r="T32" i="22"/>
  <c r="T11" i="22"/>
  <c r="T16" i="22"/>
  <c r="T12" i="22"/>
  <c r="T18" i="22"/>
  <c r="Q6" i="2"/>
  <c r="O7" i="2"/>
  <c r="M107" i="18"/>
  <c r="M100" i="18"/>
  <c r="M93" i="18"/>
  <c r="M86" i="18"/>
  <c r="M79" i="18"/>
  <c r="M72" i="18"/>
  <c r="M65" i="18"/>
  <c r="M58" i="18"/>
  <c r="M51" i="18"/>
  <c r="M44" i="18"/>
  <c r="M37" i="18"/>
  <c r="M84" i="18"/>
  <c r="M75" i="18"/>
  <c r="M66" i="18"/>
  <c r="M60" i="18"/>
  <c r="M52" i="18"/>
  <c r="M41" i="18"/>
  <c r="M33" i="18"/>
  <c r="M63" i="18"/>
  <c r="M104" i="18"/>
  <c r="M95" i="18"/>
  <c r="M57" i="18"/>
  <c r="M49" i="18"/>
  <c r="M46" i="18"/>
  <c r="M38" i="18"/>
  <c r="M110" i="18"/>
  <c r="M101" i="18"/>
  <c r="M109" i="18"/>
  <c r="M59" i="18"/>
  <c r="M48" i="18"/>
  <c r="M40" i="18"/>
  <c r="M105" i="18"/>
  <c r="M74" i="18"/>
  <c r="M47" i="18"/>
  <c r="M39" i="18"/>
  <c r="M91" i="18"/>
  <c r="M87" i="18"/>
  <c r="M54" i="18"/>
  <c r="M35" i="18"/>
  <c r="M70" i="18"/>
  <c r="M50" i="18"/>
  <c r="M99" i="18"/>
  <c r="M82" i="18"/>
  <c r="M78" i="18"/>
  <c r="M108" i="18"/>
  <c r="M103" i="18"/>
  <c r="M94" i="18"/>
  <c r="M90" i="18"/>
  <c r="M61" i="18"/>
  <c r="M53" i="18"/>
  <c r="M42" i="18"/>
  <c r="M34" i="18"/>
  <c r="M98" i="18"/>
  <c r="M73" i="18"/>
  <c r="M69" i="18"/>
  <c r="M80" i="18"/>
  <c r="M92" i="18"/>
  <c r="M67" i="18"/>
  <c r="M71" i="18"/>
  <c r="M32" i="18"/>
  <c r="M55" i="18"/>
  <c r="M36" i="18"/>
  <c r="M96" i="18"/>
  <c r="M62" i="18"/>
  <c r="M43" i="18"/>
  <c r="M85" i="18"/>
  <c r="M81" i="18"/>
  <c r="M77" i="18"/>
  <c r="M45" i="18"/>
  <c r="M102" i="18"/>
  <c r="M97" i="18"/>
  <c r="M89" i="18"/>
  <c r="M64" i="18"/>
  <c r="M106" i="18"/>
  <c r="M76" i="18"/>
  <c r="M68" i="18"/>
  <c r="M56" i="18"/>
  <c r="M111" i="18"/>
  <c r="M88" i="18"/>
  <c r="M83" i="18"/>
  <c r="N119" i="18"/>
  <c r="N117" i="18"/>
  <c r="E31" i="18"/>
  <c r="N118" i="2"/>
  <c r="N115" i="2"/>
  <c r="E31" i="2"/>
  <c r="F31" i="2" s="1" a="1"/>
  <c r="F31" i="2" s="1"/>
  <c r="Q68" i="18" a="1"/>
  <c r="M31" i="18" a="1"/>
  <c r="G76" i="2"/>
  <c r="J41" i="2"/>
  <c r="Q80" i="18" a="1"/>
  <c r="M53" i="2" a="1"/>
  <c r="G107" i="2"/>
  <c r="Q61" i="18" a="1"/>
  <c r="J76" i="2"/>
  <c r="G64" i="2"/>
  <c r="Q51" i="18" a="1"/>
  <c r="G105" i="2"/>
  <c r="G35" i="2"/>
  <c r="Q32" i="18" a="1"/>
  <c r="M56" i="2" a="1"/>
  <c r="G39" i="2"/>
  <c r="Q49" i="18" a="1"/>
  <c r="M77" i="2" a="1"/>
  <c r="J74" i="2"/>
  <c r="G73" i="2"/>
  <c r="G72" i="2"/>
  <c r="J102" i="2"/>
  <c r="J64" i="2"/>
  <c r="G43" i="2"/>
  <c r="J48" i="2"/>
  <c r="Q54" i="18" a="1"/>
  <c r="G106" i="2"/>
  <c r="G71" i="2"/>
  <c r="J32" i="2"/>
  <c r="Q42" i="18" a="1"/>
  <c r="G110" i="2"/>
  <c r="Q108" i="18" a="1"/>
  <c r="J75" i="2"/>
  <c r="G63" i="2"/>
  <c r="G91" i="2"/>
  <c r="M87" i="2" a="1"/>
  <c r="J70" i="2"/>
  <c r="G31" i="2" a="1"/>
  <c r="Q94" i="18" a="1"/>
  <c r="M45" i="2" a="1"/>
  <c r="M104" i="2" a="1"/>
  <c r="G101" i="2"/>
  <c r="Q73" i="18" a="1"/>
  <c r="J77" i="2"/>
  <c r="M83" i="2" a="1"/>
  <c r="Q96" i="18" a="1"/>
  <c r="J73" i="2"/>
  <c r="M90" i="2" a="1"/>
  <c r="Q95" i="18" a="1"/>
  <c r="G92" i="2"/>
  <c r="Q55" i="18" a="1"/>
  <c r="M61" i="2" a="1"/>
  <c r="G98" i="2"/>
  <c r="J80" i="2"/>
  <c r="M10" i="2" a="1"/>
  <c r="G55" i="2"/>
  <c r="M37" i="2" a="1"/>
  <c r="J86" i="2"/>
  <c r="J69" i="2"/>
  <c r="Q50" i="18" a="1"/>
  <c r="J31" i="2" a="1"/>
  <c r="M68" i="2" a="1"/>
  <c r="G95" i="2"/>
  <c r="Q88" i="18" a="1"/>
  <c r="M74" i="2" a="1"/>
  <c r="J35" i="2"/>
  <c r="Q35" i="18" a="1"/>
  <c r="Q44" i="18" a="1"/>
  <c r="G102" i="2"/>
  <c r="Q40" i="18" a="1"/>
  <c r="Q111" i="18" a="1"/>
  <c r="J106" i="2"/>
  <c r="J99" i="2"/>
  <c r="Q45" i="18" a="1"/>
  <c r="Q48" i="18" a="1"/>
  <c r="Q57" i="18" a="1"/>
  <c r="Q41" i="18" a="1"/>
  <c r="M55" i="2" a="1"/>
  <c r="J60" i="2"/>
  <c r="G87" i="2"/>
  <c r="M70" i="2" a="1"/>
  <c r="G80" i="2"/>
  <c r="J81" i="2"/>
  <c r="M111" i="2" a="1"/>
  <c r="M31" i="2" a="1"/>
  <c r="M57" i="2" a="1"/>
  <c r="G69" i="2"/>
  <c r="J58" i="2"/>
  <c r="G60" i="2"/>
  <c r="G45" i="2"/>
  <c r="M72" i="2" a="1"/>
  <c r="M97" i="2" a="1"/>
  <c r="J88" i="2"/>
  <c r="Q62" i="18" a="1"/>
  <c r="Q39" i="18" a="1"/>
  <c r="J63" i="2"/>
  <c r="J46" i="2"/>
  <c r="M60" i="2" a="1"/>
  <c r="G77" i="2"/>
  <c r="J36" i="2"/>
  <c r="G67" i="2"/>
  <c r="G94" i="2"/>
  <c r="M44" i="2" a="1"/>
  <c r="G50" i="2"/>
  <c r="Q75" i="18" a="1"/>
  <c r="M43" i="2" a="1"/>
  <c r="Q77" i="18" a="1"/>
  <c r="J110" i="2"/>
  <c r="G81" i="2"/>
  <c r="J50" i="2"/>
  <c r="G88" i="2"/>
  <c r="J52" i="2"/>
  <c r="M91" i="2" a="1"/>
  <c r="M82" i="2" a="1"/>
  <c r="J92" i="2"/>
  <c r="G57" i="2"/>
  <c r="Q63" i="18" a="1"/>
  <c r="G86" i="2"/>
  <c r="J79" i="2"/>
  <c r="M78" i="2" a="1"/>
  <c r="M33" i="2" a="1"/>
  <c r="Q84" i="18" a="1"/>
  <c r="Q64" i="18" a="1"/>
  <c r="M80" i="2" a="1"/>
  <c r="M106" i="2" a="1"/>
  <c r="Q52" i="18" a="1"/>
  <c r="J84" i="2"/>
  <c r="M34" i="2" a="1"/>
  <c r="M88" i="2" a="1"/>
  <c r="Q59" i="18" a="1"/>
  <c r="M86" i="2" a="1"/>
  <c r="Q71" i="18" a="1"/>
  <c r="M107" i="2" a="1"/>
  <c r="G61" i="2"/>
  <c r="Q97" i="18" a="1"/>
  <c r="J66" i="2"/>
  <c r="G32" i="2"/>
  <c r="G82" i="2"/>
  <c r="M65" i="2" a="1"/>
  <c r="Q36" i="18" a="1"/>
  <c r="Q58" i="18" a="1"/>
  <c r="Q65" i="18" a="1"/>
  <c r="M9" i="2" a="1"/>
  <c r="G49" i="2"/>
  <c r="J67" i="2"/>
  <c r="Q74" i="18" a="1"/>
  <c r="J107" i="2"/>
  <c r="Q83" i="18" a="1"/>
  <c r="G38" i="2"/>
  <c r="G79" i="2"/>
  <c r="J95" i="2"/>
  <c r="J34" i="2"/>
  <c r="M7" i="2" a="1"/>
  <c r="Q43" i="18" a="1"/>
  <c r="Q103" i="18" a="1"/>
  <c r="M81" i="2" a="1"/>
  <c r="J71" i="2"/>
  <c r="J89" i="2"/>
  <c r="M102" i="2" a="1"/>
  <c r="M103" i="2" a="1"/>
  <c r="M79" i="2" a="1"/>
  <c r="Q99" i="18" a="1"/>
  <c r="Q38" i="18" a="1"/>
  <c r="M49" i="2" a="1"/>
  <c r="J100" i="2"/>
  <c r="M76" i="2" a="1"/>
  <c r="J40" i="2"/>
  <c r="M99" i="2" a="1"/>
  <c r="M92" i="2" a="1"/>
  <c r="J85" i="2"/>
  <c r="M40" i="2" a="1"/>
  <c r="Q93" i="18" a="1"/>
  <c r="G34" i="2"/>
  <c r="J49" i="2"/>
  <c r="Q72" i="18" a="1"/>
  <c r="G75" i="2"/>
  <c r="M41" i="2" a="1"/>
  <c r="J101" i="2"/>
  <c r="M73" i="2" a="1"/>
  <c r="Q102" i="18" a="1"/>
  <c r="G108" i="2"/>
  <c r="Q91" i="18" a="1"/>
  <c r="G59" i="2"/>
  <c r="J62" i="2"/>
  <c r="G53" i="2"/>
  <c r="M69" i="2" a="1"/>
  <c r="Q105" i="18" a="1"/>
  <c r="J53" i="2"/>
  <c r="Q67" i="18" a="1"/>
  <c r="G90" i="2"/>
  <c r="J91" i="2"/>
  <c r="G52" i="2"/>
  <c r="Q33" i="18" a="1"/>
  <c r="G89" i="2"/>
  <c r="M54" i="2" a="1"/>
  <c r="G37" i="2"/>
  <c r="Q100" i="18" a="1"/>
  <c r="M62" i="2" a="1"/>
  <c r="G41" i="2"/>
  <c r="G96" i="2"/>
  <c r="J44" i="2"/>
  <c r="Q92" i="18" a="1"/>
  <c r="M36" i="2" a="1"/>
  <c r="M32" i="2" a="1"/>
  <c r="G33" i="2"/>
  <c r="G65" i="2"/>
  <c r="J111" i="2"/>
  <c r="J37" i="2"/>
  <c r="G42" i="2"/>
  <c r="G109" i="2"/>
  <c r="M50" i="2" a="1"/>
  <c r="Q110" i="18" a="1"/>
  <c r="M71" i="2" a="1"/>
  <c r="G51" i="2"/>
  <c r="G56" i="2"/>
  <c r="J93" i="2"/>
  <c r="G100" i="2"/>
  <c r="M95" i="2" a="1"/>
  <c r="J33" i="2"/>
  <c r="G66" i="2"/>
  <c r="Q104" i="18" a="1"/>
  <c r="J68" i="2"/>
  <c r="M35" i="2" a="1"/>
  <c r="G104" i="2"/>
  <c r="J61" i="2"/>
  <c r="J103" i="2"/>
  <c r="G36" i="2"/>
  <c r="M105" i="2" a="1"/>
  <c r="J39" i="2"/>
  <c r="Q87" i="18" a="1"/>
  <c r="Q78" i="18" a="1"/>
  <c r="G62" i="2"/>
  <c r="J96" i="2"/>
  <c r="M63" i="2" a="1"/>
  <c r="G99" i="2"/>
  <c r="J105" i="2"/>
  <c r="M8" i="2" a="1"/>
  <c r="M101" i="2" a="1"/>
  <c r="G58" i="2"/>
  <c r="M66" i="2" a="1"/>
  <c r="J78" i="2"/>
  <c r="M39" i="2" a="1"/>
  <c r="Q109" i="18" a="1"/>
  <c r="J104" i="2"/>
  <c r="J87" i="2"/>
  <c r="M85" i="2" a="1"/>
  <c r="J83" i="2"/>
  <c r="M51" i="2" a="1"/>
  <c r="M59" i="2" a="1"/>
  <c r="Q69" i="18" a="1"/>
  <c r="J97" i="2"/>
  <c r="Q66" i="18" a="1"/>
  <c r="Q85" i="18" a="1"/>
  <c r="G85" i="2"/>
  <c r="G84" i="2"/>
  <c r="G111" i="2"/>
  <c r="Q70" i="18" a="1"/>
  <c r="G68" i="2"/>
  <c r="J108" i="2"/>
  <c r="J72" i="2"/>
  <c r="Q46" i="18" a="1"/>
  <c r="Q107" i="18" a="1"/>
  <c r="J43" i="2"/>
  <c r="G70" i="2"/>
  <c r="M67" i="2" a="1"/>
  <c r="J98" i="2"/>
  <c r="M48" i="2" a="1"/>
  <c r="G83" i="2"/>
  <c r="M93" i="2" a="1"/>
  <c r="J90" i="2"/>
  <c r="J59" i="2"/>
  <c r="M109" i="2" a="1"/>
  <c r="M96" i="2" a="1"/>
  <c r="Q76" i="18" a="1"/>
  <c r="Q56" i="18" a="1"/>
  <c r="M42" i="2" a="1"/>
  <c r="Q89" i="18" a="1"/>
  <c r="Q106" i="18" a="1"/>
  <c r="M108" i="2" a="1"/>
  <c r="Q34" i="18" a="1"/>
  <c r="Q101" i="18" a="1"/>
  <c r="Q47" i="18" a="1"/>
  <c r="M89" i="2" a="1"/>
  <c r="Q81" i="18" a="1"/>
  <c r="Q82" i="18" a="1"/>
  <c r="G74" i="2"/>
  <c r="J56" i="2"/>
  <c r="Q79" i="18" a="1"/>
  <c r="M38" i="2" a="1"/>
  <c r="M75" i="2" a="1"/>
  <c r="J38" i="2"/>
  <c r="M47" i="2" a="1"/>
  <c r="Q98" i="18" a="1"/>
  <c r="M52" i="2" a="1"/>
  <c r="J109" i="2"/>
  <c r="G97" i="2"/>
  <c r="G44" i="2"/>
  <c r="M46" i="2" a="1"/>
  <c r="M58" i="2" a="1"/>
  <c r="Q53" i="18" a="1"/>
  <c r="Q90" i="18" a="1"/>
  <c r="G103" i="2"/>
  <c r="M110" i="2" a="1"/>
  <c r="J45" i="2"/>
  <c r="M64" i="2" a="1"/>
  <c r="Q60" i="18" a="1"/>
  <c r="J55" i="2"/>
  <c r="J42" i="2"/>
  <c r="M84" i="2" a="1"/>
  <c r="J82" i="2"/>
  <c r="G54" i="2"/>
  <c r="Q86" i="18" a="1"/>
  <c r="M98" i="2" a="1"/>
  <c r="M100" i="2" a="1"/>
  <c r="J54" i="2"/>
  <c r="G47" i="2"/>
  <c r="J65" i="2"/>
  <c r="J57" i="2"/>
  <c r="G78" i="2"/>
  <c r="G40" i="2"/>
  <c r="Q37" i="18" a="1"/>
  <c r="J47" i="2"/>
  <c r="G46" i="2"/>
  <c r="G48" i="2"/>
  <c r="J94" i="2"/>
  <c r="J51" i="2"/>
  <c r="M94" i="2" a="1"/>
  <c r="G93" i="2"/>
  <c r="O8" i="2" a="1"/>
  <c r="O31" i="18" l="1" a="1"/>
  <c r="O31" i="18" s="1"/>
  <c r="O8" i="2"/>
  <c r="Q66" i="18"/>
  <c r="Q98" i="18"/>
  <c r="Q73" i="18"/>
  <c r="Q59" i="18"/>
  <c r="Q52" i="18"/>
  <c r="Q83" i="18"/>
  <c r="Q46" i="18"/>
  <c r="Q37" i="18"/>
  <c r="Q51" i="18"/>
  <c r="Q81" i="18"/>
  <c r="Q88" i="18"/>
  <c r="Q102" i="18"/>
  <c r="Q41" i="18"/>
  <c r="Q62" i="18"/>
  <c r="Q77" i="18"/>
  <c r="Q110" i="18"/>
  <c r="Q54" i="18"/>
  <c r="Q33" i="18"/>
  <c r="Q106" i="18"/>
  <c r="Q36" i="18"/>
  <c r="Q76" i="18"/>
  <c r="Q103" i="18"/>
  <c r="Q60" i="18"/>
  <c r="Q96" i="18"/>
  <c r="Q90" i="18"/>
  <c r="Q63" i="18"/>
  <c r="Q89" i="18"/>
  <c r="Q69" i="18"/>
  <c r="Q43" i="18"/>
  <c r="Q105" i="18"/>
  <c r="Q35" i="18"/>
  <c r="Q111" i="18"/>
  <c r="Q34" i="18"/>
  <c r="Q74" i="18"/>
  <c r="Q44" i="18"/>
  <c r="Q99" i="18"/>
  <c r="Q65" i="18"/>
  <c r="Q79" i="18"/>
  <c r="Q38" i="18"/>
  <c r="Q101" i="18"/>
  <c r="Q42" i="18"/>
  <c r="Q87" i="18"/>
  <c r="Q78" i="18"/>
  <c r="Q85" i="18"/>
  <c r="Q108" i="18"/>
  <c r="Q68" i="18"/>
  <c r="Q107" i="18"/>
  <c r="Q92" i="18"/>
  <c r="Q94" i="18"/>
  <c r="Q91" i="18"/>
  <c r="Q97" i="18"/>
  <c r="Q93" i="18"/>
  <c r="Q75" i="18"/>
  <c r="Q56" i="18"/>
  <c r="Q70" i="18"/>
  <c r="Q49" i="18"/>
  <c r="Q109" i="18"/>
  <c r="Q67" i="18"/>
  <c r="Q50" i="18"/>
  <c r="Q82" i="18"/>
  <c r="Q61" i="18"/>
  <c r="Q39" i="18"/>
  <c r="Q64" i="18"/>
  <c r="Q80" i="18"/>
  <c r="Q55" i="18"/>
  <c r="Q72" i="18"/>
  <c r="Q86" i="18"/>
  <c r="Q71" i="18"/>
  <c r="Q57" i="18"/>
  <c r="Q100" i="18"/>
  <c r="Q84" i="18"/>
  <c r="Q95" i="18"/>
  <c r="Q48" i="18"/>
  <c r="Q45" i="18"/>
  <c r="Q40" i="18"/>
  <c r="Q104" i="18"/>
  <c r="Q47" i="18"/>
  <c r="Q32" i="18"/>
  <c r="Q58" i="18"/>
  <c r="Q53" i="18"/>
  <c r="H31" i="18" a="1"/>
  <c r="H31" i="18" s="1"/>
  <c r="M31" i="18"/>
  <c r="I31" i="2" a="1"/>
  <c r="I31" i="2" s="1"/>
  <c r="P31" i="2" s="1" a="1"/>
  <c r="P6" i="2"/>
  <c r="M7" i="2"/>
  <c r="M8" i="2"/>
  <c r="M9" i="2"/>
  <c r="M10" i="2"/>
  <c r="M90" i="2"/>
  <c r="M84" i="2"/>
  <c r="M35" i="2"/>
  <c r="M99" i="2"/>
  <c r="M62" i="2"/>
  <c r="M104" i="2"/>
  <c r="M37" i="2"/>
  <c r="M68" i="2"/>
  <c r="M51" i="2"/>
  <c r="M55" i="2"/>
  <c r="M65" i="2"/>
  <c r="M100" i="2"/>
  <c r="M64" i="2"/>
  <c r="M45" i="2"/>
  <c r="M80" i="2"/>
  <c r="M59" i="2"/>
  <c r="M94" i="2"/>
  <c r="M108" i="2"/>
  <c r="M95" i="2"/>
  <c r="M103" i="2"/>
  <c r="M34" i="2"/>
  <c r="M61" i="2"/>
  <c r="M40" i="2"/>
  <c r="M49" i="2"/>
  <c r="M79" i="2"/>
  <c r="M47" i="2"/>
  <c r="M54" i="2"/>
  <c r="M41" i="2"/>
  <c r="M73" i="2"/>
  <c r="M63" i="2"/>
  <c r="M93" i="2"/>
  <c r="M76" i="2"/>
  <c r="M82" i="2"/>
  <c r="M42" i="2"/>
  <c r="M87" i="2"/>
  <c r="M77" i="2"/>
  <c r="M107" i="2"/>
  <c r="M39" i="2"/>
  <c r="M69" i="2"/>
  <c r="M70" i="2"/>
  <c r="M101" i="2"/>
  <c r="M91" i="2"/>
  <c r="M60" i="2"/>
  <c r="M53" i="2"/>
  <c r="M98" i="2"/>
  <c r="M44" i="2"/>
  <c r="M105" i="2"/>
  <c r="M89" i="2"/>
  <c r="M67" i="2"/>
  <c r="M83" i="2"/>
  <c r="M88" i="2"/>
  <c r="M74" i="2"/>
  <c r="M36" i="2"/>
  <c r="M81" i="2"/>
  <c r="M56" i="2"/>
  <c r="M110" i="2"/>
  <c r="M46" i="2"/>
  <c r="M50" i="2"/>
  <c r="M106" i="2"/>
  <c r="M109" i="2"/>
  <c r="M43" i="2"/>
  <c r="M97" i="2"/>
  <c r="M75" i="2"/>
  <c r="M92" i="2"/>
  <c r="M38" i="2"/>
  <c r="M96" i="2"/>
  <c r="M57" i="2"/>
  <c r="M58" i="2"/>
  <c r="M32" i="2"/>
  <c r="M102" i="2"/>
  <c r="M52" i="2"/>
  <c r="M48" i="2"/>
  <c r="M71" i="2"/>
  <c r="M72" i="2"/>
  <c r="M33" i="2"/>
  <c r="M78" i="2"/>
  <c r="M66" i="2"/>
  <c r="M111" i="2"/>
  <c r="M85" i="2"/>
  <c r="M86" i="2"/>
  <c r="G31" i="2"/>
  <c r="H31" i="2" s="1" a="1"/>
  <c r="H31" i="2" s="1"/>
  <c r="M31" i="2"/>
  <c r="J31" i="2"/>
  <c r="Q63" i="2" a="1"/>
  <c r="Q43" i="2" a="1"/>
  <c r="Q51" i="2" a="1"/>
  <c r="Q82" i="2" a="1"/>
  <c r="Q66" i="2" a="1"/>
  <c r="Q56" i="2" a="1"/>
  <c r="Q37" i="2" a="1"/>
  <c r="Q70" i="2" a="1"/>
  <c r="Q86" i="2" a="1"/>
  <c r="Q80" i="2" a="1"/>
  <c r="Q71" i="2" a="1"/>
  <c r="Q106" i="2" a="1"/>
  <c r="Q44" i="2" a="1"/>
  <c r="Q83" i="2" a="1"/>
  <c r="Q107" i="2" a="1"/>
  <c r="Q32" i="2" a="1"/>
  <c r="Q102" i="2" a="1"/>
  <c r="Q52" i="2" a="1"/>
  <c r="Q65" i="2" a="1"/>
  <c r="Q111" i="2" a="1"/>
  <c r="Q110" i="2" a="1"/>
  <c r="Q103" i="2" a="1"/>
  <c r="Q76" i="2" a="1"/>
  <c r="Q72" i="2" a="1"/>
  <c r="Q97" i="2" a="1"/>
  <c r="Q50" i="2" a="1"/>
  <c r="Q35" i="2" a="1"/>
  <c r="Q47" i="2" a="1"/>
  <c r="Q104" i="2" a="1"/>
  <c r="Q31" i="2" a="1"/>
  <c r="Q77" i="2" a="1"/>
  <c r="Q59" i="2" a="1"/>
  <c r="Q39" i="2" a="1"/>
  <c r="Q99" i="2" a="1"/>
  <c r="Q95" i="2" a="1"/>
  <c r="Q31" i="18" a="1"/>
  <c r="Q42" i="2" a="1"/>
  <c r="Q105" i="2" a="1"/>
  <c r="Q81" i="2" a="1"/>
  <c r="Q41" i="2" a="1"/>
  <c r="Q108" i="2" a="1"/>
  <c r="Q73" i="2" a="1"/>
  <c r="Q88" i="2" a="1"/>
  <c r="Q94" i="2" a="1"/>
  <c r="Q109" i="2" a="1"/>
  <c r="Q53" i="2" a="1"/>
  <c r="Q33" i="2" a="1"/>
  <c r="Q48" i="2" a="1"/>
  <c r="Q74" i="2" a="1"/>
  <c r="Q91" i="2" a="1"/>
  <c r="Q36" i="2" a="1"/>
  <c r="Q61" i="2" a="1"/>
  <c r="Q75" i="2" a="1"/>
  <c r="Q92" i="2" a="1"/>
  <c r="Q38" i="2" a="1"/>
  <c r="Q45" i="2" a="1"/>
  <c r="Q40" i="2" a="1"/>
  <c r="Q57" i="2" a="1"/>
  <c r="O9" i="2" a="1"/>
  <c r="Q49" i="2" a="1"/>
  <c r="Q98" i="2" a="1"/>
  <c r="Q89" i="2" a="1"/>
  <c r="Q34" i="2" a="1"/>
  <c r="Q68" i="2" a="1"/>
  <c r="Q55" i="2" a="1"/>
  <c r="Q85" i="2" a="1"/>
  <c r="Q62" i="2" a="1"/>
  <c r="Q84" i="2" a="1"/>
  <c r="Q78" i="2" a="1"/>
  <c r="Q58" i="2" a="1"/>
  <c r="Q69" i="2" a="1"/>
  <c r="Q64" i="2" a="1"/>
  <c r="Q67" i="2" a="1"/>
  <c r="Q90" i="2" a="1"/>
  <c r="Q93" i="2" a="1"/>
  <c r="Q100" i="2" a="1"/>
  <c r="Q96" i="2" a="1"/>
  <c r="Q79" i="2" a="1"/>
  <c r="Q54" i="2" a="1"/>
  <c r="Q60" i="2" a="1"/>
  <c r="Q101" i="2" a="1"/>
  <c r="Q87" i="2" a="1"/>
  <c r="Q46" i="2" a="1"/>
  <c r="O9" i="2" l="1"/>
  <c r="Q9" i="2" s="1"/>
  <c r="P10" i="2"/>
  <c r="P9" i="2"/>
  <c r="P7" i="2"/>
  <c r="Q7" i="2"/>
  <c r="P8" i="2"/>
  <c r="Q8" i="2"/>
  <c r="Q31" i="18"/>
  <c r="K31" i="18" a="1"/>
  <c r="K31" i="18" s="1"/>
  <c r="L31" i="18" a="1"/>
  <c r="L31" i="18" s="1"/>
  <c r="N31" i="18" s="1" a="1"/>
  <c r="N31" i="18" s="1"/>
  <c r="P31" i="18" a="1"/>
  <c r="O31" i="2" a="1"/>
  <c r="O31" i="2" s="1"/>
  <c r="L31" i="2" a="1"/>
  <c r="L31" i="2" s="1"/>
  <c r="N31" i="2" s="1" a="1"/>
  <c r="N31" i="2" s="1"/>
  <c r="K31" i="2" a="1"/>
  <c r="K31" i="2" s="1"/>
  <c r="Q103" i="2"/>
  <c r="Q41" i="2"/>
  <c r="Q42" i="2"/>
  <c r="Q87" i="2"/>
  <c r="Q84" i="2"/>
  <c r="Q91" i="2"/>
  <c r="Q65" i="2"/>
  <c r="Q77" i="2"/>
  <c r="Q63" i="2"/>
  <c r="Q82" i="2"/>
  <c r="Q62" i="2"/>
  <c r="Q39" i="2"/>
  <c r="Q53" i="2"/>
  <c r="Q48" i="2"/>
  <c r="Q49" i="2"/>
  <c r="Q111" i="2"/>
  <c r="Q38" i="2"/>
  <c r="Q67" i="2"/>
  <c r="Q88" i="2"/>
  <c r="Q35" i="2"/>
  <c r="Q96" i="2"/>
  <c r="Q66" i="2"/>
  <c r="Q85" i="2"/>
  <c r="Q50" i="2"/>
  <c r="Q110" i="2"/>
  <c r="Q105" i="2"/>
  <c r="Q93" i="2"/>
  <c r="Q68" i="2"/>
  <c r="Q72" i="2"/>
  <c r="Q36" i="2"/>
  <c r="Q52" i="2"/>
  <c r="Q74" i="2"/>
  <c r="Q51" i="2"/>
  <c r="Q80" i="2"/>
  <c r="Q104" i="2"/>
  <c r="Q60" i="2"/>
  <c r="Q94" i="2"/>
  <c r="Q81" i="2"/>
  <c r="Q95" i="2"/>
  <c r="Q98" i="2"/>
  <c r="Q76" i="2"/>
  <c r="Q101" i="2"/>
  <c r="Q46" i="2"/>
  <c r="Q108" i="2"/>
  <c r="Q57" i="2"/>
  <c r="Q83" i="2"/>
  <c r="Q58" i="2"/>
  <c r="Q106" i="2"/>
  <c r="Q78" i="2"/>
  <c r="Q100" i="2"/>
  <c r="Q55" i="2"/>
  <c r="Q56" i="2"/>
  <c r="Q40" i="2"/>
  <c r="Q99" i="2"/>
  <c r="Q90" i="2"/>
  <c r="Q44" i="2"/>
  <c r="Q79" i="2"/>
  <c r="Q109" i="2"/>
  <c r="Q64" i="2"/>
  <c r="Q107" i="2"/>
  <c r="Q102" i="2"/>
  <c r="Q33" i="2"/>
  <c r="Q71" i="2"/>
  <c r="Q69" i="2"/>
  <c r="Q86" i="2"/>
  <c r="Q61" i="2"/>
  <c r="Q89" i="2"/>
  <c r="Q54" i="2"/>
  <c r="Q45" i="2"/>
  <c r="Q43" i="2"/>
  <c r="Q73" i="2"/>
  <c r="Q59" i="2"/>
  <c r="Q75" i="2"/>
  <c r="Q32" i="2"/>
  <c r="Q37" i="2"/>
  <c r="Q47" i="2"/>
  <c r="Q34" i="2"/>
  <c r="Q92" i="2"/>
  <c r="Q70" i="2"/>
  <c r="Q97" i="2"/>
  <c r="P31" i="2"/>
  <c r="Q31" i="2"/>
  <c r="O10" i="2" a="1"/>
  <c r="O10" i="2" l="1"/>
  <c r="P31" i="18"/>
  <c r="R31" i="18" s="1" a="1"/>
  <c r="R31" i="18" s="1"/>
  <c r="R31" i="2" a="1"/>
  <c r="R31" i="2" s="1"/>
  <c r="O115" i="2" a="1"/>
  <c r="O115" i="2" l="1"/>
  <c r="Q10" i="2"/>
  <c r="O113" i="18" a="1"/>
  <c r="O113" i="18" l="1"/>
  <c r="P5" i="22" a="1"/>
  <c r="V55" i="22" l="1"/>
  <c r="R52" i="22"/>
  <c r="V48" i="22"/>
  <c r="R45" i="22"/>
  <c r="R42" i="22"/>
  <c r="R39" i="22"/>
  <c r="R36" i="22"/>
  <c r="Q33" i="22"/>
  <c r="T23" i="22"/>
  <c r="T20" i="22"/>
  <c r="Q17" i="22"/>
  <c r="R55" i="22"/>
  <c r="Q52" i="22"/>
  <c r="T48" i="22"/>
  <c r="Q45" i="22"/>
  <c r="Q42" i="22"/>
  <c r="Q39" i="22"/>
  <c r="Q36" i="22"/>
  <c r="V29" i="22"/>
  <c r="T26" i="22"/>
  <c r="R23" i="22"/>
  <c r="R20" i="22"/>
  <c r="V13" i="22"/>
  <c r="Q10" i="22"/>
  <c r="Q7" i="22"/>
  <c r="R26" i="22"/>
  <c r="Q23" i="22"/>
  <c r="Q20" i="22"/>
  <c r="V16" i="22"/>
  <c r="T13" i="22"/>
  <c r="R51" i="22"/>
  <c r="Q48" i="22"/>
  <c r="V44" i="22"/>
  <c r="V41" i="22"/>
  <c r="T38" i="22"/>
  <c r="V35" i="22"/>
  <c r="R32" i="22"/>
  <c r="R29" i="22"/>
  <c r="R16" i="22"/>
  <c r="V9" i="22"/>
  <c r="T6" i="22"/>
  <c r="Q47" i="22"/>
  <c r="V37" i="22"/>
  <c r="R28" i="22"/>
  <c r="T37" i="22"/>
  <c r="V18" i="22"/>
  <c r="T53" i="22"/>
  <c r="R34" i="22"/>
  <c r="T21" i="22"/>
  <c r="Q8" i="22"/>
  <c r="T27" i="22"/>
  <c r="T52" i="22"/>
  <c r="Q30" i="22"/>
  <c r="V20" i="22"/>
  <c r="T7" i="22"/>
  <c r="Q55" i="22"/>
  <c r="R48" i="22"/>
  <c r="V32" i="22"/>
  <c r="T29" i="22"/>
  <c r="R13" i="22"/>
  <c r="V6" i="22"/>
  <c r="T50" i="22"/>
  <c r="V46" i="22"/>
  <c r="V11" i="22"/>
  <c r="R30" i="22"/>
  <c r="R33" i="22"/>
  <c r="V23" i="22"/>
  <c r="Q26" i="22"/>
  <c r="R8" i="22"/>
  <c r="Q24" i="22"/>
  <c r="T17" i="22"/>
  <c r="T54" i="22"/>
  <c r="Q51" i="22"/>
  <c r="T44" i="22"/>
  <c r="T41" i="22"/>
  <c r="R38" i="22"/>
  <c r="T35" i="22"/>
  <c r="Q32" i="22"/>
  <c r="Q29" i="22"/>
  <c r="V22" i="22"/>
  <c r="T19" i="22"/>
  <c r="Q16" i="22"/>
  <c r="Q13" i="22"/>
  <c r="T9" i="22"/>
  <c r="Q28" i="22"/>
  <c r="T43" i="22"/>
  <c r="Q11" i="22"/>
  <c r="R14" i="22"/>
  <c r="T36" i="22"/>
  <c r="Q14" i="22"/>
  <c r="R54" i="22"/>
  <c r="T47" i="22"/>
  <c r="R44" i="22"/>
  <c r="R41" i="22"/>
  <c r="Q38" i="22"/>
  <c r="R35" i="22"/>
  <c r="V25" i="22"/>
  <c r="R22" i="22"/>
  <c r="R19" i="22"/>
  <c r="R9" i="22"/>
  <c r="R6" i="22"/>
  <c r="Q6" i="22"/>
  <c r="R15" i="22"/>
  <c r="Q25" i="22"/>
  <c r="T8" i="22"/>
  <c r="T14" i="22"/>
  <c r="T10" i="22"/>
  <c r="Q54" i="22"/>
  <c r="V50" i="22"/>
  <c r="R47" i="22"/>
  <c r="Q44" i="22"/>
  <c r="Q41" i="22"/>
  <c r="Q35" i="22"/>
  <c r="T31" i="22"/>
  <c r="V28" i="22"/>
  <c r="T25" i="22"/>
  <c r="Q22" i="22"/>
  <c r="Q19" i="22"/>
  <c r="T15" i="22"/>
  <c r="R12" i="22"/>
  <c r="Q9" i="22"/>
  <c r="R31" i="22"/>
  <c r="R25" i="22"/>
  <c r="Q12" i="22"/>
  <c r="V34" i="22"/>
  <c r="Q31" i="22"/>
  <c r="V21" i="22"/>
  <c r="Q15" i="22"/>
  <c r="Q50" i="22"/>
  <c r="R40" i="22"/>
  <c r="R37" i="22"/>
  <c r="R18" i="22"/>
  <c r="R11" i="22"/>
  <c r="Q21" i="22"/>
  <c r="R27" i="22"/>
  <c r="V7" i="22"/>
  <c r="T39" i="22"/>
  <c r="Q27" i="22"/>
  <c r="R17" i="22"/>
  <c r="V53" i="22"/>
  <c r="R50" i="22"/>
  <c r="V43" i="22"/>
  <c r="T40" i="22"/>
  <c r="V42" i="22"/>
  <c r="R53" i="22"/>
  <c r="R46" i="22"/>
  <c r="R43" i="22"/>
  <c r="Q40" i="22"/>
  <c r="Q37" i="22"/>
  <c r="Q34" i="22"/>
  <c r="V30" i="22"/>
  <c r="V27" i="22"/>
  <c r="R24" i="22"/>
  <c r="R21" i="22"/>
  <c r="Q18" i="22"/>
  <c r="V14" i="22"/>
  <c r="T45" i="22"/>
  <c r="Q53" i="22"/>
  <c r="R49" i="22"/>
  <c r="Q46" i="22"/>
  <c r="Q43" i="22"/>
  <c r="T30" i="22"/>
  <c r="R10" i="22"/>
  <c r="Q49" i="22"/>
  <c r="V39" i="22"/>
  <c r="V36" i="22"/>
  <c r="T33" i="22"/>
  <c r="R7" i="22"/>
  <c r="V40" i="22"/>
  <c r="V19" i="22"/>
  <c r="V47" i="22"/>
  <c r="V10" i="22"/>
  <c r="V8" i="22"/>
  <c r="V17" i="22"/>
  <c r="V31" i="22"/>
  <c r="V33" i="22"/>
  <c r="W54" i="22"/>
  <c r="V15" i="22"/>
  <c r="V54" i="22"/>
  <c r="W52" i="22"/>
  <c r="V38" i="22"/>
  <c r="V49" i="22"/>
  <c r="V51" i="22"/>
  <c r="V12" i="22"/>
  <c r="V26" i="22"/>
  <c r="V45" i="22"/>
  <c r="W53" i="22"/>
  <c r="V52" i="22"/>
  <c r="W55" i="22"/>
  <c r="V24" i="22"/>
  <c r="W43" i="22"/>
  <c r="W19" i="22"/>
  <c r="W41" i="22"/>
  <c r="W46" i="22"/>
  <c r="W20" i="22"/>
  <c r="W21" i="22"/>
  <c r="W6" i="22"/>
  <c r="W8" i="22"/>
  <c r="W49" i="22"/>
  <c r="W24" i="22"/>
  <c r="W50" i="22"/>
  <c r="W23" i="22"/>
  <c r="W27" i="22"/>
  <c r="W18" i="22"/>
  <c r="W36" i="22"/>
  <c r="W47" i="22"/>
  <c r="W17" i="22"/>
  <c r="W51" i="22"/>
  <c r="W39" i="22"/>
  <c r="W38" i="22"/>
  <c r="W35" i="22"/>
  <c r="W14" i="22"/>
  <c r="W13" i="22"/>
  <c r="W33" i="22"/>
  <c r="W22" i="22"/>
  <c r="W44" i="22"/>
  <c r="W29" i="22"/>
  <c r="W40" i="22"/>
  <c r="W42" i="22"/>
  <c r="W25" i="22"/>
  <c r="W7" i="22"/>
  <c r="W10" i="22"/>
  <c r="W32" i="22"/>
  <c r="W34" i="22"/>
  <c r="W37" i="22"/>
  <c r="W45" i="22"/>
  <c r="W11" i="22"/>
  <c r="W9" i="22"/>
  <c r="W26" i="22"/>
  <c r="W48" i="22"/>
  <c r="W28" i="22"/>
  <c r="W16" i="22"/>
  <c r="W12" i="22"/>
  <c r="W15" i="22"/>
  <c r="W31" i="22"/>
  <c r="W30" i="22"/>
  <c r="P5" i="22"/>
  <c r="O115" i="18" a="1"/>
  <c r="O115" i="18" s="1"/>
  <c r="V5" i="22" l="1"/>
  <c r="T5" i="22"/>
  <c r="R5" i="22"/>
  <c r="Q5" i="22"/>
  <c r="W5" i="2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7"/>
        </ext>
      </extLst>
    </bk>
  </futureMetadata>
  <cellMetadata count="1">
    <bk>
      <rc t="1" v="0"/>
    </bk>
  </cellMetadata>
  <valueMetadata count="6">
    <bk>
      <rc t="2" v="0"/>
    </bk>
    <bk>
      <rc t="2" v="1"/>
    </bk>
    <bk>
      <rc t="2" v="2"/>
    </bk>
    <bk>
      <rc t="2" v="3"/>
    </bk>
    <bk>
      <rc t="2" v="4"/>
    </bk>
    <bk>
      <rc t="2" v="5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from scipy.stats import norm
norm.pdf(
    xl(%P2%),
    loc=xl(%P3%),
    scale=xl(%P4%)
)</code>
    </pythonScript>
    <pythonScript>
      <code>from scipy.stats import norm
norm.cdf(
    xl(%P2%),
    loc=xl(%P3%),
    scale=xl(%P4%)
)</code>
    </pythonScript>
    <pythonScript>
      <code>from scipy.stats import norm
norm.ppf(xl(%P2%), loc=xl(%P3%), scale=xl(%P4%))</code>
    </pythonScript>
    <pythonScript>
      <code>(xl(%P2%) - xl(%P3%)) / xl(%P4%)</code>
    </pythonScript>
    <pythonScript>
      <code>from scipy.stats import norm
norm.sf(xl(%P2%), loc=xl(%P3%), scale=xl(%P4%)) - norm.sf(xl(%P5%), loc=xl(%P6%), scale=xl(%P7%))</code>
    </pythonScript>
    <pythonScript>
      <code>from scipy.stats import norm
import numpy as np
x  = np.asarray(xl(%P2%), dtype=float).ravel()
mu = float(xl(%P3%)); sd = float(xl(%P4%))
ex = np.asarray(xl(%P5%), dtype=float).ravel()
vb = np.asarray(xl(%P6%), dtype=float).ravel()
truth = norm.sf(x, mu, sd)
den = np.where(truth == 0.0, np.nan, truth)
np.column_stack([truth, np.abs(ex - truth)/den, np.abs(vb - truth)/den])</code>
    </pythonScript>
    <pythonScript>
      <code>from scipy.stats import norm as ND, lognorm as LG
import numpy as np
np.seterr(all='ignore')
KEY = np.asarray(xl(%P2%)).ravel()
ARG = np.asarray(xl(%P3%), dtype=float)
FUN = {
'Std_Density': lambda v: ND.pdf(v[0]),
'Std_Cumulative': lambda v: ND.cdf(v[0]),
'Std_Survival': lambda v: ND.sf(v[0]),
'Std_Inverse': lambda v: ND.ppf(v[0]),
'Std_InvSurvival': lambda v: ND.isf(v[0]),
'Std_Interval': lambda v: ND.cdf(v[1]) - ND.cdf(v[0]) if v[1] &gt;= v[0] else float('nan'),
'Std_InverseFast': lambda v: ND.ppf(v[0]),
'Nrm_Density': lambda v: ND.pdf(v[0], v[1], v[2]),
'Nrm_Cumulative': lambda v: ND.cdf(v[0], v[1], v[2]),
'Nrm_Survival': lambda v: ND.sf(v[0], v[1], v[2]),
'Nrm_Inverse': lambda v: ND.ppf(v[0], v[1], v[2]),
'Nrm_InvSurvival': lambda v: ND.isf(v[0], v[1], v[2]),
'Nrm_ZScore': lambda v: (v[0] - v[1]) / v[2],
'Nrm_Interval': lambda v: ND.cdf(v[1], v[2], v[3]) - ND.cdf(v[0], v[2], v[3]) if v[1] &gt;= v[0] else float('nan'),
'Lgn_Density': lambda v: LG.pdf(v[0], v[2], scale=np.exp(v[1])),
'Lgn_Cumulative': lambda v: LG.cdf(v[0], v[2], scale=np.exp(v[1])),
'Lgn_Survival': lambda v: LG.sf(v[0], v[2], scale=np.exp(v[1])),
'Lgn_Inverse': lambda v: LG.ppf(v[0], v[2], scale=np.exp(v[1])),
'Lgn_InvSurvival': lambda v: LG.isf(v[0], v[2], scale=np.exp(v[1])),
'Lgn_Mean': lambda v: np.exp(v[0] + 0.5 * v[1]**2),
'Lgn_Variance': lambda v: (np.exp(v[1]**2) - 1) * np.exp(2 * v[0] + v[1]**2),
'Lgn_StdDev': lambda v: np.sqrt(np.exp(v[1]**2) - 1) * np.exp(v[0] + 0.5 * v[1]**2),
'Lgn_ParamMeanLog': lambda v: np.log(v[0]) - 0.5 * np.log(1 + (v[1] / v[0])**2),
'Lgn_ParamStdDevLog': lambda v: np.sqrt(np.log(1 + (v[1] / v[0])**2)),
'Lgn_Param': lambda v: np.log(v[0]) - 0.5 * np.log(1 + (v[1] / v[0])**2),
}
CALC = lambda i: float(FUN[KEY[i]](ARG[i])) if KEY[i] in FUN else float('nan')
CLEAN = lambda x: x if np.isfinite(x) else float('nan')
np.array([[CLEAN(CALC(i))] for i in range(len(KEY))], dtype=float)</code>
    </pythonScript>
  </pythonScripts>
</python>
</file>

<file path=xl/sharedStrings.xml><?xml version="1.0" encoding="utf-8"?>
<sst xmlns="http://schemas.openxmlformats.org/spreadsheetml/2006/main" count="699" uniqueCount="336">
  <si>
    <t>Normal Distribution</t>
  </si>
  <si>
    <t>⚙️ Inputs — yellow cells are editable</t>
  </si>
  <si>
    <t>🔎 Point evaluation and independent Excel comparison</t>
  </si>
  <si>
    <t>Mean</t>
  </si>
  <si>
    <t>Arithmetic mean μ</t>
  </si>
  <si>
    <t>Metric</t>
  </si>
  <si>
    <t>VBA library</t>
  </si>
  <si>
    <t>Excel reference</t>
  </si>
  <si>
    <t>Notes</t>
  </si>
  <si>
    <t>Standard deviation</t>
  </si>
  <si>
    <t>σ &gt; 0</t>
  </si>
  <si>
    <t>Density at X</t>
  </si>
  <si>
    <t>General Normal PDF</t>
  </si>
  <si>
    <t>Evaluation X</t>
  </si>
  <si>
    <t>Point used in PDF/CDF/Z-score</t>
  </si>
  <si>
    <t>CDF at X</t>
  </si>
  <si>
    <t>Left-tail cumulative probability</t>
  </si>
  <si>
    <t>Probability p</t>
  </si>
  <si>
    <t>0 &lt; p &lt; 1</t>
  </si>
  <si>
    <t>Inverse CDF at p</t>
  </si>
  <si>
    <t>Quantile</t>
  </si>
  <si>
    <t>Interval lower</t>
  </si>
  <si>
    <t>Same-tail interval example</t>
  </si>
  <si>
    <t>Z-score</t>
  </si>
  <si>
    <t>Explicit standardization</t>
  </si>
  <si>
    <t>Interval upper</t>
  </si>
  <si>
    <t>Stable interval routine avoids CDF subtraction collapse</t>
  </si>
  <si>
    <t>Interval probability</t>
  </si>
  <si>
    <t>Reference subtraction may lose a deep same-tail interval</t>
  </si>
  <si>
    <t>Curve lower</t>
  </si>
  <si>
    <t>Chart grid lower bound</t>
  </si>
  <si>
    <t>Curve upper</t>
  </si>
  <si>
    <t>Chart grid upper bound</t>
  </si>
  <si>
    <t>X</t>
  </si>
  <si>
    <t>Excel PDF</t>
  </si>
  <si>
    <t>VBA PDF</t>
  </si>
  <si>
    <t>|PDF error|</t>
  </si>
  <si>
    <t>Excel CDF</t>
  </si>
  <si>
    <t>VBA CDF</t>
  </si>
  <si>
    <t>|CDF error|</t>
  </si>
  <si>
    <t>Excel survival</t>
  </si>
  <si>
    <t>VBA survival</t>
  </si>
  <si>
    <t>|Survival error|</t>
  </si>
  <si>
    <t>PDF</t>
  </si>
  <si>
    <t>CDF</t>
  </si>
  <si>
    <t>Survival</t>
  </si>
  <si>
    <t>Lognormal Distribution</t>
  </si>
  <si>
    <t>Log-space parameterization, density/CDF/inverse, arithmetic moments, and method-of-moments conversion.</t>
  </si>
  <si>
    <t>MeanLog</t>
  </si>
  <si>
    <t>Mean of Log(X)</t>
  </si>
  <si>
    <t>Standard deviation of Log(X), &gt; 0</t>
  </si>
  <si>
    <t>Lognormal PDF</t>
  </si>
  <si>
    <t>X &gt; 0 for the density</t>
  </si>
  <si>
    <t>Left-tail probability</t>
  </si>
  <si>
    <t>Arithmetic mean</t>
  </si>
  <si>
    <t>Used by parameter-conversion example</t>
  </si>
  <si>
    <t>Moment</t>
  </si>
  <si>
    <t>Arithmetic std dev</t>
  </si>
  <si>
    <t>Must be strictly positive</t>
  </si>
  <si>
    <t>Arithmetic variance</t>
  </si>
  <si>
    <t>Library uses Expm1 for tiny variance factors</t>
  </si>
  <si>
    <t>Converted MeanLog</t>
  </si>
  <si>
    <t>Method-of-moments inversion</t>
  </si>
  <si>
    <t>Converted StdDevLog</t>
  </si>
  <si>
    <t>Beta</t>
  </si>
  <si>
    <t>Rate Lambda</t>
  </si>
  <si>
    <t>Distribution</t>
  </si>
  <si>
    <t>Gamma</t>
  </si>
  <si>
    <t>Exponential</t>
  </si>
  <si>
    <t>Weibull</t>
  </si>
  <si>
    <t>Uniform</t>
  </si>
  <si>
    <t>Probability</t>
  </si>
  <si>
    <t>Normal</t>
  </si>
  <si>
    <t>Lognormal</t>
  </si>
  <si>
    <t>Check</t>
  </si>
  <si>
    <t>Expected</t>
  </si>
  <si>
    <t>Runner</t>
  </si>
  <si>
    <t>0.5</t>
  </si>
  <si>
    <t>Test_STATS_PROBDIST_RunAll</t>
  </si>
  <si>
    <t>6</t>
  </si>
  <si>
    <t>Meaning</t>
  </si>
  <si>
    <t>#NUM!</t>
  </si>
  <si>
    <t>Compile</t>
  </si>
  <si>
    <t>📦 Library status</t>
  </si>
  <si>
    <t>✨ What this workbook demonstrates</t>
  </si>
  <si>
    <t>Status</t>
  </si>
  <si>
    <t>Native VBA</t>
  </si>
  <si>
    <t>No worksheet-function wrappers inside the numerical library</t>
  </si>
  <si>
    <t>Independent comparison</t>
  </si>
  <si>
    <t>Every family sheet compares the VBA result with native Excel formulas</t>
  </si>
  <si>
    <t>Direct tails</t>
  </si>
  <si>
    <t>Dedicated survival functions are contrasted with subtraction-based tails</t>
  </si>
  <si>
    <t>Error contracts</t>
  </si>
  <si>
    <t>#NUM!, #VALUE!, valid underflow, and optional Status behavior</t>
  </si>
  <si>
    <t>Regression harness</t>
  </si>
  <si>
    <t>Instructions for the consolidated self-checking VBA test suite</t>
  </si>
  <si>
    <t>Dynamic examples</t>
  </si>
  <si>
    <t>Change yellow parameter cells after importing the modules</t>
  </si>
  <si>
    <t>Setup, Import, and Validation Guide</t>
  </si>
  <si>
    <t>The workbook is macro-enabled and ready to receive the repository modules. Follow the import order exactly.</t>
  </si>
  <si>
    <t>1️⃣ Import the production modules</t>
  </si>
  <si>
    <t>Installation check</t>
  </si>
  <si>
    <t>Order</t>
  </si>
  <si>
    <t>Module</t>
  </si>
  <si>
    <t>Repository path</t>
  </si>
  <si>
    <t>Role</t>
  </si>
  <si>
    <t>Required</t>
  </si>
  <si>
    <t>Formula / action</t>
  </si>
  <si>
    <t>M_STATS_PROBDIST_CORE</t>
  </si>
  <si>
    <t>src/M_STATS_PROBDIST_CORE.bas</t>
  </si>
  <si>
    <t>Shared constants, predicates, guarded arithmetic, elementary primitives</t>
  </si>
  <si>
    <t>Yes</t>
  </si>
  <si>
    <t>Normal CDF</t>
  </si>
  <si>
    <t>M_STATS_PROBDIST_SPECIALFUNCS</t>
  </si>
  <si>
    <t>src/M_STATS_PROBDIST_SPECIALFUNCS.bas</t>
  </si>
  <si>
    <t>Log-gamma, log-beta, incomplete beta/gamma, inverse special functions</t>
  </si>
  <si>
    <t>Gamma mean</t>
  </si>
  <si>
    <t>M_STATS_PROBDIST_NORMALFAMILY</t>
  </si>
  <si>
    <t>src/M_STATS_PROBDIST_NORMALFAMILY.bas</t>
  </si>
  <si>
    <t>Standard Normal, Normal, and Lognormal</t>
  </si>
  <si>
    <t>Student t CDF</t>
  </si>
  <si>
    <t>M_STATS_PROBDIST_TFAMILY</t>
  </si>
  <si>
    <t>src/M_STATS_PROBDIST_TFAMILY.bas</t>
  </si>
  <si>
    <t>Student t, Chi-square, and F</t>
  </si>
  <si>
    <t>Debug → Compile VBAProject</t>
  </si>
  <si>
    <t>No errors</t>
  </si>
  <si>
    <t>M_STATS_PROBDIST_CONTINUOUS</t>
  </si>
  <si>
    <t>src/M_STATS_PROBDIST_CONTINUOUS.bas</t>
  </si>
  <si>
    <t>Gamma, Beta, Exponential, Weibull, and Uniform</t>
  </si>
  <si>
    <t>2️⃣ Compile, recalculate, and validate</t>
  </si>
  <si>
    <t>Test module</t>
  </si>
  <si>
    <t>Step</t>
  </si>
  <si>
    <t>Action</t>
  </si>
  <si>
    <t>Why it matters</t>
  </si>
  <si>
    <t>File</t>
  </si>
  <si>
    <t>tests/M_STATS_PROBDIST_TEST.bas</t>
  </si>
  <si>
    <t>Find missing modules, duplicate names, and syntax errors</t>
  </si>
  <si>
    <t>Ctrl + Alt + F9</t>
  </si>
  <si>
    <t>Force complete workbook recalculation after importing UDFs</t>
  </si>
  <si>
    <t>Output</t>
  </si>
  <si>
    <t>Immediate Window (Ctrl + G)</t>
  </si>
  <si>
    <t>Return to HOME</t>
  </si>
  <si>
    <t>Confirm the status reads INSTALLED AND ACTIVE</t>
  </si>
  <si>
    <t>Passes</t>
  </si>
  <si>
    <t>Silent</t>
  </si>
  <si>
    <t>Explore family sheets</t>
  </si>
  <si>
    <t>Change only the yellow parameter cells</t>
  </si>
  <si>
    <t>Failures</t>
  </si>
  <si>
    <t>Detailed line + final summary</t>
  </si>
  <si>
    <t>Import tests/M_STATS_PROBDIST_TEST.bas</t>
  </si>
  <si>
    <t>Add the consolidated regression harness</t>
  </si>
  <si>
    <t>Run Test_STATS_PROBDIST_RunAll</t>
  </si>
  <si>
    <t>Obtain the authoritative regression verdict</t>
  </si>
  <si>
    <t>Record version</t>
  </si>
  <si>
    <t>Document the release tag or full commit SHA used</t>
  </si>
  <si>
    <t>📐 Parameterization</t>
  </si>
  <si>
    <t>🧯 Public error policy</t>
  </si>
  <si>
    <t>Parameter convention</t>
  </si>
  <si>
    <t>Important note</t>
  </si>
  <si>
    <t>Condition</t>
  </si>
  <si>
    <t>Result</t>
  </si>
  <si>
    <t>Mean and standard deviation</t>
  </si>
  <si>
    <t>StdDev &gt; 0</t>
  </si>
  <si>
    <t>Invalid domain</t>
  </si>
  <si>
    <t>Predictable request outside the public numerical contract</t>
  </si>
  <si>
    <t>Mean and standard deviation of Log(X)</t>
  </si>
  <si>
    <t>Not arithmetic mean/std dev</t>
  </si>
  <si>
    <t>Predictable overflow</t>
  </si>
  <si>
    <t>Mathematical result is not representable as finite Double</t>
  </si>
  <si>
    <t>Positive real degrees of freedom</t>
  </si>
  <si>
    <t>Not restricted to integers</t>
  </si>
  <si>
    <t>Non-convergence</t>
  </si>
  <si>
    <t>Iterative kernel did not establish a valid result</t>
  </si>
  <si>
    <t>Shape and scale</t>
  </si>
  <si>
    <t>Scale, not rate</t>
  </si>
  <si>
    <t>Unexpected runtime failure</t>
  </si>
  <si>
    <t>#VALUE!</t>
  </si>
  <si>
    <t>Unexpected VBA execution path</t>
  </si>
  <si>
    <t>Alpha and Beta shapes</t>
  </si>
  <si>
    <t>Both strictly positive</t>
  </si>
  <si>
    <t>Valid underflow</t>
  </si>
  <si>
    <t>0</t>
  </si>
  <si>
    <t>Correct floating-point limiting result</t>
  </si>
  <si>
    <t>Rate, not scale</t>
  </si>
  <si>
    <t>Lower and upper bounds</t>
  </si>
  <si>
    <t>Lower &lt; Upper</t>
  </si>
  <si>
    <t>Student T/Chi-square/F</t>
  </si>
  <si>
    <t>Chart grid upper bound (μ + 4)</t>
  </si>
  <si>
    <t>Chart grid lower bound (μ - 4)</t>
  </si>
  <si>
    <t>ICDF (Quantile)</t>
  </si>
  <si>
    <t>Excel Inverse CDF</t>
  </si>
  <si>
    <t>VBA ICDF</t>
  </si>
  <si>
    <t>|ICDF error|</t>
  </si>
  <si>
    <t>General Normal and Standard Normal evaluation, stable survival, interval probability, z-score, and inverse CDF</t>
  </si>
  <si>
    <t>Deep right tail — survival where Excel collapses</t>
  </si>
  <si>
    <t>Py survival (truth)</t>
  </si>
  <si>
    <t>Excel rel err</t>
  </si>
  <si>
    <t>VBA rel err</t>
  </si>
  <si>
    <t>PROBABILITY LIBRARY</t>
  </si>
  <si>
    <t>NAVIGATION</t>
  </si>
  <si>
    <t>SH</t>
  </si>
  <si>
    <t>Sheet16</t>
  </si>
  <si>
    <t>SE</t>
  </si>
  <si>
    <t>SETUP</t>
  </si>
  <si>
    <t>N</t>
  </si>
  <si>
    <t>NORMAL</t>
  </si>
  <si>
    <t>LN</t>
  </si>
  <si>
    <t>LOGNORMAL</t>
  </si>
  <si>
    <t>⌂</t>
  </si>
  <si>
    <t>HOME</t>
  </si>
  <si>
    <t>Std Dev Log</t>
  </si>
  <si>
    <t>Abs error VBA-Excel</t>
  </si>
  <si>
    <t>Python reference</t>
  </si>
  <si>
    <t>Abs error VBA-Python</t>
  </si>
  <si>
    <t>BE</t>
  </si>
  <si>
    <t>Key</t>
  </si>
  <si>
    <t>Case</t>
  </si>
  <si>
    <t>Description</t>
  </si>
  <si>
    <t>a1</t>
  </si>
  <si>
    <t>a2</t>
  </si>
  <si>
    <t>a3</t>
  </si>
  <si>
    <t>a4</t>
  </si>
  <si>
    <t>Excel</t>
  </si>
  <si>
    <t>VBA</t>
  </si>
  <si>
    <t>Python (truth)</t>
  </si>
  <si>
    <t>|VBA-Py|/Py</t>
  </si>
  <si>
    <t>|Excel-Py|/Py</t>
  </si>
  <si>
    <t>Verdict</t>
  </si>
  <si>
    <t>Standard</t>
  </si>
  <si>
    <t>Std_Density</t>
  </si>
  <si>
    <t>z=1</t>
  </si>
  <si>
    <t>num</t>
  </si>
  <si>
    <t>phi(1)</t>
  </si>
  <si>
    <t>Std_Cumulative</t>
  </si>
  <si>
    <t>z=1.96</t>
  </si>
  <si>
    <t>Phi(1.96)</t>
  </si>
  <si>
    <t>Edge</t>
  </si>
  <si>
    <t>z=40 saturates</t>
  </si>
  <si>
    <t>far tail -&gt; 1</t>
  </si>
  <si>
    <t>Std_Survival</t>
  </si>
  <si>
    <t>Q(1.96)</t>
  </si>
  <si>
    <t>z=9 deep tail</t>
  </si>
  <si>
    <t>Excel 1-CDF collapses to 0</t>
  </si>
  <si>
    <t>Std_Inverse</t>
  </si>
  <si>
    <t>p=0.975</t>
  </si>
  <si>
    <t>p=0</t>
  </si>
  <si>
    <t>reject endpoint</t>
  </si>
  <si>
    <t>p=1</t>
  </si>
  <si>
    <t>Std_InvSurvival</t>
  </si>
  <si>
    <t>q=0.025</t>
  </si>
  <si>
    <t>one-sided 1.96 critical value</t>
  </si>
  <si>
    <t>q=0.0005 (99.9% two-sided)</t>
  </si>
  <si>
    <t>3.2905 sigma</t>
  </si>
  <si>
    <t>q=1E-18 deep tail</t>
  </si>
  <si>
    <t>Excel NORM.S.INV(1-q) -&gt; #NUM!; VBA returns 8.757</t>
  </si>
  <si>
    <t>q=0</t>
  </si>
  <si>
    <t>Std_Interval</t>
  </si>
  <si>
    <t>[-1.96,1.96]</t>
  </si>
  <si>
    <t>~0.95</t>
  </si>
  <si>
    <t>reversed [1,-1]</t>
  </si>
  <si>
    <t>equal [1,1]</t>
  </si>
  <si>
    <t>zero-width -&gt; 0</t>
  </si>
  <si>
    <t>Std_InverseFast</t>
  </si>
  <si>
    <t>p=0.975 (raw Acklam)</t>
  </si>
  <si>
    <t>approx ~1e-9 vs exact</t>
  </si>
  <si>
    <t>Nrm_Density</t>
  </si>
  <si>
    <t>x=1.96, m=0, s=1</t>
  </si>
  <si>
    <t>s=0</t>
  </si>
  <si>
    <t>reject zero sd</t>
  </si>
  <si>
    <t>Nrm_Cumulative</t>
  </si>
  <si>
    <t>s=-1</t>
  </si>
  <si>
    <t>reject negative sd</t>
  </si>
  <si>
    <t>Nrm_Survival</t>
  </si>
  <si>
    <t>x=9 deep tail</t>
  </si>
  <si>
    <t>Excel collapses; VBA holds</t>
  </si>
  <si>
    <t>Nrm_Inverse</t>
  </si>
  <si>
    <t>p=0.99, m=100, s=15</t>
  </si>
  <si>
    <t>Nrm_InvSurvival</t>
  </si>
  <si>
    <t>q=0.025, m=10, s=2</t>
  </si>
  <si>
    <t>q=1E-18, m=10, s=2</t>
  </si>
  <si>
    <t>Nrm_ZScore</t>
  </si>
  <si>
    <t>x=10, m=4, s=2</t>
  </si>
  <si>
    <t>Nrm_Interval</t>
  </si>
  <si>
    <t>[8,12], m=10, s=2</t>
  </si>
  <si>
    <t>~0.6827</t>
  </si>
  <si>
    <t>reversed [12,8]</t>
  </si>
  <si>
    <t>Lgn_Density</t>
  </si>
  <si>
    <t>x=1, m=0, s=1</t>
  </si>
  <si>
    <t>Lgn_Cumulative</t>
  </si>
  <si>
    <t>x=0 -&gt; 0</t>
  </si>
  <si>
    <t>VBA returns 0; Excel #NUM!</t>
  </si>
  <si>
    <t>Lgn_Survival</t>
  </si>
  <si>
    <t>x=0 -&gt; 1</t>
  </si>
  <si>
    <t>VBA returns 1; Excel #NUM!</t>
  </si>
  <si>
    <t>Lgn_Inverse</t>
  </si>
  <si>
    <t>p=0.5, m=0, s=1</t>
  </si>
  <si>
    <t>Lgn_InvSurvival</t>
  </si>
  <si>
    <t>q=0.5, m=0, s=1</t>
  </si>
  <si>
    <t>q=0.025, m=0, s=1</t>
  </si>
  <si>
    <t>Lgn_Mean</t>
  </si>
  <si>
    <t>m=0, s=1</t>
  </si>
  <si>
    <t>exp(0.5)</t>
  </si>
  <si>
    <t>overflow m=1000</t>
  </si>
  <si>
    <t>exp overflow -&gt; #NUM!</t>
  </si>
  <si>
    <t>underflow m=-1000</t>
  </si>
  <si>
    <t>valid ~0, not an error</t>
  </si>
  <si>
    <t>Lgn_Variance</t>
  </si>
  <si>
    <t>product overflow -&gt; #NUM!</t>
  </si>
  <si>
    <t>Lgn_StdDev</t>
  </si>
  <si>
    <t>Lgn_ParamMeanLog</t>
  </si>
  <si>
    <t>Mean=2, StdDev=0.5</t>
  </si>
  <si>
    <t>Lgn_ParamStdDevLog</t>
  </si>
  <si>
    <t>Lgn_Param</t>
  </si>
  <si>
    <t>Mean=0</t>
  </si>
  <si>
    <t>1.959963984540054</t>
  </si>
  <si>
    <t/>
  </si>
  <si>
    <t>13.91992796908</t>
  </si>
  <si>
    <t>= 3</t>
  </si>
  <si>
    <t>= 1</t>
  </si>
  <si>
    <t>7.09907138423134</t>
  </si>
  <si>
    <t>Normal Family Benchmark</t>
  </si>
  <si>
    <t>Excel, this library, and an independent Python (scipy) oracle compared across 51 normal, edge, and error-contract cases.</t>
  </si>
  <si>
    <t>#</t>
  </si>
  <si>
    <t>Contract</t>
  </si>
  <si>
    <t>excel-loses</t>
  </si>
  <si>
    <t>domain</t>
  </si>
  <si>
    <t>stricter</t>
  </si>
  <si>
    <t>tradeoff</t>
  </si>
  <si>
    <t>overflow</t>
  </si>
  <si>
    <t>Excel returns a NEGATIVE probability; VBA rejects</t>
  </si>
  <si>
    <t>MeanLog output. closed form, not an independent scipy oracle</t>
  </si>
  <si>
    <t>StdDevLog output. closed form, not an independent scipy oracle</t>
  </si>
  <si>
    <t>StdDev=0 -&gt; Log(2)</t>
  </si>
  <si>
    <t>Degenerate point mass is a valid conversion. closed form, not an independent scipy oracle</t>
  </si>
  <si>
    <t>non-positive mean. closed form, not an independent scipy oracle</t>
  </si>
  <si>
    <t>BENCHMARK_NORMALFAMILY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</si>
</sst>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000000000"/>
    <numFmt numFmtId="167" formatCode="0.00000"/>
    <numFmt numFmtId="168" formatCode="0.000"/>
    <numFmt numFmtId="169" formatCode="0.000000000000"/>
    <numFmt numFmtId="170" formatCode="0.0000%"/>
    <numFmt numFmtId="171" formatCode="0.00000000000000000E+00"/>
    <numFmt numFmtId="172" formatCode="0.00000000000000000"/>
    <numFmt numFmtId="173" formatCode="0.000000000000000"/>
    <numFmt numFmtId="174" formatCode="0.00000000000000"/>
    <numFmt numFmtId="175" formatCode="0.00000000000000E+00"/>
  </numFmts>
  <fonts count="31" x14ac:knownFonts="1">
    <font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4"/>
      <color rgb="FFFFC000"/>
      <name val="Segoe UI"/>
      <family val="2"/>
    </font>
    <font>
      <b/>
      <sz val="16"/>
      <color theme="0"/>
      <name val="Segoe UI"/>
      <family val="2"/>
    </font>
    <font>
      <sz val="10"/>
      <name val="Segoe UI"/>
      <family val="2"/>
    </font>
    <font>
      <b/>
      <sz val="11"/>
      <color rgb="FFFFFFFF"/>
      <name val="Segoe UI"/>
      <family val="2"/>
    </font>
    <font>
      <b/>
      <sz val="10"/>
      <color rgb="FF0B1F33"/>
      <name val="Segoe UI"/>
      <family val="2"/>
    </font>
    <font>
      <b/>
      <sz val="11"/>
      <color rgb="FF0B1F33"/>
      <name val="Segoe UI"/>
      <family val="2"/>
    </font>
    <font>
      <sz val="10"/>
      <color rgb="FF1F2937"/>
      <name val="Segoe UI"/>
      <family val="2"/>
    </font>
    <font>
      <i/>
      <sz val="9"/>
      <color rgb="FF5B6573"/>
      <name val="Segoe UI"/>
      <family val="2"/>
    </font>
    <font>
      <b/>
      <sz val="10"/>
      <color rgb="FF1F2937"/>
      <name val="Segoe UI"/>
      <family val="2"/>
    </font>
    <font>
      <sz val="10"/>
      <color theme="1"/>
      <name val="Aptos Narrow"/>
      <family val="2"/>
      <scheme val="minor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10"/>
      <color rgb="FF0B1F33"/>
      <name val="Segoe UI"/>
      <family val="2"/>
    </font>
    <font>
      <b/>
      <sz val="11"/>
      <color theme="0"/>
      <name val="Segoe UI"/>
      <family val="2"/>
    </font>
    <font>
      <sz val="9"/>
      <color rgb="FF5B6573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u/>
      <sz val="11"/>
      <color theme="10"/>
      <name val="Aptos Narrow"/>
      <family val="2"/>
      <scheme val="minor"/>
    </font>
    <font>
      <sz val="10"/>
      <color rgb="FF243447"/>
      <name val="Aptos Narrow"/>
      <family val="2"/>
      <scheme val="minor"/>
    </font>
    <font>
      <b/>
      <sz val="10"/>
      <color rgb="FF2F75B5"/>
      <name val="Aptos Narrow"/>
      <family val="2"/>
      <scheme val="minor"/>
    </font>
    <font>
      <b/>
      <sz val="10"/>
      <color rgb="FF16324F"/>
      <name val="Aptos Narrow"/>
      <family val="2"/>
      <scheme val="minor"/>
    </font>
    <font>
      <b/>
      <sz val="12"/>
      <color rgb="FFFFC000"/>
      <name val="Segoe UI"/>
      <family val="2"/>
    </font>
    <font>
      <b/>
      <sz val="10"/>
      <color rgb="FFFFFFFF"/>
      <name val="Segoe UI"/>
      <family val="2"/>
    </font>
    <font>
      <b/>
      <sz val="10"/>
      <color rgb="FF2F75B5"/>
      <name val="Segoe UI"/>
      <family val="2"/>
    </font>
    <font>
      <b/>
      <sz val="10"/>
      <color rgb="FF16324F"/>
      <name val="Segoe UI"/>
      <family val="2"/>
    </font>
    <font>
      <u/>
      <sz val="11"/>
      <color theme="10"/>
      <name val="Segoe UI"/>
      <family val="2"/>
    </font>
    <font>
      <sz val="9"/>
      <color theme="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F4F7FA"/>
      </patternFill>
    </fill>
    <fill>
      <patternFill patternType="solid">
        <fgColor rgb="FFDDEBF7"/>
      </patternFill>
    </fill>
    <fill>
      <patternFill patternType="solid">
        <fgColor rgb="FF00206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F1F36"/>
        <bgColor indexed="64"/>
      </patternFill>
    </fill>
    <fill>
      <patternFill patternType="solid">
        <fgColor rgb="FF659DDC"/>
        <bgColor indexed="64"/>
      </patternFill>
    </fill>
    <fill>
      <patternFill patternType="solid">
        <fgColor rgb="FFF9FBF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F4E78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D9E2F3"/>
      </bottom>
      <diagonal/>
    </border>
    <border>
      <left/>
      <right style="thin">
        <color indexed="64"/>
      </right>
      <top style="thin">
        <color indexed="64"/>
      </top>
      <bottom style="thin">
        <color rgb="FFD9E2F3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rgb="FFD9E2F3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rgb="FFD9E2F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F4B183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rgb="FFD9E2F3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hair">
        <color rgb="FFD9E2EA"/>
      </left>
      <right style="hair">
        <color rgb="FFD9E2EA"/>
      </right>
      <top style="hair">
        <color rgb="FFD9E2EA"/>
      </top>
      <bottom style="hair">
        <color rgb="FFD9E2EA"/>
      </bottom>
      <diagonal/>
    </border>
    <border>
      <left style="thin">
        <color theme="0" tint="-0.24994659260841701"/>
      </left>
      <right/>
      <top style="thin">
        <color rgb="FFD9E2F3"/>
      </top>
      <bottom/>
      <diagonal/>
    </border>
    <border>
      <left/>
      <right style="thin">
        <color indexed="64"/>
      </right>
      <top style="thin">
        <color rgb="FFD9E2F3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31">
    <xf numFmtId="0" fontId="0" fillId="0" borderId="0" xfId="0"/>
    <xf numFmtId="0" fontId="3" fillId="0" borderId="0" xfId="0" applyFont="1" applyAlignment="1">
      <alignment vertical="center"/>
    </xf>
    <xf numFmtId="0" fontId="4" fillId="8" borderId="0" xfId="0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14" fontId="6" fillId="9" borderId="0" xfId="0" applyNumberFormat="1" applyFont="1" applyFill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7" fillId="10" borderId="3" xfId="0" applyFont="1" applyFill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0" fontId="7" fillId="10" borderId="10" xfId="0" applyFont="1" applyFill="1" applyBorder="1" applyAlignment="1">
      <alignment vertical="center"/>
    </xf>
    <xf numFmtId="0" fontId="7" fillId="10" borderId="11" xfId="0" applyFont="1" applyFill="1" applyBorder="1" applyAlignment="1">
      <alignment vertical="center"/>
    </xf>
    <xf numFmtId="0" fontId="8" fillId="4" borderId="18" xfId="0" applyFont="1" applyFill="1" applyBorder="1" applyAlignment="1">
      <alignment horizontal="left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7" fillId="10" borderId="23" xfId="0" applyFont="1" applyFill="1" applyBorder="1" applyAlignment="1">
      <alignment vertical="center"/>
    </xf>
    <xf numFmtId="0" fontId="7" fillId="10" borderId="24" xfId="0" applyFont="1" applyFill="1" applyBorder="1" applyAlignment="1">
      <alignment vertical="center"/>
    </xf>
    <xf numFmtId="0" fontId="7" fillId="10" borderId="2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10" borderId="28" xfId="0" applyFont="1" applyFill="1" applyBorder="1" applyAlignment="1">
      <alignment vertical="center"/>
    </xf>
    <xf numFmtId="0" fontId="7" fillId="10" borderId="29" xfId="0" applyFont="1" applyFill="1" applyBorder="1" applyAlignment="1">
      <alignment vertical="center"/>
    </xf>
    <xf numFmtId="0" fontId="7" fillId="10" borderId="3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8" fillId="4" borderId="35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Continuous" vertical="center"/>
    </xf>
    <xf numFmtId="0" fontId="8" fillId="4" borderId="37" xfId="0" applyFont="1" applyFill="1" applyBorder="1" applyAlignment="1">
      <alignment horizontal="centerContinuous" vertical="center"/>
    </xf>
    <xf numFmtId="0" fontId="8" fillId="11" borderId="5" xfId="0" applyFont="1" applyFill="1" applyBorder="1" applyAlignment="1">
      <alignment horizontal="center" vertical="center"/>
    </xf>
    <xf numFmtId="0" fontId="14" fillId="0" borderId="2" xfId="0" applyFont="1" applyBorder="1" applyAlignment="1">
      <alignment vertical="center"/>
    </xf>
    <xf numFmtId="0" fontId="8" fillId="11" borderId="7" xfId="0" applyFont="1" applyFill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0" borderId="22" xfId="0" applyFont="1" applyBorder="1" applyAlignment="1">
      <alignment vertical="center"/>
    </xf>
    <xf numFmtId="0" fontId="10" fillId="0" borderId="38" xfId="0" applyFont="1" applyBorder="1" applyAlignment="1">
      <alignment vertical="center"/>
    </xf>
    <xf numFmtId="0" fontId="14" fillId="0" borderId="19" xfId="0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8" fillId="11" borderId="5" xfId="0" applyFont="1" applyFill="1" applyBorder="1" applyAlignment="1">
      <alignment horizontal="left" vertical="center"/>
    </xf>
    <xf numFmtId="0" fontId="10" fillId="0" borderId="31" xfId="0" applyFont="1" applyBorder="1" applyAlignment="1">
      <alignment vertical="center"/>
    </xf>
    <xf numFmtId="0" fontId="8" fillId="11" borderId="7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8" fillId="4" borderId="16" xfId="0" applyFont="1" applyFill="1" applyBorder="1" applyAlignment="1">
      <alignment horizontal="centerContinuous" vertical="center"/>
    </xf>
    <xf numFmtId="0" fontId="8" fillId="4" borderId="22" xfId="0" applyFont="1" applyFill="1" applyBorder="1" applyAlignment="1">
      <alignment horizontal="left" vertical="center"/>
    </xf>
    <xf numFmtId="0" fontId="8" fillId="4" borderId="38" xfId="0" applyFont="1" applyFill="1" applyBorder="1" applyAlignment="1">
      <alignment horizontal="left" vertical="center"/>
    </xf>
    <xf numFmtId="0" fontId="8" fillId="4" borderId="20" xfId="0" applyFont="1" applyFill="1" applyBorder="1" applyAlignment="1">
      <alignment horizontal="left" vertical="center"/>
    </xf>
    <xf numFmtId="0" fontId="8" fillId="11" borderId="16" xfId="0" applyFont="1" applyFill="1" applyBorder="1" applyAlignment="1">
      <alignment horizontal="left" vertical="center"/>
    </xf>
    <xf numFmtId="0" fontId="8" fillId="11" borderId="17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16" fillId="11" borderId="15" xfId="0" applyFont="1" applyFill="1" applyBorder="1" applyAlignment="1">
      <alignment horizontal="left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42" xfId="0" applyFont="1" applyFill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7" fontId="12" fillId="2" borderId="45" xfId="0" applyNumberFormat="1" applyFont="1" applyFill="1" applyBorder="1" applyAlignment="1">
      <alignment horizontal="center" vertical="center"/>
    </xf>
    <xf numFmtId="167" fontId="12" fillId="2" borderId="2" xfId="0" applyNumberFormat="1" applyFont="1" applyFill="1" applyBorder="1" applyAlignment="1">
      <alignment horizontal="center" vertical="center"/>
    </xf>
    <xf numFmtId="167" fontId="12" fillId="2" borderId="8" xfId="0" applyNumberFormat="1" applyFont="1" applyFill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164" fontId="14" fillId="0" borderId="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9" fillId="4" borderId="46" xfId="0" applyFont="1" applyFill="1" applyBorder="1" applyAlignment="1">
      <alignment horizontal="center" vertical="center" wrapText="1"/>
    </xf>
    <xf numFmtId="0" fontId="9" fillId="4" borderId="47" xfId="0" applyFont="1" applyFill="1" applyBorder="1" applyAlignment="1">
      <alignment horizontal="center" vertical="center" wrapText="1"/>
    </xf>
    <xf numFmtId="0" fontId="9" fillId="4" borderId="48" xfId="0" applyFont="1" applyFill="1" applyBorder="1" applyAlignment="1">
      <alignment horizontal="center" vertical="center" wrapText="1"/>
    </xf>
    <xf numFmtId="168" fontId="10" fillId="0" borderId="3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164" fontId="14" fillId="0" borderId="4" xfId="1" applyNumberFormat="1" applyFont="1" applyBorder="1" applyAlignment="1">
      <alignment horizontal="center" vertical="center"/>
    </xf>
    <xf numFmtId="168" fontId="10" fillId="0" borderId="5" xfId="0" applyNumberFormat="1" applyFont="1" applyBorder="1" applyAlignment="1">
      <alignment horizontal="center" vertical="center"/>
    </xf>
    <xf numFmtId="164" fontId="14" fillId="0" borderId="2" xfId="1" applyNumberFormat="1" applyFont="1" applyBorder="1" applyAlignment="1">
      <alignment horizontal="center" vertical="center"/>
    </xf>
    <xf numFmtId="168" fontId="10" fillId="0" borderId="7" xfId="0" applyNumberFormat="1" applyFont="1" applyBorder="1" applyAlignment="1">
      <alignment horizontal="center" vertical="center"/>
    </xf>
    <xf numFmtId="164" fontId="14" fillId="0" borderId="8" xfId="1" applyNumberFormat="1" applyFont="1" applyBorder="1" applyAlignment="1">
      <alignment horizontal="center" vertical="center"/>
    </xf>
    <xf numFmtId="0" fontId="8" fillId="4" borderId="49" xfId="0" applyFont="1" applyFill="1" applyBorder="1" applyAlignment="1">
      <alignment horizontal="left" vertical="center"/>
    </xf>
    <xf numFmtId="0" fontId="8" fillId="2" borderId="50" xfId="0" applyFont="1" applyFill="1" applyBorder="1" applyAlignment="1">
      <alignment horizontal="center" vertical="center"/>
    </xf>
    <xf numFmtId="0" fontId="10" fillId="0" borderId="26" xfId="0" applyFont="1" applyBorder="1" applyAlignment="1">
      <alignment vertical="center"/>
    </xf>
    <xf numFmtId="0" fontId="9" fillId="4" borderId="51" xfId="0" applyFont="1" applyFill="1" applyBorder="1" applyAlignment="1">
      <alignment horizontal="center" vertical="center" wrapText="1"/>
    </xf>
    <xf numFmtId="0" fontId="9" fillId="4" borderId="52" xfId="0" applyFont="1" applyFill="1" applyBorder="1" applyAlignment="1">
      <alignment horizontal="center" vertical="center" wrapText="1"/>
    </xf>
    <xf numFmtId="169" fontId="14" fillId="0" borderId="4" xfId="0" applyNumberFormat="1" applyFont="1" applyBorder="1" applyAlignment="1">
      <alignment horizontal="center" vertical="center"/>
    </xf>
    <xf numFmtId="169" fontId="14" fillId="0" borderId="2" xfId="0" applyNumberFormat="1" applyFont="1" applyBorder="1" applyAlignment="1">
      <alignment horizontal="center" vertical="center"/>
    </xf>
    <xf numFmtId="169" fontId="14" fillId="0" borderId="8" xfId="0" applyNumberFormat="1" applyFont="1" applyBorder="1" applyAlignment="1">
      <alignment horizontal="center" vertical="center"/>
    </xf>
    <xf numFmtId="169" fontId="14" fillId="0" borderId="2" xfId="1" applyNumberFormat="1" applyFont="1" applyBorder="1" applyAlignment="1">
      <alignment horizontal="center" vertical="center"/>
    </xf>
    <xf numFmtId="170" fontId="14" fillId="0" borderId="2" xfId="2" applyNumberFormat="1" applyFont="1" applyBorder="1" applyAlignment="1">
      <alignment horizontal="center" vertical="center"/>
    </xf>
    <xf numFmtId="0" fontId="19" fillId="5" borderId="0" xfId="0" applyFont="1" applyFill="1" applyAlignment="1">
      <alignment vertical="center"/>
    </xf>
    <xf numFmtId="0" fontId="9" fillId="4" borderId="1" xfId="0" applyFont="1" applyFill="1" applyBorder="1" applyAlignment="1">
      <alignment horizontal="center" vertical="center" wrapText="1"/>
    </xf>
    <xf numFmtId="171" fontId="14" fillId="0" borderId="2" xfId="0" applyNumberFormat="1" applyFont="1" applyBorder="1" applyAlignment="1">
      <alignment horizontal="center" vertical="center" shrinkToFit="1"/>
    </xf>
    <xf numFmtId="171" fontId="14" fillId="0" borderId="2" xfId="1" applyNumberFormat="1" applyFont="1" applyBorder="1" applyAlignment="1">
      <alignment horizontal="center" vertical="center" shrinkToFit="1"/>
    </xf>
    <xf numFmtId="0" fontId="20" fillId="5" borderId="0" xfId="0" applyFont="1" applyFill="1" applyAlignment="1">
      <alignment vertical="center"/>
    </xf>
    <xf numFmtId="168" fontId="10" fillId="0" borderId="54" xfId="0" applyNumberFormat="1" applyFont="1" applyBorder="1" applyAlignment="1">
      <alignment horizontal="center" vertical="center"/>
    </xf>
    <xf numFmtId="168" fontId="12" fillId="0" borderId="55" xfId="0" applyNumberFormat="1" applyFont="1" applyBorder="1" applyAlignment="1">
      <alignment horizontal="center" vertical="center"/>
    </xf>
    <xf numFmtId="171" fontId="14" fillId="0" borderId="5" xfId="0" applyNumberFormat="1" applyFont="1" applyBorder="1" applyAlignment="1">
      <alignment horizontal="center" vertical="center" shrinkToFit="1"/>
    </xf>
    <xf numFmtId="171" fontId="14" fillId="0" borderId="6" xfId="1" applyNumberFormat="1" applyFont="1" applyBorder="1" applyAlignment="1">
      <alignment horizontal="center" vertical="center" shrinkToFit="1"/>
    </xf>
    <xf numFmtId="171" fontId="14" fillId="0" borderId="7" xfId="0" applyNumberFormat="1" applyFont="1" applyBorder="1" applyAlignment="1">
      <alignment horizontal="center" vertical="center" shrinkToFit="1"/>
    </xf>
    <xf numFmtId="171" fontId="14" fillId="0" borderId="8" xfId="0" applyNumberFormat="1" applyFont="1" applyBorder="1" applyAlignment="1">
      <alignment horizontal="center" vertical="center" shrinkToFit="1"/>
    </xf>
    <xf numFmtId="171" fontId="14" fillId="0" borderId="8" xfId="1" applyNumberFormat="1" applyFont="1" applyBorder="1" applyAlignment="1">
      <alignment horizontal="center" vertical="center" shrinkToFit="1"/>
    </xf>
    <xf numFmtId="171" fontId="14" fillId="13" borderId="8" xfId="0" applyNumberFormat="1" applyFont="1" applyFill="1" applyBorder="1" applyAlignment="1">
      <alignment horizontal="center" vertical="center" shrinkToFit="1"/>
    </xf>
    <xf numFmtId="171" fontId="14" fillId="0" borderId="9" xfId="1" applyNumberFormat="1" applyFont="1" applyBorder="1" applyAlignment="1">
      <alignment horizontal="center" vertical="center" shrinkToFit="1"/>
    </xf>
    <xf numFmtId="0" fontId="3" fillId="13" borderId="52" xfId="0" applyFont="1" applyFill="1" applyBorder="1" applyAlignment="1">
      <alignment vertical="center"/>
    </xf>
    <xf numFmtId="0" fontId="3" fillId="13" borderId="53" xfId="0" applyFont="1" applyFill="1" applyBorder="1" applyAlignment="1">
      <alignment vertical="center"/>
    </xf>
    <xf numFmtId="168" fontId="12" fillId="0" borderId="56" xfId="0" applyNumberFormat="1" applyFont="1" applyBorder="1" applyAlignment="1">
      <alignment horizontal="center" vertical="center"/>
    </xf>
    <xf numFmtId="0" fontId="9" fillId="14" borderId="46" xfId="0" applyFont="1" applyFill="1" applyBorder="1" applyAlignment="1">
      <alignment horizontal="center" vertical="center" wrapText="1"/>
    </xf>
    <xf numFmtId="171" fontId="14" fillId="13" borderId="2" xfId="0" applyNumberFormat="1" applyFont="1" applyFill="1" applyBorder="1" applyAlignment="1">
      <alignment horizontal="center" vertical="center" shrinkToFit="1"/>
    </xf>
    <xf numFmtId="172" fontId="14" fillId="0" borderId="6" xfId="1" applyNumberFormat="1" applyFont="1" applyBorder="1" applyAlignment="1">
      <alignment horizontal="center" vertical="center" shrinkToFit="1"/>
    </xf>
    <xf numFmtId="172" fontId="14" fillId="0" borderId="2" xfId="0" applyNumberFormat="1" applyFont="1" applyBorder="1" applyAlignment="1">
      <alignment horizontal="center" vertical="center" shrinkToFit="1"/>
    </xf>
    <xf numFmtId="172" fontId="14" fillId="0" borderId="9" xfId="1" applyNumberFormat="1" applyFont="1" applyBorder="1" applyAlignment="1">
      <alignment horizontal="center" vertical="center" shrinkToFit="1"/>
    </xf>
    <xf numFmtId="172" fontId="14" fillId="0" borderId="8" xfId="0" applyNumberFormat="1" applyFont="1" applyBorder="1" applyAlignment="1">
      <alignment horizontal="center" vertical="center" shrinkToFit="1"/>
    </xf>
    <xf numFmtId="0" fontId="0" fillId="0" borderId="57" xfId="0" applyBorder="1"/>
    <xf numFmtId="0" fontId="5" fillId="9" borderId="0" xfId="0" applyFont="1" applyFill="1" applyAlignment="1">
      <alignment horizontal="left" vertical="center" indent="1"/>
    </xf>
    <xf numFmtId="0" fontId="4" fillId="8" borderId="0" xfId="0" applyFont="1" applyFill="1" applyAlignment="1">
      <alignment horizontal="left" vertical="center" indent="1"/>
    </xf>
    <xf numFmtId="0" fontId="24" fillId="16" borderId="57" xfId="0" applyFont="1" applyFill="1" applyBorder="1" applyAlignment="1">
      <alignment horizontal="center" vertical="center"/>
    </xf>
    <xf numFmtId="0" fontId="24" fillId="16" borderId="57" xfId="3" applyFont="1" applyFill="1" applyBorder="1" applyAlignment="1">
      <alignment horizontal="left" vertical="center"/>
    </xf>
    <xf numFmtId="0" fontId="23" fillId="15" borderId="57" xfId="0" applyFont="1" applyFill="1" applyBorder="1" applyAlignment="1">
      <alignment horizontal="center" vertical="center"/>
    </xf>
    <xf numFmtId="0" fontId="22" fillId="15" borderId="57" xfId="3" applyFont="1" applyFill="1" applyBorder="1" applyAlignment="1">
      <alignment horizontal="left" vertical="center"/>
    </xf>
    <xf numFmtId="0" fontId="27" fillId="15" borderId="57" xfId="0" applyFont="1" applyFill="1" applyBorder="1" applyAlignment="1">
      <alignment horizontal="center" vertical="center"/>
    </xf>
    <xf numFmtId="0" fontId="28" fillId="16" borderId="57" xfId="0" applyFont="1" applyFill="1" applyBorder="1" applyAlignment="1">
      <alignment horizontal="center" vertical="center"/>
    </xf>
    <xf numFmtId="0" fontId="3" fillId="0" borderId="0" xfId="0" applyFont="1"/>
    <xf numFmtId="0" fontId="29" fillId="13" borderId="51" xfId="3" applyFont="1" applyFill="1" applyBorder="1" applyAlignment="1">
      <alignment vertical="center"/>
    </xf>
    <xf numFmtId="0" fontId="29" fillId="0" borderId="0" xfId="3" applyFont="1" applyAlignment="1">
      <alignment horizontal="center" vertical="center"/>
    </xf>
    <xf numFmtId="169" fontId="10" fillId="0" borderId="2" xfId="0" applyNumberFormat="1" applyFont="1" applyBorder="1" applyAlignment="1">
      <alignment horizontal="center" vertical="center"/>
    </xf>
    <xf numFmtId="169" fontId="10" fillId="0" borderId="8" xfId="0" applyNumberFormat="1" applyFont="1" applyBorder="1" applyAlignment="1">
      <alignment horizontal="center" vertical="center"/>
    </xf>
    <xf numFmtId="0" fontId="10" fillId="0" borderId="41" xfId="0" applyFont="1" applyBorder="1" applyAlignment="1">
      <alignment vertical="center"/>
    </xf>
    <xf numFmtId="169" fontId="10" fillId="0" borderId="13" xfId="0" applyNumberFormat="1" applyFont="1" applyBorder="1" applyAlignment="1">
      <alignment horizontal="center" vertical="center"/>
    </xf>
    <xf numFmtId="172" fontId="10" fillId="0" borderId="13" xfId="0" applyNumberFormat="1" applyFont="1" applyBorder="1" applyAlignment="1">
      <alignment horizontal="center" vertical="center"/>
    </xf>
    <xf numFmtId="172" fontId="10" fillId="0" borderId="2" xfId="0" applyNumberFormat="1" applyFont="1" applyBorder="1" applyAlignment="1">
      <alignment horizontal="center" vertical="center"/>
    </xf>
    <xf numFmtId="172" fontId="10" fillId="0" borderId="8" xfId="0" applyNumberFormat="1" applyFont="1" applyBorder="1" applyAlignment="1">
      <alignment horizontal="center" vertical="center"/>
    </xf>
    <xf numFmtId="173" fontId="10" fillId="0" borderId="2" xfId="0" applyNumberFormat="1" applyFont="1" applyBorder="1" applyAlignment="1">
      <alignment horizontal="center" vertical="center"/>
    </xf>
    <xf numFmtId="173" fontId="10" fillId="0" borderId="8" xfId="0" applyNumberFormat="1" applyFont="1" applyBorder="1" applyAlignment="1">
      <alignment horizontal="center" vertical="center"/>
    </xf>
    <xf numFmtId="173" fontId="10" fillId="0" borderId="16" xfId="0" applyNumberFormat="1" applyFont="1" applyBorder="1" applyAlignment="1">
      <alignment horizontal="center" vertical="center"/>
    </xf>
    <xf numFmtId="173" fontId="10" fillId="0" borderId="17" xfId="0" applyNumberFormat="1" applyFont="1" applyBorder="1" applyAlignment="1">
      <alignment horizontal="center" vertical="center"/>
    </xf>
    <xf numFmtId="173" fontId="10" fillId="0" borderId="12" xfId="0" applyNumberFormat="1" applyFont="1" applyBorder="1" applyAlignment="1">
      <alignment horizontal="center" vertical="center"/>
    </xf>
    <xf numFmtId="173" fontId="10" fillId="0" borderId="13" xfId="0" applyNumberFormat="1" applyFont="1" applyBorder="1" applyAlignment="1">
      <alignment horizontal="center" vertical="center"/>
    </xf>
    <xf numFmtId="173" fontId="10" fillId="0" borderId="2" xfId="0" applyNumberFormat="1" applyFont="1" applyBorder="1" applyAlignment="1">
      <alignment horizontal="center" vertical="center" wrapText="1"/>
    </xf>
    <xf numFmtId="174" fontId="10" fillId="0" borderId="2" xfId="0" applyNumberFormat="1" applyFont="1" applyBorder="1" applyAlignment="1">
      <alignment horizontal="center" vertical="center"/>
    </xf>
    <xf numFmtId="174" fontId="10" fillId="0" borderId="8" xfId="0" applyNumberFormat="1" applyFont="1" applyBorder="1" applyAlignment="1">
      <alignment horizontal="center" vertical="center"/>
    </xf>
    <xf numFmtId="172" fontId="14" fillId="13" borderId="2" xfId="0" applyNumberFormat="1" applyFont="1" applyFill="1" applyBorder="1" applyAlignment="1">
      <alignment horizontal="center" vertical="center" shrinkToFit="1"/>
    </xf>
    <xf numFmtId="172" fontId="14" fillId="13" borderId="8" xfId="0" applyNumberFormat="1" applyFont="1" applyFill="1" applyBorder="1" applyAlignment="1">
      <alignment horizontal="center" vertical="center" shrinkToFit="1"/>
    </xf>
    <xf numFmtId="0" fontId="5" fillId="9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7" fillId="18" borderId="61" xfId="0" applyFont="1" applyFill="1" applyBorder="1" applyAlignment="1">
      <alignment horizontal="center" vertical="center"/>
    </xf>
    <xf numFmtId="0" fontId="7" fillId="18" borderId="62" xfId="0" applyFont="1" applyFill="1" applyBorder="1" applyAlignment="1">
      <alignment horizontal="center" vertical="center"/>
    </xf>
    <xf numFmtId="0" fontId="7" fillId="18" borderId="6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30" fillId="0" borderId="64" xfId="0" applyFont="1" applyBorder="1" applyAlignment="1">
      <alignment horizontal="center" vertical="center"/>
    </xf>
    <xf numFmtId="0" fontId="30" fillId="0" borderId="65" xfId="0" applyFont="1" applyBorder="1" applyAlignment="1">
      <alignment horizontal="center" vertical="center"/>
    </xf>
    <xf numFmtId="49" fontId="30" fillId="0" borderId="60" xfId="0" applyNumberFormat="1" applyFont="1" applyBorder="1" applyAlignment="1">
      <alignment vertical="center"/>
    </xf>
    <xf numFmtId="0" fontId="30" fillId="0" borderId="60" xfId="0" applyFont="1" applyBorder="1" applyAlignment="1">
      <alignment vertical="center"/>
    </xf>
    <xf numFmtId="175" fontId="30" fillId="0" borderId="60" xfId="0" applyNumberFormat="1" applyFont="1" applyBorder="1" applyAlignment="1">
      <alignment vertical="center"/>
    </xf>
    <xf numFmtId="0" fontId="30" fillId="0" borderId="60" xfId="0" applyFont="1" applyBorder="1" applyAlignment="1">
      <alignment horizontal="center" vertical="center"/>
    </xf>
    <xf numFmtId="169" fontId="14" fillId="0" borderId="13" xfId="0" applyNumberFormat="1" applyFont="1" applyBorder="1" applyAlignment="1">
      <alignment horizontal="center" vertical="center"/>
    </xf>
    <xf numFmtId="0" fontId="9" fillId="4" borderId="66" xfId="0" applyFont="1" applyFill="1" applyBorder="1" applyAlignment="1">
      <alignment horizontal="center" vertical="center" wrapText="1"/>
    </xf>
    <xf numFmtId="0" fontId="25" fillId="17" borderId="57" xfId="0" applyFont="1" applyFill="1" applyBorder="1" applyAlignment="1">
      <alignment horizontal="center" vertical="center"/>
    </xf>
    <xf numFmtId="0" fontId="26" fillId="9" borderId="57" xfId="0" applyFont="1" applyFill="1" applyBorder="1" applyAlignment="1">
      <alignment horizontal="left" vertical="center" indent="1"/>
    </xf>
    <xf numFmtId="0" fontId="10" fillId="0" borderId="19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43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0" fillId="0" borderId="26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2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8" fillId="4" borderId="18" xfId="0" applyFont="1" applyFill="1" applyBorder="1" applyAlignment="1">
      <alignment horizontal="left" vertical="center"/>
    </xf>
    <xf numFmtId="0" fontId="8" fillId="4" borderId="16" xfId="0" applyFont="1" applyFill="1" applyBorder="1" applyAlignment="1">
      <alignment horizontal="left" vertical="center"/>
    </xf>
    <xf numFmtId="0" fontId="8" fillId="4" borderId="15" xfId="0" applyFont="1" applyFill="1" applyBorder="1" applyAlignment="1">
      <alignment horizontal="left" vertical="center"/>
    </xf>
    <xf numFmtId="0" fontId="8" fillId="4" borderId="17" xfId="0" applyFont="1" applyFill="1" applyBorder="1" applyAlignment="1">
      <alignment horizontal="left" vertical="center"/>
    </xf>
    <xf numFmtId="0" fontId="14" fillId="0" borderId="19" xfId="0" applyFont="1" applyBorder="1" applyAlignment="1">
      <alignment horizontal="left" vertical="center"/>
    </xf>
    <xf numFmtId="0" fontId="14" fillId="0" borderId="39" xfId="0" applyFont="1" applyBorder="1" applyAlignment="1">
      <alignment horizontal="left" vertical="center"/>
    </xf>
    <xf numFmtId="0" fontId="14" fillId="0" borderId="17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0" borderId="38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7" borderId="51" xfId="0" applyFont="1" applyFill="1" applyBorder="1" applyAlignment="1">
      <alignment horizontal="center" vertical="center"/>
    </xf>
    <xf numFmtId="0" fontId="17" fillId="7" borderId="52" xfId="0" applyFont="1" applyFill="1" applyBorder="1" applyAlignment="1">
      <alignment horizontal="center" vertical="center"/>
    </xf>
    <xf numFmtId="0" fontId="17" fillId="7" borderId="53" xfId="0" applyFont="1" applyFill="1" applyBorder="1" applyAlignment="1">
      <alignment horizontal="center" vertical="center"/>
    </xf>
    <xf numFmtId="0" fontId="17" fillId="12" borderId="40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left" vertical="center" shrinkToFit="1"/>
    </xf>
    <xf numFmtId="0" fontId="11" fillId="3" borderId="6" xfId="0" applyFont="1" applyFill="1" applyBorder="1" applyAlignment="1">
      <alignment horizontal="left" vertical="center" shrinkToFit="1"/>
    </xf>
    <xf numFmtId="0" fontId="11" fillId="3" borderId="8" xfId="0" applyFont="1" applyFill="1" applyBorder="1" applyAlignment="1">
      <alignment horizontal="left" vertical="center" shrinkToFit="1"/>
    </xf>
    <xf numFmtId="0" fontId="11" fillId="3" borderId="9" xfId="0" applyFont="1" applyFill="1" applyBorder="1" applyAlignment="1">
      <alignment horizontal="left" vertical="center" shrinkToFit="1"/>
    </xf>
    <xf numFmtId="0" fontId="9" fillId="4" borderId="1" xfId="0" applyFont="1" applyFill="1" applyBorder="1" applyAlignment="1">
      <alignment horizontal="left" vertical="center" wrapText="1"/>
    </xf>
    <xf numFmtId="0" fontId="11" fillId="3" borderId="14" xfId="0" applyFont="1" applyFill="1" applyBorder="1" applyAlignment="1">
      <alignment horizontal="left" vertical="center" shrinkToFit="1"/>
    </xf>
    <xf numFmtId="0" fontId="11" fillId="3" borderId="12" xfId="0" applyFont="1" applyFill="1" applyBorder="1" applyAlignment="1">
      <alignment horizontal="left" vertical="center" shrinkToFit="1"/>
    </xf>
    <xf numFmtId="0" fontId="11" fillId="3" borderId="22" xfId="0" applyFont="1" applyFill="1" applyBorder="1" applyAlignment="1">
      <alignment horizontal="left" vertical="center" shrinkToFit="1"/>
    </xf>
    <xf numFmtId="0" fontId="11" fillId="3" borderId="16" xfId="0" applyFont="1" applyFill="1" applyBorder="1" applyAlignment="1">
      <alignment horizontal="left" vertical="center" shrinkToFit="1"/>
    </xf>
    <xf numFmtId="0" fontId="7" fillId="10" borderId="51" xfId="0" applyFont="1" applyFill="1" applyBorder="1" applyAlignment="1">
      <alignment horizontal="left" vertical="center"/>
    </xf>
    <xf numFmtId="0" fontId="7" fillId="10" borderId="52" xfId="0" applyFont="1" applyFill="1" applyBorder="1" applyAlignment="1">
      <alignment horizontal="left" vertical="center"/>
    </xf>
    <xf numFmtId="0" fontId="7" fillId="10" borderId="53" xfId="0" applyFont="1" applyFill="1" applyBorder="1" applyAlignment="1">
      <alignment horizontal="left" vertical="center"/>
    </xf>
    <xf numFmtId="0" fontId="18" fillId="3" borderId="19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left" vertical="center" shrinkToFit="1"/>
    </xf>
    <xf numFmtId="0" fontId="7" fillId="10" borderId="28" xfId="0" applyFont="1" applyFill="1" applyBorder="1" applyAlignment="1">
      <alignment horizontal="left" vertical="center"/>
    </xf>
    <xf numFmtId="0" fontId="7" fillId="10" borderId="29" xfId="0" applyFont="1" applyFill="1" applyBorder="1" applyAlignment="1">
      <alignment horizontal="left" vertical="center"/>
    </xf>
    <xf numFmtId="0" fontId="7" fillId="10" borderId="30" xfId="0" applyFont="1" applyFill="1" applyBorder="1" applyAlignment="1">
      <alignment horizontal="left" vertical="center"/>
    </xf>
    <xf numFmtId="0" fontId="11" fillId="3" borderId="36" xfId="0" applyFont="1" applyFill="1" applyBorder="1" applyAlignment="1">
      <alignment horizontal="left" vertical="center" shrinkToFit="1"/>
    </xf>
    <xf numFmtId="0" fontId="11" fillId="3" borderId="37" xfId="0" applyFont="1" applyFill="1" applyBorder="1" applyAlignment="1">
      <alignment horizontal="left" vertical="center" shrinkToFit="1"/>
    </xf>
    <xf numFmtId="0" fontId="11" fillId="3" borderId="58" xfId="0" applyFont="1" applyFill="1" applyBorder="1" applyAlignment="1">
      <alignment horizontal="left" vertical="center" wrapText="1"/>
    </xf>
    <xf numFmtId="0" fontId="11" fillId="3" borderId="59" xfId="0" applyFont="1" applyFill="1" applyBorder="1" applyAlignment="1">
      <alignment horizontal="left" vertical="center" wrapText="1"/>
    </xf>
    <xf numFmtId="0" fontId="11" fillId="3" borderId="26" xfId="0" applyFont="1" applyFill="1" applyBorder="1" applyAlignment="1">
      <alignment horizontal="left" vertical="center" wrapText="1"/>
    </xf>
    <xf numFmtId="0" fontId="11" fillId="3" borderId="31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11" fillId="3" borderId="42" xfId="0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 wrapText="1"/>
    </xf>
    <xf numFmtId="0" fontId="11" fillId="3" borderId="6" xfId="0" applyFont="1" applyFill="1" applyBorder="1" applyAlignment="1">
      <alignment horizontal="left" vertical="center" wrapText="1"/>
    </xf>
    <xf numFmtId="0" fontId="11" fillId="3" borderId="8" xfId="0" applyFont="1" applyFill="1" applyBorder="1" applyAlignment="1">
      <alignment horizontal="left" vertical="center" wrapText="1"/>
    </xf>
    <xf numFmtId="0" fontId="11" fillId="3" borderId="9" xfId="0" applyFont="1" applyFill="1" applyBorder="1" applyAlignment="1">
      <alignment horizontal="left" vertical="center" wrapText="1"/>
    </xf>
    <xf numFmtId="0" fontId="11" fillId="3" borderId="32" xfId="0" applyFont="1" applyFill="1" applyBorder="1" applyAlignment="1">
      <alignment horizontal="left" vertical="center" wrapText="1"/>
    </xf>
    <xf numFmtId="0" fontId="11" fillId="3" borderId="34" xfId="0" applyFont="1" applyFill="1" applyBorder="1" applyAlignment="1">
      <alignment horizontal="left" vertical="center" wrapText="1"/>
    </xf>
    <xf numFmtId="0" fontId="0" fillId="0" borderId="0" xfId="0" applyBorder="1"/>
    <xf numFmtId="49" fontId="30" fillId="0" borderId="67" xfId="0" applyNumberFormat="1" applyFont="1" applyBorder="1" applyAlignment="1">
      <alignment vertical="center"/>
    </xf>
    <xf numFmtId="49" fontId="30" fillId="0" borderId="68" xfId="0" applyNumberFormat="1" applyFont="1" applyBorder="1" applyAlignment="1">
      <alignment vertical="center"/>
    </xf>
    <xf numFmtId="0" fontId="30" fillId="0" borderId="68" xfId="0" applyFont="1" applyBorder="1" applyAlignment="1">
      <alignment vertical="center"/>
    </xf>
    <xf numFmtId="175" fontId="30" fillId="0" borderId="68" xfId="0" applyNumberFormat="1" applyFont="1" applyBorder="1" applyAlignment="1">
      <alignment vertical="center"/>
    </xf>
    <xf numFmtId="0" fontId="30" fillId="0" borderId="68" xfId="0" applyFont="1" applyBorder="1" applyAlignment="1">
      <alignment horizontal="center" vertical="center"/>
    </xf>
    <xf numFmtId="49" fontId="30" fillId="0" borderId="69" xfId="0" applyNumberFormat="1" applyFont="1" applyBorder="1" applyAlignment="1">
      <alignment vertical="center"/>
    </xf>
  </cellXfs>
  <cellStyles count="4">
    <cellStyle name="Comma" xfId="1" builtinId="3"/>
    <cellStyle name="Hyperlink" xfId="3" builtinId="8"/>
    <cellStyle name="Normal" xfId="0" builtinId="0" customBuiltin="1"/>
    <cellStyle name="Percent" xfId="2" builtinId="5"/>
  </cellStyles>
  <dxfs count="26"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color rgb="FF274E13"/>
      </font>
      <fill>
        <patternFill patternType="solid">
          <bgColor rgb="FFD9EAD3"/>
        </patternFill>
      </fill>
    </dxf>
    <dxf>
      <font>
        <color rgb="FF9C0006"/>
      </font>
      <fill>
        <patternFill patternType="solid">
          <bgColor rgb="FFF4CCCC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274E13"/>
      </font>
      <fill>
        <patternFill patternType="solid">
          <bgColor rgb="FFE2F0D9"/>
        </patternFill>
      </fill>
    </dxf>
  </dxfs>
  <tableStyles count="0" defaultTableStyle="TableStyleMedium2" defaultPivotStyle="PivotStyleLight16"/>
  <colors>
    <mruColors>
      <color rgb="FFF9FBFD"/>
      <color rgb="FFFBFDFF"/>
      <color rgb="FFE2F0FC"/>
      <color rgb="FF659DDC"/>
      <color rgb="FF0F1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SupportingPropertyBagStructure" Target="richData/rdsupportingpropertybag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Array" Target="richData/rdarray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NORMAL!$F$30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NORMAL!$F$31:$F$111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A-4BDF-BE12-97524D87AF33}"/>
            </c:ext>
          </c:extLst>
        </c:ser>
        <c:ser>
          <c:idx val="1"/>
          <c:order val="1"/>
          <c:tx>
            <c:strRef>
              <c:f>NORMAL!$G$30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NORMAL!$G$31:$G$111</c:f>
              <c:numCache>
                <c:formatCode>0.000000000000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4.2478027055075219E-4</c:v>
                </c:pt>
                <c:pt idx="4">
                  <c:v>6.1190193011377298E-4</c:v>
                </c:pt>
                <c:pt idx="5">
                  <c:v>8.7268269504576167E-4</c:v>
                </c:pt>
                <c:pt idx="6">
                  <c:v>1.232219168473021E-3</c:v>
                </c:pt>
                <c:pt idx="7">
                  <c:v>1.7225689390536843E-3</c:v>
                </c:pt>
                <c:pt idx="8">
                  <c:v>2.3840882014648486E-3</c:v>
                </c:pt>
                <c:pt idx="9">
                  <c:v>3.2668190561999273E-3</c:v>
                </c:pt>
                <c:pt idx="10">
                  <c:v>4.4318484119380188E-3</c:v>
                </c:pt>
                <c:pt idx="11">
                  <c:v>5.9525324197758694E-3</c:v>
                </c:pt>
                <c:pt idx="12">
                  <c:v>7.9154515829799894E-3</c:v>
                </c:pt>
                <c:pt idx="13">
                  <c:v>1.0420934814422628E-2</c:v>
                </c:pt>
                <c:pt idx="14">
                  <c:v>1.3582969233685661E-2</c:v>
                </c:pt>
                <c:pt idx="15">
                  <c:v>1.7528300493568599E-2</c:v>
                </c:pt>
                <c:pt idx="16">
                  <c:v>2.2394530294842969E-2</c:v>
                </c:pt>
                <c:pt idx="17">
                  <c:v>2.8327037741601276E-2</c:v>
                </c:pt>
                <c:pt idx="18">
                  <c:v>3.547459284623157E-2</c:v>
                </c:pt>
                <c:pt idx="19">
                  <c:v>4.3983595980427351E-2</c:v>
                </c:pt>
                <c:pt idx="20">
                  <c:v>5.399096651318825E-2</c:v>
                </c:pt>
                <c:pt idx="21">
                  <c:v>6.5615814774676831E-2</c:v>
                </c:pt>
                <c:pt idx="22">
                  <c:v>7.8950158300894427E-2</c:v>
                </c:pt>
                <c:pt idx="23">
                  <c:v>9.4049077376887252E-2</c:v>
                </c:pt>
                <c:pt idx="24">
                  <c:v>0.11092083467945592</c:v>
                </c:pt>
                <c:pt idx="25">
                  <c:v>0.12951759566589216</c:v>
                </c:pt>
                <c:pt idx="26">
                  <c:v>0.14972746563574535</c:v>
                </c:pt>
                <c:pt idx="27">
                  <c:v>0.17136859204780791</c:v>
                </c:pt>
                <c:pt idx="28">
                  <c:v>0.19418605498321354</c:v>
                </c:pt>
                <c:pt idx="29">
                  <c:v>0.21785217703255116</c:v>
                </c:pt>
                <c:pt idx="30">
                  <c:v>0.24197072451914398</c:v>
                </c:pt>
                <c:pt idx="31">
                  <c:v>0.26608524989875543</c:v>
                </c:pt>
                <c:pt idx="32">
                  <c:v>0.28969155276148334</c:v>
                </c:pt>
                <c:pt idx="33">
                  <c:v>0.31225393336676183</c:v>
                </c:pt>
                <c:pt idx="34">
                  <c:v>0.33322460289180011</c:v>
                </c:pt>
                <c:pt idx="35">
                  <c:v>0.35206532676429991</c:v>
                </c:pt>
                <c:pt idx="36">
                  <c:v>0.36827014030332367</c:v>
                </c:pt>
                <c:pt idx="37">
                  <c:v>0.38138781546052442</c:v>
                </c:pt>
                <c:pt idx="38">
                  <c:v>0.3910426939754561</c:v>
                </c:pt>
                <c:pt idx="39">
                  <c:v>0.39695254747701186</c:v>
                </c:pt>
                <c:pt idx="40">
                  <c:v>0.3989422804014327</c:v>
                </c:pt>
                <c:pt idx="41">
                  <c:v>0.3969525474770117</c:v>
                </c:pt>
                <c:pt idx="42">
                  <c:v>0.39104269397545571</c:v>
                </c:pt>
                <c:pt idx="43">
                  <c:v>0.3813878154605238</c:v>
                </c:pt>
                <c:pt idx="44">
                  <c:v>0.36827014030332295</c:v>
                </c:pt>
                <c:pt idx="45">
                  <c:v>0.35206532676429908</c:v>
                </c:pt>
                <c:pt idx="46">
                  <c:v>0.33322460289179917</c:v>
                </c:pt>
                <c:pt idx="47">
                  <c:v>0.31225393336676072</c:v>
                </c:pt>
                <c:pt idx="48">
                  <c:v>0.28969155276148217</c:v>
                </c:pt>
                <c:pt idx="49">
                  <c:v>0.26608524989875426</c:v>
                </c:pt>
                <c:pt idx="50">
                  <c:v>0.24197072451914278</c:v>
                </c:pt>
                <c:pt idx="51">
                  <c:v>0.21785217703254997</c:v>
                </c:pt>
                <c:pt idx="52">
                  <c:v>0.19418605498321231</c:v>
                </c:pt>
                <c:pt idx="53">
                  <c:v>0.17136859204780677</c:v>
                </c:pt>
                <c:pt idx="54">
                  <c:v>0.14972746563574427</c:v>
                </c:pt>
                <c:pt idx="55">
                  <c:v>0.12951759566589116</c:v>
                </c:pt>
                <c:pt idx="56">
                  <c:v>0.11092083467945503</c:v>
                </c:pt>
                <c:pt idx="57">
                  <c:v>9.4049077376886434E-2</c:v>
                </c:pt>
                <c:pt idx="58">
                  <c:v>7.8950158300893719E-2</c:v>
                </c:pt>
                <c:pt idx="59">
                  <c:v>6.5615814774676193E-2</c:v>
                </c:pt>
                <c:pt idx="60">
                  <c:v>5.3990966513187716E-2</c:v>
                </c:pt>
                <c:pt idx="61">
                  <c:v>4.39835959804269E-2</c:v>
                </c:pt>
                <c:pt idx="62">
                  <c:v>3.5474592846231189E-2</c:v>
                </c:pt>
                <c:pt idx="63">
                  <c:v>2.8327037741600961E-2</c:v>
                </c:pt>
                <c:pt idx="64">
                  <c:v>2.2394530294842712E-2</c:v>
                </c:pt>
                <c:pt idx="65">
                  <c:v>1.7528300493568381E-2</c:v>
                </c:pt>
                <c:pt idx="66">
                  <c:v>1.3582969233685486E-2</c:v>
                </c:pt>
                <c:pt idx="67">
                  <c:v>1.0420934814422488E-2</c:v>
                </c:pt>
                <c:pt idx="68">
                  <c:v>7.9154515829798801E-3</c:v>
                </c:pt>
                <c:pt idx="69">
                  <c:v>5.9525324197757853E-3</c:v>
                </c:pt>
                <c:pt idx="70">
                  <c:v>4.4318484119379529E-3</c:v>
                </c:pt>
                <c:pt idx="71">
                  <c:v>3.2668190561998783E-3</c:v>
                </c:pt>
                <c:pt idx="72">
                  <c:v>2.3840882014648105E-3</c:v>
                </c:pt>
                <c:pt idx="73">
                  <c:v>1.7225689390536552E-3</c:v>
                </c:pt>
                <c:pt idx="74">
                  <c:v>1.2322191684730013E-3</c:v>
                </c:pt>
                <c:pt idx="75">
                  <c:v>8.7268269504574606E-4</c:v>
                </c:pt>
                <c:pt idx="76">
                  <c:v>6.1190193011376214E-4</c:v>
                </c:pt>
                <c:pt idx="77">
                  <c:v>4.2478027055074428E-4</c:v>
                </c:pt>
                <c:pt idx="78">
                  <c:v>2.9194692579145507E-4</c:v>
                </c:pt>
                <c:pt idx="79">
                  <c:v>1.9865547139276881E-4</c:v>
                </c:pt>
                <c:pt idx="80">
                  <c:v>1.3383022576488298E-4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NORMAL!$H$30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NORMAL!$E$31:$E$111</c:f>
              <c:numCache>
                <c:formatCode>0.000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-1.0999999999999974</c:v>
                </c:pt>
                <c:pt idx="30">
                  <c:v>-0.99999999999999745</c:v>
                </c:pt>
                <c:pt idx="31">
                  <c:v>-0.89999999999999747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-0.59999999999999754</c:v>
                </c:pt>
                <c:pt idx="35">
                  <c:v>-0.49999999999999756</c:v>
                </c:pt>
                <c:pt idx="36">
                  <c:v>-0.39999999999999758</c:v>
                </c:pt>
                <c:pt idx="37">
                  <c:v>-0.2999999999999976</c:v>
                </c:pt>
                <c:pt idx="38">
                  <c:v>-0.1999999999999976</c:v>
                </c:pt>
                <c:pt idx="39">
                  <c:v>-9.9999999999997591E-2</c:v>
                </c:pt>
                <c:pt idx="40">
                  <c:v>2.4147350785597155E-15</c:v>
                </c:pt>
                <c:pt idx="41">
                  <c:v>0.10000000000000242</c:v>
                </c:pt>
                <c:pt idx="42">
                  <c:v>0.20000000000000243</c:v>
                </c:pt>
                <c:pt idx="43">
                  <c:v>0.30000000000000243</c:v>
                </c:pt>
                <c:pt idx="44">
                  <c:v>0.40000000000000246</c:v>
                </c:pt>
                <c:pt idx="45">
                  <c:v>0.50000000000000244</c:v>
                </c:pt>
                <c:pt idx="46">
                  <c:v>0.60000000000000242</c:v>
                </c:pt>
                <c:pt idx="47">
                  <c:v>0.7000000000000024</c:v>
                </c:pt>
                <c:pt idx="48">
                  <c:v>0.80000000000000238</c:v>
                </c:pt>
                <c:pt idx="49">
                  <c:v>0.90000000000000235</c:v>
                </c:pt>
                <c:pt idx="50">
                  <c:v>1.0000000000000024</c:v>
                </c:pt>
                <c:pt idx="51">
                  <c:v>1.1000000000000025</c:v>
                </c:pt>
                <c:pt idx="52">
                  <c:v>1.2000000000000026</c:v>
                </c:pt>
                <c:pt idx="53">
                  <c:v>1.3000000000000027</c:v>
                </c:pt>
                <c:pt idx="54">
                  <c:v>1.4000000000000028</c:v>
                </c:pt>
                <c:pt idx="55">
                  <c:v>1.5000000000000029</c:v>
                </c:pt>
                <c:pt idx="56">
                  <c:v>1.600000000000003</c:v>
                </c:pt>
                <c:pt idx="57">
                  <c:v>1.7000000000000031</c:v>
                </c:pt>
                <c:pt idx="58">
                  <c:v>1.8000000000000032</c:v>
                </c:pt>
                <c:pt idx="59">
                  <c:v>1.9000000000000032</c:v>
                </c:pt>
                <c:pt idx="60">
                  <c:v>2.0000000000000031</c:v>
                </c:pt>
                <c:pt idx="61">
                  <c:v>2.1000000000000032</c:v>
                </c:pt>
                <c:pt idx="62">
                  <c:v>2.2000000000000033</c:v>
                </c:pt>
                <c:pt idx="63">
                  <c:v>2.3000000000000034</c:v>
                </c:pt>
                <c:pt idx="64">
                  <c:v>2.4000000000000035</c:v>
                </c:pt>
                <c:pt idx="65">
                  <c:v>2.5000000000000036</c:v>
                </c:pt>
                <c:pt idx="66">
                  <c:v>2.6000000000000036</c:v>
                </c:pt>
                <c:pt idx="67">
                  <c:v>2.7000000000000037</c:v>
                </c:pt>
                <c:pt idx="68">
                  <c:v>2.8000000000000038</c:v>
                </c:pt>
                <c:pt idx="69">
                  <c:v>2.9000000000000039</c:v>
                </c:pt>
                <c:pt idx="70">
                  <c:v>3.000000000000004</c:v>
                </c:pt>
                <c:pt idx="71">
                  <c:v>3.1000000000000041</c:v>
                </c:pt>
                <c:pt idx="72">
                  <c:v>3.2000000000000042</c:v>
                </c:pt>
                <c:pt idx="73">
                  <c:v>3.3000000000000043</c:v>
                </c:pt>
                <c:pt idx="74">
                  <c:v>3.4000000000000044</c:v>
                </c:pt>
                <c:pt idx="75">
                  <c:v>3.5000000000000044</c:v>
                </c:pt>
                <c:pt idx="76">
                  <c:v>3.6000000000000045</c:v>
                </c:pt>
                <c:pt idx="77">
                  <c:v>3.7000000000000046</c:v>
                </c:pt>
                <c:pt idx="78">
                  <c:v>3.8000000000000047</c:v>
                </c:pt>
                <c:pt idx="79">
                  <c:v>3.9000000000000048</c:v>
                </c:pt>
                <c:pt idx="80">
                  <c:v>4.0000000000000044</c:v>
                </c:pt>
              </c:numCache>
            </c:numRef>
          </c:cat>
          <c:val>
            <c:numRef>
              <c:f>NORMAL!$H$31:$H$111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NORMAL!$I$31:$I$111</c:f>
              <c:numCache>
                <c:formatCode>0.000000000000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NORMAL!$J$31:$J$111</c:f>
              <c:numCache>
                <c:formatCode>0.000000000000</c:formatCode>
                <c:ptCount val="81"/>
                <c:pt idx="0">
                  <c:v>3.1671241833116008E-5</c:v>
                </c:pt>
                <c:pt idx="1">
                  <c:v>4.809634401759119E-5</c:v>
                </c:pt>
                <c:pt idx="2">
                  <c:v>7.234804392510225E-5</c:v>
                </c:pt>
                <c:pt idx="3">
                  <c:v>1.0779973347736729E-4</c:v>
                </c:pt>
                <c:pt idx="4">
                  <c:v>1.5910859015751325E-4</c:v>
                </c:pt>
                <c:pt idx="5">
                  <c:v>2.3262907903550908E-4</c:v>
                </c:pt>
                <c:pt idx="6">
                  <c:v>3.3692926567687332E-4</c:v>
                </c:pt>
                <c:pt idx="7">
                  <c:v>4.8342414238378069E-4</c:v>
                </c:pt>
                <c:pt idx="8">
                  <c:v>6.8713793791586248E-4</c:v>
                </c:pt>
                <c:pt idx="9">
                  <c:v>9.6760321321837843E-4</c:v>
                </c:pt>
                <c:pt idx="10">
                  <c:v>1.3498980316301193E-3</c:v>
                </c:pt>
                <c:pt idx="11">
                  <c:v>1.8658133003840594E-3</c:v>
                </c:pt>
                <c:pt idx="12">
                  <c:v>2.5551303304279477E-3</c:v>
                </c:pt>
                <c:pt idx="13">
                  <c:v>3.466973803040673E-3</c:v>
                </c:pt>
                <c:pt idx="14">
                  <c:v>4.6611880237187476E-3</c:v>
                </c:pt>
                <c:pt idx="15">
                  <c:v>6.2096653257761366E-3</c:v>
                </c:pt>
                <c:pt idx="16">
                  <c:v>8.1975359245961398E-3</c:v>
                </c:pt>
                <c:pt idx="17">
                  <c:v>1.0724110021675842E-2</c:v>
                </c:pt>
                <c:pt idx="18">
                  <c:v>1.3903447513498675E-2</c:v>
                </c:pt>
                <c:pt idx="19">
                  <c:v>1.7864420562816646E-2</c:v>
                </c:pt>
                <c:pt idx="20">
                  <c:v>2.2750131948179323E-2</c:v>
                </c:pt>
                <c:pt idx="21">
                  <c:v>2.8716559816001928E-2</c:v>
                </c:pt>
                <c:pt idx="22">
                  <c:v>3.5930319112925942E-2</c:v>
                </c:pt>
                <c:pt idx="23">
                  <c:v>4.4565462758543214E-2</c:v>
                </c:pt>
                <c:pt idx="24">
                  <c:v>5.4799291699558196E-2</c:v>
                </c:pt>
                <c:pt idx="25">
                  <c:v>6.6807201268858335E-2</c:v>
                </c:pt>
                <c:pt idx="26">
                  <c:v>8.07566592337714E-2</c:v>
                </c:pt>
                <c:pt idx="27">
                  <c:v>9.6800484585610774E-2</c:v>
                </c:pt>
                <c:pt idx="28">
                  <c:v>0.11506967022170878</c:v>
                </c:pt>
                <c:pt idx="29">
                  <c:v>0.13566606094638323</c:v>
                </c:pt>
                <c:pt idx="30">
                  <c:v>0.15865525393145766</c:v>
                </c:pt>
                <c:pt idx="31">
                  <c:v>0.18406012534676017</c:v>
                </c:pt>
                <c:pt idx="32">
                  <c:v>0.21185539858339744</c:v>
                </c:pt>
                <c:pt idx="33">
                  <c:v>0.24196365222307384</c:v>
                </c:pt>
                <c:pt idx="34">
                  <c:v>0.27425311775007438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0.38208857781104832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0.72574688224992712</c:v>
                </c:pt>
                <c:pt idx="47">
                  <c:v>0.75803634777692774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0.84134474606854348</c:v>
                </c:pt>
                <c:pt idx="51">
                  <c:v>0.86433393905361777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0.97128344018399837</c:v>
                </c:pt>
                <c:pt idx="60">
                  <c:v>0.9772498680518209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NORMAL!$K$31:$K$111</c:f>
              <c:numCache>
                <c:formatCode>0.0000000000</c:formatCode>
                <c:ptCount val="81"/>
                <c:pt idx="0">
                  <c:v>3.8489177123235407E-18</c:v>
                </c:pt>
                <c:pt idx="1">
                  <c:v>1.1424780392566003E-17</c:v>
                </c:pt>
                <c:pt idx="2">
                  <c:v>1.7740258047294066E-17</c:v>
                </c:pt>
                <c:pt idx="3">
                  <c:v>2.0952206983282373E-17</c:v>
                </c:pt>
                <c:pt idx="4">
                  <c:v>2.0708261494473135E-17</c:v>
                </c:pt>
                <c:pt idx="5">
                  <c:v>1.5964876989849053E-17</c:v>
                </c:pt>
                <c:pt idx="6">
                  <c:v>8.1857264022655585E-18</c:v>
                </c:pt>
                <c:pt idx="7">
                  <c:v>3.2526065174565133E-18</c:v>
                </c:pt>
                <c:pt idx="8">
                  <c:v>1.2793585635328952E-17</c:v>
                </c:pt>
                <c:pt idx="9">
                  <c:v>2.0274580625478933E-17</c:v>
                </c:pt>
                <c:pt idx="10">
                  <c:v>2.1033522146218786E-17</c:v>
                </c:pt>
                <c:pt idx="11">
                  <c:v>1.8431436932253575E-17</c:v>
                </c:pt>
                <c:pt idx="12">
                  <c:v>8.6736173798840355E-18</c:v>
                </c:pt>
                <c:pt idx="13">
                  <c:v>4.7704895589362195E-18</c:v>
                </c:pt>
                <c:pt idx="14">
                  <c:v>1.7347234759768071E-17</c:v>
                </c:pt>
                <c:pt idx="15">
                  <c:v>1.9949319973733282E-17</c:v>
                </c:pt>
                <c:pt idx="16">
                  <c:v>1.7347234759768071E-17</c:v>
                </c:pt>
                <c:pt idx="17">
                  <c:v>1.7347234759768071E-18</c:v>
                </c:pt>
                <c:pt idx="18">
                  <c:v>1.214306433183765E-17</c:v>
                </c:pt>
                <c:pt idx="19">
                  <c:v>1.7347234759768071E-17</c:v>
                </c:pt>
                <c:pt idx="20">
                  <c:v>2.0816681711721685E-17</c:v>
                </c:pt>
                <c:pt idx="21">
                  <c:v>0</c:v>
                </c:pt>
                <c:pt idx="22">
                  <c:v>2.7755575615628914E-17</c:v>
                </c:pt>
                <c:pt idx="23">
                  <c:v>2.0816681711721685E-17</c:v>
                </c:pt>
                <c:pt idx="24">
                  <c:v>6.9388939039072284E-18</c:v>
                </c:pt>
                <c:pt idx="25">
                  <c:v>1.3877787807814457E-17</c:v>
                </c:pt>
                <c:pt idx="26">
                  <c:v>1.3877787807814457E-17</c:v>
                </c:pt>
                <c:pt idx="27">
                  <c:v>4.163336342344337E-17</c:v>
                </c:pt>
                <c:pt idx="28">
                  <c:v>2.7755575615628914E-17</c:v>
                </c:pt>
                <c:pt idx="29">
                  <c:v>2.7755575615628914E-17</c:v>
                </c:pt>
                <c:pt idx="30">
                  <c:v>5.5511151231257827E-17</c:v>
                </c:pt>
                <c:pt idx="31">
                  <c:v>5.5511151231257827E-17</c:v>
                </c:pt>
                <c:pt idx="32">
                  <c:v>5.5511151231257827E-17</c:v>
                </c:pt>
                <c:pt idx="33">
                  <c:v>8.3266726846886741E-17</c:v>
                </c:pt>
                <c:pt idx="34">
                  <c:v>5.5511151231257827E-17</c:v>
                </c:pt>
                <c:pt idx="35">
                  <c:v>0</c:v>
                </c:pt>
                <c:pt idx="36">
                  <c:v>0</c:v>
                </c:pt>
                <c:pt idx="37">
                  <c:v>5.5511151231257827E-17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1.1102230246251565E-16</c:v>
                </c:pt>
                <c:pt idx="47">
                  <c:v>1.1102230246251565E-16</c:v>
                </c:pt>
                <c:pt idx="48">
                  <c:v>0</c:v>
                </c:pt>
                <c:pt idx="49">
                  <c:v>0</c:v>
                </c:pt>
                <c:pt idx="50">
                  <c:v>1.1102230246251565E-16</c:v>
                </c:pt>
                <c:pt idx="51">
                  <c:v>1.1102230246251565E-16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1.1102230246251565E-16</c:v>
                </c:pt>
                <c:pt idx="60">
                  <c:v>1.1102230246251565E-16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NORMAL!$L$31:$L$111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0.99903239678678168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0.99653302619695927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0.81593987465323992</c:v>
                </c:pt>
                <c:pt idx="32">
                  <c:v>0.78814460141660259</c:v>
                </c:pt>
                <c:pt idx="33">
                  <c:v>0.7580363477769263</c:v>
                </c:pt>
                <c:pt idx="34">
                  <c:v>0.72574688224992567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0.49999999999999911</c:v>
                </c:pt>
                <c:pt idx="41">
                  <c:v>0.46017216272297001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0.34457825838967482</c:v>
                </c:pt>
                <c:pt idx="45">
                  <c:v>0.30853753872598599</c:v>
                </c:pt>
                <c:pt idx="46">
                  <c:v>0.27425311775007277</c:v>
                </c:pt>
                <c:pt idx="47">
                  <c:v>0.24196365222307215</c:v>
                </c:pt>
                <c:pt idx="48">
                  <c:v>0.21185539858339597</c:v>
                </c:pt>
                <c:pt idx="49">
                  <c:v>0.18406012534675886</c:v>
                </c:pt>
                <c:pt idx="50">
                  <c:v>0.15865525393145641</c:v>
                </c:pt>
                <c:pt idx="51">
                  <c:v>0.13566606094638212</c:v>
                </c:pt>
                <c:pt idx="52">
                  <c:v>0.11506967022170778</c:v>
                </c:pt>
                <c:pt idx="53">
                  <c:v>9.6800484585609858E-2</c:v>
                </c:pt>
                <c:pt idx="54">
                  <c:v>8.0756659233770622E-2</c:v>
                </c:pt>
                <c:pt idx="55">
                  <c:v>6.6807201268857641E-2</c:v>
                </c:pt>
                <c:pt idx="56">
                  <c:v>5.4799291699557662E-2</c:v>
                </c:pt>
                <c:pt idx="57">
                  <c:v>4.4565462758542784E-2</c:v>
                </c:pt>
                <c:pt idx="58">
                  <c:v>3.5930319112925546E-2</c:v>
                </c:pt>
                <c:pt idx="59">
                  <c:v>2.8716559816001519E-2</c:v>
                </c:pt>
                <c:pt idx="60">
                  <c:v>2.2750131948178987E-2</c:v>
                </c:pt>
                <c:pt idx="61">
                  <c:v>1.7864420562816452E-2</c:v>
                </c:pt>
                <c:pt idx="62">
                  <c:v>1.3903447513498479E-2</c:v>
                </c:pt>
                <c:pt idx="63">
                  <c:v>1.0724110021675726E-2</c:v>
                </c:pt>
                <c:pt idx="64">
                  <c:v>8.1975359245960444E-3</c:v>
                </c:pt>
                <c:pt idx="65">
                  <c:v>6.2096653257760481E-3</c:v>
                </c:pt>
                <c:pt idx="66">
                  <c:v>4.661188023718732E-3</c:v>
                </c:pt>
                <c:pt idx="67">
                  <c:v>3.4669738030406183E-3</c:v>
                </c:pt>
                <c:pt idx="68">
                  <c:v>2.5551303304278683E-3</c:v>
                </c:pt>
                <c:pt idx="69">
                  <c:v>1.8658133003840449E-3</c:v>
                </c:pt>
                <c:pt idx="70">
                  <c:v>1.3498980316301035E-3</c:v>
                </c:pt>
                <c:pt idx="71">
                  <c:v>9.6760321321831544E-4</c:v>
                </c:pt>
                <c:pt idx="72">
                  <c:v>6.8713793791586042E-4</c:v>
                </c:pt>
                <c:pt idx="73">
                  <c:v>4.8342414238378151E-4</c:v>
                </c:pt>
                <c:pt idx="74">
                  <c:v>3.3692926567685522E-4</c:v>
                </c:pt>
                <c:pt idx="75">
                  <c:v>2.3262907903554009E-4</c:v>
                </c:pt>
                <c:pt idx="76">
                  <c:v>1.5910859015755285E-4</c:v>
                </c:pt>
                <c:pt idx="77">
                  <c:v>1.0779973347740945E-4</c:v>
                </c:pt>
                <c:pt idx="78">
                  <c:v>7.2348043925085648E-5</c:v>
                </c:pt>
                <c:pt idx="79">
                  <c:v>4.8096344017589665E-5</c:v>
                </c:pt>
                <c:pt idx="80">
                  <c:v>3.1671241833119979E-5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NORMAL!$E$30:$E$111</c:f>
              <c:strCache>
                <c:ptCount val="82"/>
                <c:pt idx="0">
                  <c:v>X</c:v>
                </c:pt>
                <c:pt idx="1">
                  <c:v>-4,000</c:v>
                </c:pt>
                <c:pt idx="2">
                  <c:v>-3,900</c:v>
                </c:pt>
                <c:pt idx="3">
                  <c:v>-3,800</c:v>
                </c:pt>
                <c:pt idx="4">
                  <c:v>-3,700</c:v>
                </c:pt>
                <c:pt idx="5">
                  <c:v>-3,600</c:v>
                </c:pt>
                <c:pt idx="6">
                  <c:v>-3,500</c:v>
                </c:pt>
                <c:pt idx="7">
                  <c:v>-3,400</c:v>
                </c:pt>
                <c:pt idx="8">
                  <c:v>-3,300</c:v>
                </c:pt>
                <c:pt idx="9">
                  <c:v>-3,200</c:v>
                </c:pt>
                <c:pt idx="10">
                  <c:v>-3,100</c:v>
                </c:pt>
                <c:pt idx="11">
                  <c:v>-3,000</c:v>
                </c:pt>
                <c:pt idx="12">
                  <c:v>-2,900</c:v>
                </c:pt>
                <c:pt idx="13">
                  <c:v>-2,800</c:v>
                </c:pt>
                <c:pt idx="14">
                  <c:v>-2,700</c:v>
                </c:pt>
                <c:pt idx="15">
                  <c:v>-2,600</c:v>
                </c:pt>
                <c:pt idx="16">
                  <c:v>-2,500</c:v>
                </c:pt>
                <c:pt idx="17">
                  <c:v>-2,400</c:v>
                </c:pt>
                <c:pt idx="18">
                  <c:v>-2,300</c:v>
                </c:pt>
                <c:pt idx="19">
                  <c:v>-2,200</c:v>
                </c:pt>
                <c:pt idx="20">
                  <c:v>-2,100</c:v>
                </c:pt>
                <c:pt idx="21">
                  <c:v>-2,000</c:v>
                </c:pt>
                <c:pt idx="22">
                  <c:v>-1,900</c:v>
                </c:pt>
                <c:pt idx="23">
                  <c:v>-1,800</c:v>
                </c:pt>
                <c:pt idx="24">
                  <c:v>-1,700</c:v>
                </c:pt>
                <c:pt idx="25">
                  <c:v>-1,600</c:v>
                </c:pt>
                <c:pt idx="26">
                  <c:v>-1,500</c:v>
                </c:pt>
                <c:pt idx="27">
                  <c:v>-1,400</c:v>
                </c:pt>
                <c:pt idx="28">
                  <c:v>-1,300</c:v>
                </c:pt>
                <c:pt idx="29">
                  <c:v>-1,200</c:v>
                </c:pt>
                <c:pt idx="30">
                  <c:v>-1,100</c:v>
                </c:pt>
                <c:pt idx="31">
                  <c:v>-1,000</c:v>
                </c:pt>
                <c:pt idx="32">
                  <c:v>-0,900</c:v>
                </c:pt>
                <c:pt idx="33">
                  <c:v>-0,800</c:v>
                </c:pt>
                <c:pt idx="34">
                  <c:v>-0,700</c:v>
                </c:pt>
                <c:pt idx="35">
                  <c:v>-0,600</c:v>
                </c:pt>
                <c:pt idx="36">
                  <c:v>-0,500</c:v>
                </c:pt>
                <c:pt idx="37">
                  <c:v>-0,400</c:v>
                </c:pt>
                <c:pt idx="38">
                  <c:v>-0,300</c:v>
                </c:pt>
                <c:pt idx="39">
                  <c:v>-0,200</c:v>
                </c:pt>
                <c:pt idx="40">
                  <c:v>-0,100</c:v>
                </c:pt>
                <c:pt idx="41">
                  <c:v>0,000</c:v>
                </c:pt>
                <c:pt idx="42">
                  <c:v>0,100</c:v>
                </c:pt>
                <c:pt idx="43">
                  <c:v>0,200</c:v>
                </c:pt>
                <c:pt idx="44">
                  <c:v>0,300</c:v>
                </c:pt>
                <c:pt idx="45">
                  <c:v>0,400</c:v>
                </c:pt>
                <c:pt idx="46">
                  <c:v>0,500</c:v>
                </c:pt>
                <c:pt idx="47">
                  <c:v>0,600</c:v>
                </c:pt>
                <c:pt idx="48">
                  <c:v>0,700</c:v>
                </c:pt>
                <c:pt idx="49">
                  <c:v>0,800</c:v>
                </c:pt>
                <c:pt idx="50">
                  <c:v>0,900</c:v>
                </c:pt>
                <c:pt idx="51">
                  <c:v>1,000</c:v>
                </c:pt>
                <c:pt idx="52">
                  <c:v>1,100</c:v>
                </c:pt>
                <c:pt idx="53">
                  <c:v>1,200</c:v>
                </c:pt>
                <c:pt idx="54">
                  <c:v>1,300</c:v>
                </c:pt>
                <c:pt idx="55">
                  <c:v>1,400</c:v>
                </c:pt>
                <c:pt idx="56">
                  <c:v>1,500</c:v>
                </c:pt>
                <c:pt idx="57">
                  <c:v>1,600</c:v>
                </c:pt>
                <c:pt idx="58">
                  <c:v>1,700</c:v>
                </c:pt>
                <c:pt idx="59">
                  <c:v>1,800</c:v>
                </c:pt>
                <c:pt idx="60">
                  <c:v>1,900</c:v>
                </c:pt>
                <c:pt idx="61">
                  <c:v>2,000</c:v>
                </c:pt>
                <c:pt idx="62">
                  <c:v>2,100</c:v>
                </c:pt>
                <c:pt idx="63">
                  <c:v>2,200</c:v>
                </c:pt>
                <c:pt idx="64">
                  <c:v>2,300</c:v>
                </c:pt>
                <c:pt idx="65">
                  <c:v>2,400</c:v>
                </c:pt>
                <c:pt idx="66">
                  <c:v>2,500</c:v>
                </c:pt>
                <c:pt idx="67">
                  <c:v>2,600</c:v>
                </c:pt>
                <c:pt idx="68">
                  <c:v>2,700</c:v>
                </c:pt>
                <c:pt idx="69">
                  <c:v>2,800</c:v>
                </c:pt>
                <c:pt idx="70">
                  <c:v>2,900</c:v>
                </c:pt>
                <c:pt idx="71">
                  <c:v>3,000</c:v>
                </c:pt>
                <c:pt idx="72">
                  <c:v>3,100</c:v>
                </c:pt>
                <c:pt idx="73">
                  <c:v>3,200</c:v>
                </c:pt>
                <c:pt idx="74">
                  <c:v>3,300</c:v>
                </c:pt>
                <c:pt idx="75">
                  <c:v>3,400</c:v>
                </c:pt>
                <c:pt idx="76">
                  <c:v>3,500</c:v>
                </c:pt>
                <c:pt idx="77">
                  <c:v>3,600</c:v>
                </c:pt>
                <c:pt idx="78">
                  <c:v>3,700</c:v>
                </c:pt>
                <c:pt idx="79">
                  <c:v>3,800</c:v>
                </c:pt>
                <c:pt idx="80">
                  <c:v>3,900</c:v>
                </c:pt>
                <c:pt idx="81">
                  <c:v>4,000</c:v>
                </c:pt>
              </c:strCache>
            </c:strRef>
          </c:cat>
          <c:val>
            <c:numRef>
              <c:f>NORMAL!$M$31:$M$111</c:f>
              <c:numCache>
                <c:formatCode>0.000000000000</c:formatCode>
                <c:ptCount val="81"/>
                <c:pt idx="0">
                  <c:v>0.99996832875816688</c:v>
                </c:pt>
                <c:pt idx="1">
                  <c:v>0.99995190365598241</c:v>
                </c:pt>
                <c:pt idx="2">
                  <c:v>0.99992765195607491</c:v>
                </c:pt>
                <c:pt idx="3">
                  <c:v>0.99989220026652259</c:v>
                </c:pt>
                <c:pt idx="4">
                  <c:v>0.99984089140984245</c:v>
                </c:pt>
                <c:pt idx="5">
                  <c:v>0.99976737092096446</c:v>
                </c:pt>
                <c:pt idx="6">
                  <c:v>0.99966307073432314</c:v>
                </c:pt>
                <c:pt idx="7">
                  <c:v>0.99951657585761622</c:v>
                </c:pt>
                <c:pt idx="8">
                  <c:v>0.99931286206208414</c:v>
                </c:pt>
                <c:pt idx="9">
                  <c:v>0.99903239678678157</c:v>
                </c:pt>
                <c:pt idx="10">
                  <c:v>0.9986501019683699</c:v>
                </c:pt>
                <c:pt idx="11">
                  <c:v>0.99813418669961596</c:v>
                </c:pt>
                <c:pt idx="12">
                  <c:v>0.99744486966957202</c:v>
                </c:pt>
                <c:pt idx="13">
                  <c:v>0.99653302619695938</c:v>
                </c:pt>
                <c:pt idx="14">
                  <c:v>0.99533881197628127</c:v>
                </c:pt>
                <c:pt idx="15">
                  <c:v>0.99379033467422384</c:v>
                </c:pt>
                <c:pt idx="16">
                  <c:v>0.99180246407540384</c:v>
                </c:pt>
                <c:pt idx="17">
                  <c:v>0.98927588997832416</c:v>
                </c:pt>
                <c:pt idx="18">
                  <c:v>0.9860965524865013</c:v>
                </c:pt>
                <c:pt idx="19">
                  <c:v>0.98213557943718333</c:v>
                </c:pt>
                <c:pt idx="20">
                  <c:v>0.97724986805182068</c:v>
                </c:pt>
                <c:pt idx="21">
                  <c:v>0.97128344018399804</c:v>
                </c:pt>
                <c:pt idx="22">
                  <c:v>0.96406968088707401</c:v>
                </c:pt>
                <c:pt idx="23">
                  <c:v>0.95543453724145677</c:v>
                </c:pt>
                <c:pt idx="24">
                  <c:v>0.94520070830044178</c:v>
                </c:pt>
                <c:pt idx="25">
                  <c:v>0.93319279873114169</c:v>
                </c:pt>
                <c:pt idx="26">
                  <c:v>0.9192433407662286</c:v>
                </c:pt>
                <c:pt idx="27">
                  <c:v>0.90319951541438925</c:v>
                </c:pt>
                <c:pt idx="28">
                  <c:v>0.88493032977829122</c:v>
                </c:pt>
                <c:pt idx="29">
                  <c:v>0.86433393905361677</c:v>
                </c:pt>
                <c:pt idx="30">
                  <c:v>0.84134474606854237</c:v>
                </c:pt>
                <c:pt idx="31">
                  <c:v>0.81593987465323981</c:v>
                </c:pt>
                <c:pt idx="32">
                  <c:v>0.78814460141660259</c:v>
                </c:pt>
                <c:pt idx="33">
                  <c:v>0.75803634777692619</c:v>
                </c:pt>
                <c:pt idx="34">
                  <c:v>0.72574688224992556</c:v>
                </c:pt>
                <c:pt idx="35">
                  <c:v>0.69146246127401234</c:v>
                </c:pt>
                <c:pt idx="36">
                  <c:v>0.65542174161032329</c:v>
                </c:pt>
                <c:pt idx="37">
                  <c:v>0.61791142218895168</c:v>
                </c:pt>
                <c:pt idx="38">
                  <c:v>0.5792597094391021</c:v>
                </c:pt>
                <c:pt idx="39">
                  <c:v>0.53982783727702799</c:v>
                </c:pt>
                <c:pt idx="40">
                  <c:v>0.49999999999999906</c:v>
                </c:pt>
                <c:pt idx="41">
                  <c:v>0.46017216272297007</c:v>
                </c:pt>
                <c:pt idx="42">
                  <c:v>0.42074029056089601</c:v>
                </c:pt>
                <c:pt idx="43">
                  <c:v>0.38208857781104644</c:v>
                </c:pt>
                <c:pt idx="44">
                  <c:v>0.34457825838967487</c:v>
                </c:pt>
                <c:pt idx="45">
                  <c:v>0.30853753872598599</c:v>
                </c:pt>
                <c:pt idx="46">
                  <c:v>0.27425311775007283</c:v>
                </c:pt>
                <c:pt idx="47">
                  <c:v>0.24196365222307228</c:v>
                </c:pt>
                <c:pt idx="48">
                  <c:v>0.211855398583396</c:v>
                </c:pt>
                <c:pt idx="49">
                  <c:v>0.18406012534675883</c:v>
                </c:pt>
                <c:pt idx="50">
                  <c:v>0.15865525393145649</c:v>
                </c:pt>
                <c:pt idx="51">
                  <c:v>0.13566606094638217</c:v>
                </c:pt>
                <c:pt idx="52">
                  <c:v>0.11506967022170778</c:v>
                </c:pt>
                <c:pt idx="53">
                  <c:v>9.6800484585609886E-2</c:v>
                </c:pt>
                <c:pt idx="54">
                  <c:v>8.075665923377065E-2</c:v>
                </c:pt>
                <c:pt idx="55">
                  <c:v>6.6807201268857697E-2</c:v>
                </c:pt>
                <c:pt idx="56">
                  <c:v>5.4799291699557634E-2</c:v>
                </c:pt>
                <c:pt idx="57">
                  <c:v>4.4565462758542729E-2</c:v>
                </c:pt>
                <c:pt idx="58">
                  <c:v>3.5930319112925553E-2</c:v>
                </c:pt>
                <c:pt idx="59">
                  <c:v>2.8716559816001592E-2</c:v>
                </c:pt>
                <c:pt idx="60">
                  <c:v>2.2750131948179059E-2</c:v>
                </c:pt>
                <c:pt idx="61">
                  <c:v>1.7864420562816431E-2</c:v>
                </c:pt>
                <c:pt idx="62">
                  <c:v>1.3903447513498503E-2</c:v>
                </c:pt>
                <c:pt idx="63">
                  <c:v>1.0724110021675705E-2</c:v>
                </c:pt>
                <c:pt idx="64">
                  <c:v>8.1975359245960323E-3</c:v>
                </c:pt>
                <c:pt idx="65">
                  <c:v>6.209665325776049E-3</c:v>
                </c:pt>
                <c:pt idx="66">
                  <c:v>4.6611880237186817E-3</c:v>
                </c:pt>
                <c:pt idx="67">
                  <c:v>3.4669738030406218E-3</c:v>
                </c:pt>
                <c:pt idx="68">
                  <c:v>2.5551303304279086E-3</c:v>
                </c:pt>
                <c:pt idx="69">
                  <c:v>1.8658133003840304E-3</c:v>
                </c:pt>
                <c:pt idx="70">
                  <c:v>1.3498980316300972E-3</c:v>
                </c:pt>
                <c:pt idx="71">
                  <c:v>9.6760321321836249E-4</c:v>
                </c:pt>
                <c:pt idx="72">
                  <c:v>6.8713793791585077E-4</c:v>
                </c:pt>
                <c:pt idx="73">
                  <c:v>4.834241423837718E-4</c:v>
                </c:pt>
                <c:pt idx="74">
                  <c:v>3.3692926567686752E-4</c:v>
                </c:pt>
                <c:pt idx="75">
                  <c:v>2.3262907903550469E-4</c:v>
                </c:pt>
                <c:pt idx="76">
                  <c:v>1.5910859015751022E-4</c:v>
                </c:pt>
                <c:pt idx="77">
                  <c:v>1.0779973347736512E-4</c:v>
                </c:pt>
                <c:pt idx="78">
                  <c:v>7.2348043925100867E-5</c:v>
                </c:pt>
                <c:pt idx="79">
                  <c:v>4.8096344017590187E-5</c:v>
                </c:pt>
                <c:pt idx="80">
                  <c:v>3.1671241833115418E-5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NORMAL!$N$31:$N$111</c:f>
              <c:numCache>
                <c:formatCode>0.0000000000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1.1102230246251565E-16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1.1102230246251565E-16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1.1102230246251565E-16</c:v>
                </c:pt>
                <c:pt idx="32">
                  <c:v>0</c:v>
                </c:pt>
                <c:pt idx="33">
                  <c:v>1.1102230246251565E-16</c:v>
                </c:pt>
                <c:pt idx="34">
                  <c:v>1.1102230246251565E-16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5.5511151231257827E-17</c:v>
                </c:pt>
                <c:pt idx="41">
                  <c:v>5.5511151231257827E-17</c:v>
                </c:pt>
                <c:pt idx="42">
                  <c:v>0</c:v>
                </c:pt>
                <c:pt idx="43">
                  <c:v>0</c:v>
                </c:pt>
                <c:pt idx="44">
                  <c:v>5.5511151231257827E-17</c:v>
                </c:pt>
                <c:pt idx="45">
                  <c:v>0</c:v>
                </c:pt>
                <c:pt idx="46">
                  <c:v>5.5511151231257827E-17</c:v>
                </c:pt>
                <c:pt idx="47">
                  <c:v>1.3877787807814457E-16</c:v>
                </c:pt>
                <c:pt idx="48">
                  <c:v>2.7755575615628914E-17</c:v>
                </c:pt>
                <c:pt idx="49">
                  <c:v>2.7755575615628914E-17</c:v>
                </c:pt>
                <c:pt idx="50">
                  <c:v>8.3266726846886741E-17</c:v>
                </c:pt>
                <c:pt idx="51">
                  <c:v>5.5511151231257827E-17</c:v>
                </c:pt>
                <c:pt idx="52">
                  <c:v>0</c:v>
                </c:pt>
                <c:pt idx="53">
                  <c:v>2.7755575615628914E-17</c:v>
                </c:pt>
                <c:pt idx="54">
                  <c:v>2.7755575615628914E-17</c:v>
                </c:pt>
                <c:pt idx="55">
                  <c:v>5.5511151231257827E-17</c:v>
                </c:pt>
                <c:pt idx="56">
                  <c:v>2.7755575615628914E-17</c:v>
                </c:pt>
                <c:pt idx="57">
                  <c:v>5.5511151231257827E-17</c:v>
                </c:pt>
                <c:pt idx="58">
                  <c:v>6.9388939039072284E-18</c:v>
                </c:pt>
                <c:pt idx="59">
                  <c:v>7.2858385991025898E-17</c:v>
                </c:pt>
                <c:pt idx="60">
                  <c:v>7.2858385991025898E-17</c:v>
                </c:pt>
                <c:pt idx="61">
                  <c:v>2.0816681711721685E-17</c:v>
                </c:pt>
                <c:pt idx="62">
                  <c:v>2.4286128663675299E-17</c:v>
                </c:pt>
                <c:pt idx="63">
                  <c:v>2.0816681711721685E-17</c:v>
                </c:pt>
                <c:pt idx="64">
                  <c:v>1.214306433183765E-17</c:v>
                </c:pt>
                <c:pt idx="65">
                  <c:v>8.6736173798840355E-19</c:v>
                </c:pt>
                <c:pt idx="66">
                  <c:v>5.0306980803327406E-17</c:v>
                </c:pt>
                <c:pt idx="67">
                  <c:v>3.4694469519536142E-18</c:v>
                </c:pt>
                <c:pt idx="68">
                  <c:v>4.0332320816460765E-17</c:v>
                </c:pt>
                <c:pt idx="69">
                  <c:v>1.4528309111305759E-17</c:v>
                </c:pt>
                <c:pt idx="70">
                  <c:v>6.2883726004159257E-18</c:v>
                </c:pt>
                <c:pt idx="71">
                  <c:v>4.7054374285870892E-17</c:v>
                </c:pt>
                <c:pt idx="72">
                  <c:v>9.6493993351209895E-18</c:v>
                </c:pt>
                <c:pt idx="73">
                  <c:v>9.7036094437452647E-18</c:v>
                </c:pt>
                <c:pt idx="74">
                  <c:v>1.2305694657710475E-17</c:v>
                </c:pt>
                <c:pt idx="75">
                  <c:v>3.539920093165172E-17</c:v>
                </c:pt>
                <c:pt idx="76">
                  <c:v>4.2636250432992462E-17</c:v>
                </c:pt>
                <c:pt idx="77">
                  <c:v>4.4330316327501063E-17</c:v>
                </c:pt>
                <c:pt idx="78">
                  <c:v>1.5219487996265268E-17</c:v>
                </c:pt>
                <c:pt idx="79">
                  <c:v>5.2177229550864901E-19</c:v>
                </c:pt>
                <c:pt idx="80">
                  <c:v>4.560425388017153E-18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NORMAL!$P$30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NORMAL!$P$31:$P$111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-3.9000000000000004</c:v>
                </c:pt>
                <c:pt idx="2">
                  <c:v>-3.8</c:v>
                </c:pt>
                <c:pt idx="3">
                  <c:v>-3.6999999999999993</c:v>
                </c:pt>
                <c:pt idx="4">
                  <c:v>-3.5999999999999983</c:v>
                </c:pt>
                <c:pt idx="5">
                  <c:v>-3.4999999999999996</c:v>
                </c:pt>
                <c:pt idx="6">
                  <c:v>-3.4</c:v>
                </c:pt>
                <c:pt idx="7">
                  <c:v>-3.2999999999999994</c:v>
                </c:pt>
                <c:pt idx="8">
                  <c:v>-3.1999999999999988</c:v>
                </c:pt>
                <c:pt idx="9">
                  <c:v>-3.1</c:v>
                </c:pt>
                <c:pt idx="10">
                  <c:v>-2.9999999999999982</c:v>
                </c:pt>
                <c:pt idx="11">
                  <c:v>-2.899999999999999</c:v>
                </c:pt>
                <c:pt idx="12">
                  <c:v>-2.7999999999999994</c:v>
                </c:pt>
                <c:pt idx="13">
                  <c:v>-2.6999999999999988</c:v>
                </c:pt>
                <c:pt idx="14">
                  <c:v>-2.5999999999999983</c:v>
                </c:pt>
                <c:pt idx="15">
                  <c:v>-2.4999999999999982</c:v>
                </c:pt>
                <c:pt idx="16">
                  <c:v>-2.399999999999999</c:v>
                </c:pt>
                <c:pt idx="17">
                  <c:v>-2.2999999999999989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</c:v>
                </c:pt>
                <c:pt idx="21">
                  <c:v>-1.8999999999999979</c:v>
                </c:pt>
                <c:pt idx="22">
                  <c:v>-1.7999999999999976</c:v>
                </c:pt>
                <c:pt idx="23">
                  <c:v>-1.699999999999998</c:v>
                </c:pt>
                <c:pt idx="24">
                  <c:v>-1.5999999999999979</c:v>
                </c:pt>
                <c:pt idx="25">
                  <c:v>-1.4999999999999978</c:v>
                </c:pt>
                <c:pt idx="26">
                  <c:v>-1.3999999999999995</c:v>
                </c:pt>
                <c:pt idx="27">
                  <c:v>-1.2999999999999972</c:v>
                </c:pt>
                <c:pt idx="28">
                  <c:v>-1.199999999999998</c:v>
                </c:pt>
                <c:pt idx="29">
                  <c:v>-1.0999999999999976</c:v>
                </c:pt>
                <c:pt idx="30">
                  <c:v>-0.99999999999999822</c:v>
                </c:pt>
                <c:pt idx="31">
                  <c:v>-0.89999999999999925</c:v>
                </c:pt>
                <c:pt idx="32">
                  <c:v>-0.79999999999999738</c:v>
                </c:pt>
                <c:pt idx="33">
                  <c:v>-0.6999999999999974</c:v>
                </c:pt>
                <c:pt idx="34">
                  <c:v>-0.59999999999999798</c:v>
                </c:pt>
                <c:pt idx="35">
                  <c:v>-0.49999999999999789</c:v>
                </c:pt>
                <c:pt idx="36">
                  <c:v>-0.39999999999999769</c:v>
                </c:pt>
                <c:pt idx="37">
                  <c:v>-0.29999999999999766</c:v>
                </c:pt>
                <c:pt idx="38">
                  <c:v>-0.19999999999999765</c:v>
                </c:pt>
                <c:pt idx="39">
                  <c:v>-9.9999999999997646E-2</c:v>
                </c:pt>
                <c:pt idx="40">
                  <c:v>2.2263331397374137E-15</c:v>
                </c:pt>
                <c:pt idx="41">
                  <c:v>0.10000000000000253</c:v>
                </c:pt>
                <c:pt idx="42">
                  <c:v>0.20000000000000248</c:v>
                </c:pt>
                <c:pt idx="43">
                  <c:v>0.30000000000000243</c:v>
                </c:pt>
                <c:pt idx="44">
                  <c:v>0.4000000000000028</c:v>
                </c:pt>
                <c:pt idx="45">
                  <c:v>0.50000000000000266</c:v>
                </c:pt>
                <c:pt idx="46">
                  <c:v>0.60000000000000242</c:v>
                </c:pt>
                <c:pt idx="47">
                  <c:v>0.70000000000000284</c:v>
                </c:pt>
                <c:pt idx="48">
                  <c:v>0.80000000000000238</c:v>
                </c:pt>
                <c:pt idx="49">
                  <c:v>0.90000000000000302</c:v>
                </c:pt>
                <c:pt idx="50">
                  <c:v>1.0000000000000013</c:v>
                </c:pt>
                <c:pt idx="51">
                  <c:v>1.100000000000003</c:v>
                </c:pt>
                <c:pt idx="52">
                  <c:v>1.2000000000000028</c:v>
                </c:pt>
                <c:pt idx="53">
                  <c:v>1.3000000000000025</c:v>
                </c:pt>
                <c:pt idx="54">
                  <c:v>1.4000000000000041</c:v>
                </c:pt>
                <c:pt idx="55">
                  <c:v>1.5000000000000033</c:v>
                </c:pt>
                <c:pt idx="56">
                  <c:v>1.6000000000000028</c:v>
                </c:pt>
                <c:pt idx="57">
                  <c:v>1.7000000000000024</c:v>
                </c:pt>
                <c:pt idx="58">
                  <c:v>1.8000000000000034</c:v>
                </c:pt>
                <c:pt idx="59">
                  <c:v>1.9000000000000039</c:v>
                </c:pt>
                <c:pt idx="60">
                  <c:v>2.0000000000000036</c:v>
                </c:pt>
                <c:pt idx="61">
                  <c:v>2.1000000000000023</c:v>
                </c:pt>
                <c:pt idx="62">
                  <c:v>2.2000000000000033</c:v>
                </c:pt>
                <c:pt idx="63">
                  <c:v>2.3000000000000029</c:v>
                </c:pt>
                <c:pt idx="64">
                  <c:v>2.4000000000000035</c:v>
                </c:pt>
                <c:pt idx="65">
                  <c:v>2.500000000000004</c:v>
                </c:pt>
                <c:pt idx="66">
                  <c:v>2.600000000000001</c:v>
                </c:pt>
                <c:pt idx="67">
                  <c:v>2.7000000000000042</c:v>
                </c:pt>
                <c:pt idx="68">
                  <c:v>2.8000000000000069</c:v>
                </c:pt>
                <c:pt idx="69">
                  <c:v>2.8999999999999986</c:v>
                </c:pt>
                <c:pt idx="70">
                  <c:v>2.9999999999999969</c:v>
                </c:pt>
                <c:pt idx="71">
                  <c:v>3.100000000000013</c:v>
                </c:pt>
                <c:pt idx="72">
                  <c:v>3.1999999999999944</c:v>
                </c:pt>
                <c:pt idx="73">
                  <c:v>3.2999999999999972</c:v>
                </c:pt>
                <c:pt idx="74">
                  <c:v>3.4000000000000203</c:v>
                </c:pt>
                <c:pt idx="75">
                  <c:v>3.4999999999999831</c:v>
                </c:pt>
                <c:pt idx="76">
                  <c:v>3.599999999999969</c:v>
                </c:pt>
                <c:pt idx="77">
                  <c:v>3.6999999999999496</c:v>
                </c:pt>
                <c:pt idx="78">
                  <c:v>3.8000000000001175</c:v>
                </c:pt>
                <c:pt idx="79">
                  <c:v>3.9000000000000643</c:v>
                </c:pt>
                <c:pt idx="80">
                  <c:v>3.9999999999999996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A-4BDF-BE12-97524D87AF33}"/>
            </c:ext>
          </c:extLst>
        </c:ser>
        <c:ser>
          <c:idx val="2"/>
          <c:order val="1"/>
          <c:tx>
            <c:strRef>
              <c:f>NORMAL!$Q$30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NORMAL!$O$31:$O$111</c:f>
              <c:numCache>
                <c:formatCode>0.0000%</c:formatCode>
                <c:ptCount val="81"/>
                <c:pt idx="0">
                  <c:v>3.1671241833119857E-5</c:v>
                </c:pt>
                <c:pt idx="1">
                  <c:v>4.8096344017602614E-5</c:v>
                </c:pt>
                <c:pt idx="2">
                  <c:v>7.234804392511999E-5</c:v>
                </c:pt>
                <c:pt idx="3">
                  <c:v>1.0779973347738824E-4</c:v>
                </c:pt>
                <c:pt idx="4">
                  <c:v>1.5910859015753396E-4</c:v>
                </c:pt>
                <c:pt idx="5">
                  <c:v>2.3262907903552504E-4</c:v>
                </c:pt>
                <c:pt idx="6">
                  <c:v>3.3692926567688151E-4</c:v>
                </c:pt>
                <c:pt idx="7">
                  <c:v>4.8342414238377744E-4</c:v>
                </c:pt>
                <c:pt idx="8">
                  <c:v>6.8713793791584969E-4</c:v>
                </c:pt>
                <c:pt idx="9">
                  <c:v>9.6760321321835816E-4</c:v>
                </c:pt>
                <c:pt idx="10">
                  <c:v>1.3498980316300983E-3</c:v>
                </c:pt>
                <c:pt idx="11">
                  <c:v>1.865813300384041E-3</c:v>
                </c:pt>
                <c:pt idx="12">
                  <c:v>2.555130330427939E-3</c:v>
                </c:pt>
                <c:pt idx="13">
                  <c:v>3.4669738030406777E-3</c:v>
                </c:pt>
                <c:pt idx="14">
                  <c:v>4.6611880237187649E-3</c:v>
                </c:pt>
                <c:pt idx="15">
                  <c:v>6.2096653257761565E-3</c:v>
                </c:pt>
                <c:pt idx="16">
                  <c:v>8.1975359245961572E-3</c:v>
                </c:pt>
                <c:pt idx="17">
                  <c:v>1.0724110021675844E-2</c:v>
                </c:pt>
                <c:pt idx="18">
                  <c:v>1.3903447513498663E-2</c:v>
                </c:pt>
                <c:pt idx="19">
                  <c:v>1.7864420562816629E-2</c:v>
                </c:pt>
                <c:pt idx="20">
                  <c:v>2.2750131948179302E-2</c:v>
                </c:pt>
                <c:pt idx="21">
                  <c:v>2.8716559816001928E-2</c:v>
                </c:pt>
                <c:pt idx="22">
                  <c:v>3.5930319112925969E-2</c:v>
                </c:pt>
                <c:pt idx="23">
                  <c:v>4.4565462758543194E-2</c:v>
                </c:pt>
                <c:pt idx="24">
                  <c:v>5.4799291699558203E-2</c:v>
                </c:pt>
                <c:pt idx="25">
                  <c:v>6.6807201268858321E-2</c:v>
                </c:pt>
                <c:pt idx="26">
                  <c:v>8.0756659233771386E-2</c:v>
                </c:pt>
                <c:pt idx="27">
                  <c:v>9.6800484585610733E-2</c:v>
                </c:pt>
                <c:pt idx="28">
                  <c:v>0.11506967022170875</c:v>
                </c:pt>
                <c:pt idx="29">
                  <c:v>0.1356660609463832</c:v>
                </c:pt>
                <c:pt idx="30">
                  <c:v>0.1586552539314576</c:v>
                </c:pt>
                <c:pt idx="31">
                  <c:v>0.18406012534676011</c:v>
                </c:pt>
                <c:pt idx="32">
                  <c:v>0.21185539858339739</c:v>
                </c:pt>
                <c:pt idx="33">
                  <c:v>0.24196365222307376</c:v>
                </c:pt>
                <c:pt idx="34">
                  <c:v>0.27425311775007433</c:v>
                </c:pt>
                <c:pt idx="35">
                  <c:v>0.30853753872598771</c:v>
                </c:pt>
                <c:pt idx="36">
                  <c:v>0.34457825838967671</c:v>
                </c:pt>
                <c:pt idx="37">
                  <c:v>0.38208857781104827</c:v>
                </c:pt>
                <c:pt idx="38">
                  <c:v>0.4207402905608979</c:v>
                </c:pt>
                <c:pt idx="39">
                  <c:v>0.46017216272297196</c:v>
                </c:pt>
                <c:pt idx="40">
                  <c:v>0.50000000000000089</c:v>
                </c:pt>
                <c:pt idx="41">
                  <c:v>0.53982783727702999</c:v>
                </c:pt>
                <c:pt idx="42">
                  <c:v>0.57925970943910399</c:v>
                </c:pt>
                <c:pt idx="43">
                  <c:v>0.61791142218895356</c:v>
                </c:pt>
                <c:pt idx="44">
                  <c:v>0.65542174161032518</c:v>
                </c:pt>
                <c:pt idx="45">
                  <c:v>0.69146246127401401</c:v>
                </c:pt>
                <c:pt idx="46">
                  <c:v>0.72574688224992723</c:v>
                </c:pt>
                <c:pt idx="47">
                  <c:v>0.75803634777692785</c:v>
                </c:pt>
                <c:pt idx="48">
                  <c:v>0.78814460141660403</c:v>
                </c:pt>
                <c:pt idx="49">
                  <c:v>0.81593987465324114</c:v>
                </c:pt>
                <c:pt idx="50">
                  <c:v>0.84134474606854359</c:v>
                </c:pt>
                <c:pt idx="51">
                  <c:v>0.86433393905361788</c:v>
                </c:pt>
                <c:pt idx="52">
                  <c:v>0.88493032977829222</c:v>
                </c:pt>
                <c:pt idx="53">
                  <c:v>0.90319951541439014</c:v>
                </c:pt>
                <c:pt idx="54">
                  <c:v>0.91924334076622938</c:v>
                </c:pt>
                <c:pt idx="55">
                  <c:v>0.93319279873114236</c:v>
                </c:pt>
                <c:pt idx="56">
                  <c:v>0.94520070830044234</c:v>
                </c:pt>
                <c:pt idx="57">
                  <c:v>0.95543453724145722</c:v>
                </c:pt>
                <c:pt idx="58">
                  <c:v>0.96406968088707445</c:v>
                </c:pt>
                <c:pt idx="59">
                  <c:v>0.97128344018399848</c:v>
                </c:pt>
                <c:pt idx="60">
                  <c:v>0.97724986805182101</c:v>
                </c:pt>
                <c:pt idx="61">
                  <c:v>0.98213557943718355</c:v>
                </c:pt>
                <c:pt idx="62">
                  <c:v>0.98609655248650152</c:v>
                </c:pt>
                <c:pt idx="63">
                  <c:v>0.98927588997832427</c:v>
                </c:pt>
                <c:pt idx="64">
                  <c:v>0.99180246407540396</c:v>
                </c:pt>
                <c:pt idx="65">
                  <c:v>0.99379033467422395</c:v>
                </c:pt>
                <c:pt idx="66">
                  <c:v>0.99533881197628127</c:v>
                </c:pt>
                <c:pt idx="67">
                  <c:v>0.99653302619695938</c:v>
                </c:pt>
                <c:pt idx="68">
                  <c:v>0.99744486966957213</c:v>
                </c:pt>
                <c:pt idx="69">
                  <c:v>0.99813418669961596</c:v>
                </c:pt>
                <c:pt idx="70">
                  <c:v>0.9986501019683699</c:v>
                </c:pt>
                <c:pt idx="71">
                  <c:v>0.99903239678678168</c:v>
                </c:pt>
                <c:pt idx="72">
                  <c:v>0.99931286206208414</c:v>
                </c:pt>
                <c:pt idx="73">
                  <c:v>0.99951657585761622</c:v>
                </c:pt>
                <c:pt idx="74">
                  <c:v>0.99966307073432314</c:v>
                </c:pt>
                <c:pt idx="75">
                  <c:v>0.99976737092096446</c:v>
                </c:pt>
                <c:pt idx="76">
                  <c:v>0.99984089140984245</c:v>
                </c:pt>
                <c:pt idx="77">
                  <c:v>0.99989220026652259</c:v>
                </c:pt>
                <c:pt idx="78">
                  <c:v>0.99992765195607491</c:v>
                </c:pt>
                <c:pt idx="79">
                  <c:v>0.99995190365598241</c:v>
                </c:pt>
                <c:pt idx="80">
                  <c:v>0.99996832875816688</c:v>
                </c:pt>
              </c:numCache>
            </c:numRef>
          </c:cat>
          <c:val>
            <c:numRef>
              <c:f>NORMAL!$Q$31:$Q$111</c:f>
              <c:numCache>
                <c:formatCode>0.000000000000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  <c:pt idx="21">
                  <c:v>-1.8999999999999981</c:v>
                </c:pt>
                <c:pt idx="22">
                  <c:v>-1.799999999999998</c:v>
                </c:pt>
                <c:pt idx="23">
                  <c:v>-1.699999999999998</c:v>
                </c:pt>
                <c:pt idx="24">
                  <c:v>-1.5999999999999981</c:v>
                </c:pt>
                <c:pt idx="25">
                  <c:v>-1.4999999999999978</c:v>
                </c:pt>
                <c:pt idx="26">
                  <c:v>-1.3999999999999977</c:v>
                </c:pt>
                <c:pt idx="27">
                  <c:v>-1.2999999999999976</c:v>
                </c:pt>
                <c:pt idx="28">
                  <c:v>-1.1999999999999975</c:v>
                </c:pt>
                <c:pt idx="29">
                  <c:v>-1.0999999999999976</c:v>
                </c:pt>
                <c:pt idx="30">
                  <c:v>-0.99999999999999745</c:v>
                </c:pt>
                <c:pt idx="31">
                  <c:v>-0.89999999999999736</c:v>
                </c:pt>
                <c:pt idx="32">
                  <c:v>-0.79999999999999749</c:v>
                </c:pt>
                <c:pt idx="33">
                  <c:v>-0.69999999999999751</c:v>
                </c:pt>
                <c:pt idx="34">
                  <c:v>-0.59999999999999776</c:v>
                </c:pt>
                <c:pt idx="35">
                  <c:v>-0.49999999999999772</c:v>
                </c:pt>
                <c:pt idx="36">
                  <c:v>-0.39999999999999775</c:v>
                </c:pt>
                <c:pt idx="37">
                  <c:v>-0.29999999999999755</c:v>
                </c:pt>
                <c:pt idx="38">
                  <c:v>-0.19999999999999754</c:v>
                </c:pt>
                <c:pt idx="39">
                  <c:v>-9.9999999999997521E-2</c:v>
                </c:pt>
                <c:pt idx="40">
                  <c:v>2.2263331422493949E-15</c:v>
                </c:pt>
                <c:pt idx="41">
                  <c:v>0.10000000000000255</c:v>
                </c:pt>
                <c:pt idx="42">
                  <c:v>0.20000000000000237</c:v>
                </c:pt>
                <c:pt idx="43">
                  <c:v>0.30000000000000249</c:v>
                </c:pt>
                <c:pt idx="44">
                  <c:v>0.40000000000000302</c:v>
                </c:pt>
                <c:pt idx="45">
                  <c:v>0.50000000000000244</c:v>
                </c:pt>
                <c:pt idx="46">
                  <c:v>0.6000000000000022</c:v>
                </c:pt>
                <c:pt idx="47">
                  <c:v>0.70000000000000262</c:v>
                </c:pt>
                <c:pt idx="48">
                  <c:v>0.80000000000000249</c:v>
                </c:pt>
                <c:pt idx="49">
                  <c:v>0.90000000000000235</c:v>
                </c:pt>
                <c:pt idx="50">
                  <c:v>1.0000000000000027</c:v>
                </c:pt>
                <c:pt idx="51">
                  <c:v>1.1000000000000021</c:v>
                </c:pt>
                <c:pt idx="52">
                  <c:v>1.2000000000000028</c:v>
                </c:pt>
                <c:pt idx="53">
                  <c:v>1.3000000000000027</c:v>
                </c:pt>
                <c:pt idx="54">
                  <c:v>1.4000000000000026</c:v>
                </c:pt>
                <c:pt idx="55">
                  <c:v>1.5000000000000029</c:v>
                </c:pt>
                <c:pt idx="56">
                  <c:v>1.6000000000000025</c:v>
                </c:pt>
                <c:pt idx="57">
                  <c:v>1.7000000000000028</c:v>
                </c:pt>
                <c:pt idx="58">
                  <c:v>1.8000000000000038</c:v>
                </c:pt>
                <c:pt idx="59">
                  <c:v>1.9000000000000028</c:v>
                </c:pt>
                <c:pt idx="60">
                  <c:v>2.0000000000000027</c:v>
                </c:pt>
                <c:pt idx="61">
                  <c:v>2.1000000000000023</c:v>
                </c:pt>
                <c:pt idx="62">
                  <c:v>2.2000000000000046</c:v>
                </c:pt>
                <c:pt idx="63">
                  <c:v>2.3000000000000007</c:v>
                </c:pt>
                <c:pt idx="64">
                  <c:v>2.400000000000003</c:v>
                </c:pt>
                <c:pt idx="65">
                  <c:v>2.5000000000000009</c:v>
                </c:pt>
                <c:pt idx="66">
                  <c:v>2.5999999999999974</c:v>
                </c:pt>
                <c:pt idx="67">
                  <c:v>2.7000000000000064</c:v>
                </c:pt>
                <c:pt idx="68">
                  <c:v>2.8000000000000074</c:v>
                </c:pt>
                <c:pt idx="69">
                  <c:v>2.9000000000000026</c:v>
                </c:pt>
                <c:pt idx="70">
                  <c:v>3.0000000000000115</c:v>
                </c:pt>
                <c:pt idx="71">
                  <c:v>3.1000000000000068</c:v>
                </c:pt>
                <c:pt idx="72">
                  <c:v>3.1999999999999913</c:v>
                </c:pt>
                <c:pt idx="73">
                  <c:v>3.3000000000000305</c:v>
                </c:pt>
                <c:pt idx="74">
                  <c:v>3.399999999999971</c:v>
                </c:pt>
                <c:pt idx="75">
                  <c:v>3.5000000000000107</c:v>
                </c:pt>
                <c:pt idx="76">
                  <c:v>3.5999999999999046</c:v>
                </c:pt>
                <c:pt idx="77">
                  <c:v>3.6999999999998603</c:v>
                </c:pt>
                <c:pt idx="78">
                  <c:v>3.800000000000165</c:v>
                </c:pt>
                <c:pt idx="79">
                  <c:v>3.9000000000000998</c:v>
                </c:pt>
                <c:pt idx="80">
                  <c:v>3.9999999999998579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A-4BDF-BE12-97524D87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NORMAL!$R$30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NORMAL!$R$31:$R$111</c:f>
              <c:numCache>
                <c:formatCode>0.000000000000</c:formatCode>
                <c:ptCount val="81"/>
                <c:pt idx="0">
                  <c:v>0</c:v>
                </c:pt>
                <c:pt idx="1">
                  <c:v>4.4408920985006262E-16</c:v>
                </c:pt>
                <c:pt idx="2">
                  <c:v>0</c:v>
                </c:pt>
                <c:pt idx="3">
                  <c:v>4.4408920985006262E-16</c:v>
                </c:pt>
                <c:pt idx="4">
                  <c:v>1.3322676295501878E-15</c:v>
                </c:pt>
                <c:pt idx="5">
                  <c:v>0</c:v>
                </c:pt>
                <c:pt idx="6">
                  <c:v>4.4408920985006262E-16</c:v>
                </c:pt>
                <c:pt idx="7">
                  <c:v>0</c:v>
                </c:pt>
                <c:pt idx="8">
                  <c:v>4.4408920985006262E-16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0</c:v>
                </c:pt>
                <c:pt idx="12">
                  <c:v>4.4408920985006262E-16</c:v>
                </c:pt>
                <c:pt idx="13">
                  <c:v>0</c:v>
                </c:pt>
                <c:pt idx="14">
                  <c:v>4.4408920985006262E-16</c:v>
                </c:pt>
                <c:pt idx="15">
                  <c:v>4.4408920985006262E-16</c:v>
                </c:pt>
                <c:pt idx="16">
                  <c:v>4.4408920985006262E-16</c:v>
                </c:pt>
                <c:pt idx="17">
                  <c:v>4.4408920985006262E-16</c:v>
                </c:pt>
                <c:pt idx="18">
                  <c:v>0</c:v>
                </c:pt>
                <c:pt idx="19">
                  <c:v>0</c:v>
                </c:pt>
                <c:pt idx="20">
                  <c:v>2.2204460492503131E-16</c:v>
                </c:pt>
                <c:pt idx="21">
                  <c:v>2.2204460492503131E-16</c:v>
                </c:pt>
                <c:pt idx="22">
                  <c:v>4.4408920985006262E-16</c:v>
                </c:pt>
                <c:pt idx="23">
                  <c:v>0</c:v>
                </c:pt>
                <c:pt idx="24">
                  <c:v>2.2204460492503131E-16</c:v>
                </c:pt>
                <c:pt idx="25">
                  <c:v>0</c:v>
                </c:pt>
                <c:pt idx="26">
                  <c:v>1.7763568394002505E-15</c:v>
                </c:pt>
                <c:pt idx="27">
                  <c:v>4.4408920985006262E-16</c:v>
                </c:pt>
                <c:pt idx="28">
                  <c:v>4.4408920985006262E-16</c:v>
                </c:pt>
                <c:pt idx="29">
                  <c:v>0</c:v>
                </c:pt>
                <c:pt idx="30">
                  <c:v>7.7715611723760958E-16</c:v>
                </c:pt>
                <c:pt idx="31">
                  <c:v>1.8873791418627661E-15</c:v>
                </c:pt>
                <c:pt idx="32">
                  <c:v>1.1102230246251565E-16</c:v>
                </c:pt>
                <c:pt idx="33">
                  <c:v>1.1102230246251565E-16</c:v>
                </c:pt>
                <c:pt idx="34">
                  <c:v>2.2204460492503131E-16</c:v>
                </c:pt>
                <c:pt idx="35">
                  <c:v>1.6653345369377348E-16</c:v>
                </c:pt>
                <c:pt idx="36">
                  <c:v>5.5511151231257827E-17</c:v>
                </c:pt>
                <c:pt idx="37">
                  <c:v>1.1102230246251565E-16</c:v>
                </c:pt>
                <c:pt idx="38">
                  <c:v>1.1102230246251565E-16</c:v>
                </c:pt>
                <c:pt idx="39">
                  <c:v>1.2490009027033011E-16</c:v>
                </c:pt>
                <c:pt idx="40">
                  <c:v>2.5119812189783936E-24</c:v>
                </c:pt>
                <c:pt idx="41">
                  <c:v>1.3877787807814457E-17</c:v>
                </c:pt>
                <c:pt idx="42">
                  <c:v>1.1102230246251565E-16</c:v>
                </c:pt>
                <c:pt idx="43">
                  <c:v>5.5511151231257827E-17</c:v>
                </c:pt>
                <c:pt idx="44">
                  <c:v>2.2204460492503131E-16</c:v>
                </c:pt>
                <c:pt idx="45">
                  <c:v>2.2204460492503131E-16</c:v>
                </c:pt>
                <c:pt idx="46">
                  <c:v>2.2204460492503131E-16</c:v>
                </c:pt>
                <c:pt idx="47">
                  <c:v>2.2204460492503131E-16</c:v>
                </c:pt>
                <c:pt idx="48">
                  <c:v>1.1102230246251565E-16</c:v>
                </c:pt>
                <c:pt idx="49">
                  <c:v>6.6613381477509392E-16</c:v>
                </c:pt>
                <c:pt idx="50">
                  <c:v>1.3322676295501878E-15</c:v>
                </c:pt>
                <c:pt idx="51">
                  <c:v>8.8817841970012523E-16</c:v>
                </c:pt>
                <c:pt idx="52">
                  <c:v>0</c:v>
                </c:pt>
                <c:pt idx="53">
                  <c:v>2.2204460492503131E-16</c:v>
                </c:pt>
                <c:pt idx="54">
                  <c:v>1.5543122344752192E-15</c:v>
                </c:pt>
                <c:pt idx="55">
                  <c:v>4.4408920985006262E-16</c:v>
                </c:pt>
                <c:pt idx="56">
                  <c:v>2.2204460492503131E-16</c:v>
                </c:pt>
                <c:pt idx="57">
                  <c:v>4.4408920985006262E-16</c:v>
                </c:pt>
                <c:pt idx="58">
                  <c:v>4.4408920985006262E-16</c:v>
                </c:pt>
                <c:pt idx="59">
                  <c:v>1.1102230246251565E-15</c:v>
                </c:pt>
                <c:pt idx="60">
                  <c:v>8.8817841970012523E-16</c:v>
                </c:pt>
                <c:pt idx="61">
                  <c:v>0</c:v>
                </c:pt>
                <c:pt idx="62">
                  <c:v>1.3322676295501878E-15</c:v>
                </c:pt>
                <c:pt idx="63">
                  <c:v>2.2204460492503131E-15</c:v>
                </c:pt>
                <c:pt idx="64">
                  <c:v>4.4408920985006262E-16</c:v>
                </c:pt>
                <c:pt idx="65">
                  <c:v>3.1086244689504383E-15</c:v>
                </c:pt>
                <c:pt idx="66">
                  <c:v>3.5527136788005009E-15</c:v>
                </c:pt>
                <c:pt idx="67">
                  <c:v>2.2204460492503131E-15</c:v>
                </c:pt>
                <c:pt idx="68">
                  <c:v>4.4408920985006262E-16</c:v>
                </c:pt>
                <c:pt idx="69">
                  <c:v>3.9968028886505635E-15</c:v>
                </c:pt>
                <c:pt idx="70">
                  <c:v>1.4654943925052066E-14</c:v>
                </c:pt>
                <c:pt idx="71">
                  <c:v>6.2172489379008766E-15</c:v>
                </c:pt>
                <c:pt idx="72">
                  <c:v>3.1086244689504383E-15</c:v>
                </c:pt>
                <c:pt idx="73">
                  <c:v>3.3306690738754696E-14</c:v>
                </c:pt>
                <c:pt idx="74">
                  <c:v>4.929390229335695E-14</c:v>
                </c:pt>
                <c:pt idx="75">
                  <c:v>2.7533531010703882E-14</c:v>
                </c:pt>
                <c:pt idx="76">
                  <c:v>6.4392935428259079E-14</c:v>
                </c:pt>
                <c:pt idx="77">
                  <c:v>8.9261931179862586E-14</c:v>
                </c:pt>
                <c:pt idx="78">
                  <c:v>4.75175454539567E-14</c:v>
                </c:pt>
                <c:pt idx="79">
                  <c:v>3.5527136788005009E-14</c:v>
                </c:pt>
                <c:pt idx="80">
                  <c:v>1.4166445794216997E-13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6-4F3D-9181-F115063C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LOGNORMAL!$F$30</c:f>
              <c:strCache>
                <c:ptCount val="1"/>
                <c:pt idx="0">
                  <c:v>Excel PDF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LOGNORMAL!$E$31:$E$111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LOGNORMAL!$F$31:$F$111</c:f>
              <c:numCache>
                <c:formatCode>0.000000000000</c:formatCode>
                <c:ptCount val="81"/>
                <c:pt idx="0">
                  <c:v>3.028721339881135E-17</c:v>
                </c:pt>
                <c:pt idx="1">
                  <c:v>1.1301905572947192E-5</c:v>
                </c:pt>
                <c:pt idx="2">
                  <c:v>1.9185848820152365E-3</c:v>
                </c:pt>
                <c:pt idx="3">
                  <c:v>2.0731759425196342E-2</c:v>
                </c:pt>
                <c:pt idx="4">
                  <c:v>8.0750825469547247E-2</c:v>
                </c:pt>
                <c:pt idx="5">
                  <c:v>0.18970955689686517</c:v>
                </c:pt>
                <c:pt idx="6">
                  <c:v>0.33321472558383125</c:v>
                </c:pt>
                <c:pt idx="7">
                  <c:v>0.48716941768483724</c:v>
                </c:pt>
                <c:pt idx="8">
                  <c:v>0.62966717830243735</c:v>
                </c:pt>
                <c:pt idx="9">
                  <c:v>0.74629720957404477</c:v>
                </c:pt>
                <c:pt idx="10">
                  <c:v>0.83048420433433057</c:v>
                </c:pt>
                <c:pt idx="11">
                  <c:v>0.88163184497643565</c:v>
                </c:pt>
                <c:pt idx="12">
                  <c:v>0.90286107032303098</c:v>
                </c:pt>
                <c:pt idx="13">
                  <c:v>0.89912955199189415</c:v>
                </c:pt>
                <c:pt idx="14">
                  <c:v>0.87592981465179987</c:v>
                </c:pt>
                <c:pt idx="15">
                  <c:v>0.83850575503759361</c:v>
                </c:pt>
                <c:pt idx="16">
                  <c:v>0.79145163600906976</c:v>
                </c:pt>
                <c:pt idx="17">
                  <c:v>0.73856152481965087</c:v>
                </c:pt>
                <c:pt idx="18">
                  <c:v>0.68282678758205151</c:v>
                </c:pt>
                <c:pt idx="19">
                  <c:v>0.62651108082096207</c:v>
                </c:pt>
                <c:pt idx="20">
                  <c:v>0.57125814546298992</c:v>
                </c:pt>
                <c:pt idx="21">
                  <c:v>0.51820622429885166</c:v>
                </c:pt>
                <c:pt idx="22">
                  <c:v>0.46809516404802132</c:v>
                </c:pt>
                <c:pt idx="23">
                  <c:v>0.4213598604736814</c:v>
                </c:pt>
                <c:pt idx="24">
                  <c:v>0.37820813630745548</c:v>
                </c:pt>
                <c:pt idx="25">
                  <c:v>0.33868353484890884</c:v>
                </c:pt>
                <c:pt idx="26">
                  <c:v>0.30271465597326042</c:v>
                </c:pt>
                <c:pt idx="27">
                  <c:v>0.27015307735456401</c:v>
                </c:pt>
                <c:pt idx="28">
                  <c:v>0.24080192189460836</c:v>
                </c:pt>
                <c:pt idx="29">
                  <c:v>0.21443695327211684</c:v>
                </c:pt>
                <c:pt idx="30">
                  <c:v>0.1908218221579033</c:v>
                </c:pt>
                <c:pt idx="31">
                  <c:v>0.16971881062267252</c:v>
                </c:pt>
                <c:pt idx="32">
                  <c:v>0.1508961645667965</c:v>
                </c:pt>
                <c:pt idx="33">
                  <c:v>0.13413287809995694</c:v>
                </c:pt>
                <c:pt idx="34">
                  <c:v>0.11922160384463673</c:v>
                </c:pt>
                <c:pt idx="35">
                  <c:v>0.10597020789530878</c:v>
                </c:pt>
                <c:pt idx="36">
                  <c:v>9.4202363901289179E-2</c:v>
                </c:pt>
                <c:pt idx="37">
                  <c:v>8.3757482851033502E-2</c:v>
                </c:pt>
                <c:pt idx="38">
                  <c:v>7.4490199008959215E-2</c:v>
                </c:pt>
                <c:pt idx="39">
                  <c:v>6.6269573894947448E-2</c:v>
                </c:pt>
                <c:pt idx="40">
                  <c:v>5.8978135580777843E-2</c:v>
                </c:pt>
                <c:pt idx="41">
                  <c:v>5.2510836890410036E-2</c:v>
                </c:pt>
                <c:pt idx="42">
                  <c:v>4.6773990878869923E-2</c:v>
                </c:pt>
                <c:pt idx="43">
                  <c:v>4.1684223266819753E-2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2.9597661140999598E-2</c:v>
                </c:pt>
                <c:pt idx="47">
                  <c:v>2.6434847886584206E-2</c:v>
                </c:pt>
                <c:pt idx="48">
                  <c:v>2.3623981401231623E-2</c:v>
                </c:pt>
                <c:pt idx="49">
                  <c:v>2.1124740810892679E-2</c:v>
                </c:pt>
                <c:pt idx="50">
                  <c:v>1.8901485351506066E-2</c:v>
                </c:pt>
                <c:pt idx="51">
                  <c:v>1.6922718328805528E-2</c:v>
                </c:pt>
                <c:pt idx="52">
                  <c:v>1.5160608492711549E-2</c:v>
                </c:pt>
                <c:pt idx="53">
                  <c:v>1.3590563916605942E-2</c:v>
                </c:pt>
                <c:pt idx="54">
                  <c:v>1.2190853523841033E-2</c:v>
                </c:pt>
                <c:pt idx="55">
                  <c:v>1.0942271588098858E-2</c:v>
                </c:pt>
                <c:pt idx="56">
                  <c:v>9.8278408003676879E-3</c:v>
                </c:pt>
                <c:pt idx="57">
                  <c:v>8.8325498074322065E-3</c:v>
                </c:pt>
                <c:pt idx="58">
                  <c:v>7.9431214596527282E-3</c:v>
                </c:pt>
                <c:pt idx="59">
                  <c:v>7.1478083420799549E-3</c:v>
                </c:pt>
                <c:pt idx="60">
                  <c:v>6.4362124910251556E-3</c:v>
                </c:pt>
                <c:pt idx="61">
                  <c:v>5.7991265106577886E-3</c:v>
                </c:pt>
                <c:pt idx="62">
                  <c:v>5.2283935966212086E-3</c:v>
                </c:pt>
                <c:pt idx="63">
                  <c:v>4.7167842437406179E-3</c:v>
                </c:pt>
                <c:pt idx="64">
                  <c:v>4.2578876618284221E-3</c:v>
                </c:pt>
                <c:pt idx="65">
                  <c:v>3.8460161475511465E-3</c:v>
                </c:pt>
                <c:pt idx="66">
                  <c:v>3.4761208621467764E-3</c:v>
                </c:pt>
                <c:pt idx="67">
                  <c:v>3.1437176457181572E-3</c:v>
                </c:pt>
                <c:pt idx="68">
                  <c:v>2.8448216603530652E-3</c:v>
                </c:pt>
                <c:pt idx="69">
                  <c:v>2.5758897980160339E-3</c:v>
                </c:pt>
                <c:pt idx="70">
                  <c:v>2.3337699166236063E-3</c:v>
                </c:pt>
                <c:pt idx="71">
                  <c:v>2.1156560805184652E-3</c:v>
                </c:pt>
                <c:pt idx="72">
                  <c:v>1.9190490811900394E-3</c:v>
                </c:pt>
                <c:pt idx="73">
                  <c:v>1.7417216019456781E-3</c:v>
                </c:pt>
                <c:pt idx="74">
                  <c:v>1.5816874676067214E-3</c:v>
                </c:pt>
                <c:pt idx="75">
                  <c:v>1.4371744883651719E-3</c:v>
                </c:pt>
                <c:pt idx="76">
                  <c:v>1.3066004667572307E-3</c:v>
                </c:pt>
                <c:pt idx="77">
                  <c:v>1.1885519892507665E-3</c:v>
                </c:pt>
                <c:pt idx="78">
                  <c:v>1.0817656700656921E-3</c:v>
                </c:pt>
                <c:pt idx="79">
                  <c:v>9.8511155531699583E-4</c:v>
                </c:pt>
                <c:pt idx="80">
                  <c:v>8.9757843107166274E-4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1-4C18-A409-4D1B99AD8B07}"/>
            </c:ext>
          </c:extLst>
        </c:ser>
        <c:ser>
          <c:idx val="1"/>
          <c:order val="1"/>
          <c:tx>
            <c:strRef>
              <c:f>LOGNORMAL!$G$30</c:f>
              <c:strCache>
                <c:ptCount val="1"/>
                <c:pt idx="0">
                  <c:v>VBA PDF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LOGNORMAL!$E$31:$E$111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LOGNORMAL!$G$31:$G$111</c:f>
              <c:numCache>
                <c:formatCode>0.000000000000</c:formatCode>
                <c:ptCount val="81"/>
                <c:pt idx="0">
                  <c:v>3.0287213398811165E-17</c:v>
                </c:pt>
                <c:pt idx="1">
                  <c:v>1.1301905572947166E-5</c:v>
                </c:pt>
                <c:pt idx="2">
                  <c:v>1.9185848820152363E-3</c:v>
                </c:pt>
                <c:pt idx="3">
                  <c:v>2.0731759425196363E-2</c:v>
                </c:pt>
                <c:pt idx="4">
                  <c:v>8.075082546954726E-2</c:v>
                </c:pt>
                <c:pt idx="5">
                  <c:v>0.18970955689686511</c:v>
                </c:pt>
                <c:pt idx="6">
                  <c:v>0.33321472558383119</c:v>
                </c:pt>
                <c:pt idx="7">
                  <c:v>0.48716941768483735</c:v>
                </c:pt>
                <c:pt idx="8">
                  <c:v>0.62966717830243746</c:v>
                </c:pt>
                <c:pt idx="9">
                  <c:v>0.746297209574045</c:v>
                </c:pt>
                <c:pt idx="10">
                  <c:v>0.83048420433433079</c:v>
                </c:pt>
                <c:pt idx="11">
                  <c:v>0.88163184497643565</c:v>
                </c:pt>
                <c:pt idx="12">
                  <c:v>0.90286107032303109</c:v>
                </c:pt>
                <c:pt idx="13">
                  <c:v>0.89912955199189426</c:v>
                </c:pt>
                <c:pt idx="14">
                  <c:v>0.87592981465179998</c:v>
                </c:pt>
                <c:pt idx="15">
                  <c:v>0.83850575503759373</c:v>
                </c:pt>
                <c:pt idx="16">
                  <c:v>0.79145163600906987</c:v>
                </c:pt>
                <c:pt idx="17">
                  <c:v>0.73856152481965098</c:v>
                </c:pt>
                <c:pt idx="18">
                  <c:v>0.68282678758205162</c:v>
                </c:pt>
                <c:pt idx="19">
                  <c:v>0.6265110808209623</c:v>
                </c:pt>
                <c:pt idx="20">
                  <c:v>0.57125814546298992</c:v>
                </c:pt>
                <c:pt idx="21">
                  <c:v>0.51820622429885188</c:v>
                </c:pt>
                <c:pt idx="22">
                  <c:v>0.46809516404802137</c:v>
                </c:pt>
                <c:pt idx="23">
                  <c:v>0.42135986047368151</c:v>
                </c:pt>
                <c:pt idx="24">
                  <c:v>0.37820813630745553</c:v>
                </c:pt>
                <c:pt idx="25">
                  <c:v>0.3386835348489089</c:v>
                </c:pt>
                <c:pt idx="26">
                  <c:v>0.30271465597326047</c:v>
                </c:pt>
                <c:pt idx="27">
                  <c:v>0.27015307735456412</c:v>
                </c:pt>
                <c:pt idx="28">
                  <c:v>0.24080192189460839</c:v>
                </c:pt>
                <c:pt idx="29">
                  <c:v>0.21443695327211684</c:v>
                </c:pt>
                <c:pt idx="30">
                  <c:v>0.19082182215790339</c:v>
                </c:pt>
                <c:pt idx="31">
                  <c:v>0.16971881062267261</c:v>
                </c:pt>
                <c:pt idx="32">
                  <c:v>0.15089616456679644</c:v>
                </c:pt>
                <c:pt idx="33">
                  <c:v>0.13413287809995694</c:v>
                </c:pt>
                <c:pt idx="34">
                  <c:v>0.1192216038446367</c:v>
                </c:pt>
                <c:pt idx="35">
                  <c:v>0.10597020789530878</c:v>
                </c:pt>
                <c:pt idx="36">
                  <c:v>9.4202363901289193E-2</c:v>
                </c:pt>
                <c:pt idx="37">
                  <c:v>8.375748285103353E-2</c:v>
                </c:pt>
                <c:pt idx="38">
                  <c:v>7.4490199008959229E-2</c:v>
                </c:pt>
                <c:pt idx="39">
                  <c:v>6.6269573894947489E-2</c:v>
                </c:pt>
                <c:pt idx="40">
                  <c:v>5.8978135580777837E-2</c:v>
                </c:pt>
                <c:pt idx="41">
                  <c:v>5.2510836890410036E-2</c:v>
                </c:pt>
                <c:pt idx="42">
                  <c:v>4.6773990878869916E-2</c:v>
                </c:pt>
                <c:pt idx="43">
                  <c:v>4.168422326681976E-2</c:v>
                </c:pt>
                <c:pt idx="44">
                  <c:v>3.7167467778507102E-2</c:v>
                </c:pt>
                <c:pt idx="45">
                  <c:v>3.3158020363193347E-2</c:v>
                </c:pt>
                <c:pt idx="46">
                  <c:v>2.9597661140999591E-2</c:v>
                </c:pt>
                <c:pt idx="47">
                  <c:v>2.6434847886584192E-2</c:v>
                </c:pt>
                <c:pt idx="48">
                  <c:v>2.362398140123163E-2</c:v>
                </c:pt>
                <c:pt idx="49">
                  <c:v>2.1124740810892675E-2</c:v>
                </c:pt>
                <c:pt idx="50">
                  <c:v>1.8901485351506066E-2</c:v>
                </c:pt>
                <c:pt idx="51">
                  <c:v>1.6922718328805521E-2</c:v>
                </c:pt>
                <c:pt idx="52">
                  <c:v>1.5160608492711539E-2</c:v>
                </c:pt>
                <c:pt idx="53">
                  <c:v>1.3590563916605937E-2</c:v>
                </c:pt>
                <c:pt idx="54">
                  <c:v>1.2190853523841022E-2</c:v>
                </c:pt>
                <c:pt idx="55">
                  <c:v>1.0942271588098863E-2</c:v>
                </c:pt>
                <c:pt idx="56">
                  <c:v>9.8278408003676758E-3</c:v>
                </c:pt>
                <c:pt idx="57">
                  <c:v>8.8325498074322117E-3</c:v>
                </c:pt>
                <c:pt idx="58">
                  <c:v>7.9431214596527196E-3</c:v>
                </c:pt>
                <c:pt idx="59">
                  <c:v>7.1478083420799523E-3</c:v>
                </c:pt>
                <c:pt idx="60">
                  <c:v>6.4362124910251504E-3</c:v>
                </c:pt>
                <c:pt idx="61">
                  <c:v>5.7991265106577825E-3</c:v>
                </c:pt>
                <c:pt idx="62">
                  <c:v>5.2283935966212069E-3</c:v>
                </c:pt>
                <c:pt idx="63">
                  <c:v>4.7167842437406127E-3</c:v>
                </c:pt>
                <c:pt idx="64">
                  <c:v>4.2578876618284177E-3</c:v>
                </c:pt>
                <c:pt idx="65">
                  <c:v>3.8460161475511474E-3</c:v>
                </c:pt>
                <c:pt idx="66">
                  <c:v>3.4761208621467807E-3</c:v>
                </c:pt>
                <c:pt idx="67">
                  <c:v>3.1437176457181589E-3</c:v>
                </c:pt>
                <c:pt idx="68">
                  <c:v>2.8448216603530691E-3</c:v>
                </c:pt>
                <c:pt idx="69">
                  <c:v>2.5758897980160365E-3</c:v>
                </c:pt>
                <c:pt idx="70">
                  <c:v>2.3337699166236076E-3</c:v>
                </c:pt>
                <c:pt idx="71">
                  <c:v>2.1156560805184674E-3</c:v>
                </c:pt>
                <c:pt idx="72">
                  <c:v>1.919049081190042E-3</c:v>
                </c:pt>
                <c:pt idx="73">
                  <c:v>1.7417216019456796E-3</c:v>
                </c:pt>
                <c:pt idx="74">
                  <c:v>1.5816874676067238E-3</c:v>
                </c:pt>
                <c:pt idx="75">
                  <c:v>1.437174488365173E-3</c:v>
                </c:pt>
                <c:pt idx="76">
                  <c:v>1.3066004667572314E-3</c:v>
                </c:pt>
                <c:pt idx="77">
                  <c:v>1.1885519892507665E-3</c:v>
                </c:pt>
                <c:pt idx="78">
                  <c:v>1.0817656700656928E-3</c:v>
                </c:pt>
                <c:pt idx="79">
                  <c:v>9.8511155531699627E-4</c:v>
                </c:pt>
                <c:pt idx="80">
                  <c:v>8.9757843107166318E-4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2"/>
          <c:order val="2"/>
          <c:tx>
            <c:strRef>
              <c:f>LOGNORMAL!$H$30</c:f>
              <c:strCache>
                <c:ptCount val="1"/>
                <c:pt idx="0">
                  <c:v>|PDF error|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LOGNORMAL!$E$31:$E$111</c:f>
              <c:numCache>
                <c:formatCode>0.000</c:formatCode>
                <c:ptCount val="81"/>
                <c:pt idx="0">
                  <c:v>0.01</c:v>
                </c:pt>
                <c:pt idx="1">
                  <c:v>7.2374999999999995E-2</c:v>
                </c:pt>
                <c:pt idx="2">
                  <c:v>0.13474999999999998</c:v>
                </c:pt>
                <c:pt idx="3">
                  <c:v>0.19712499999999999</c:v>
                </c:pt>
                <c:pt idx="4">
                  <c:v>0.25950000000000001</c:v>
                </c:pt>
                <c:pt idx="5">
                  <c:v>0.32187500000000002</c:v>
                </c:pt>
                <c:pt idx="6">
                  <c:v>0.38425000000000004</c:v>
                </c:pt>
                <c:pt idx="7">
                  <c:v>0.44662500000000005</c:v>
                </c:pt>
                <c:pt idx="8">
                  <c:v>0.50900000000000001</c:v>
                </c:pt>
                <c:pt idx="9">
                  <c:v>0.57137499999999997</c:v>
                </c:pt>
                <c:pt idx="10">
                  <c:v>0.63374999999999992</c:v>
                </c:pt>
                <c:pt idx="11">
                  <c:v>0.69612499999999988</c:v>
                </c:pt>
                <c:pt idx="12">
                  <c:v>0.75849999999999984</c:v>
                </c:pt>
                <c:pt idx="13">
                  <c:v>0.8208749999999998</c:v>
                </c:pt>
                <c:pt idx="14">
                  <c:v>0.88324999999999976</c:v>
                </c:pt>
                <c:pt idx="15">
                  <c:v>0.94562499999999972</c:v>
                </c:pt>
                <c:pt idx="16">
                  <c:v>1.0079999999999998</c:v>
                </c:pt>
                <c:pt idx="17">
                  <c:v>1.0703749999999999</c:v>
                </c:pt>
                <c:pt idx="18">
                  <c:v>1.1327499999999999</c:v>
                </c:pt>
                <c:pt idx="19">
                  <c:v>1.195125</c:v>
                </c:pt>
                <c:pt idx="20">
                  <c:v>1.2575000000000001</c:v>
                </c:pt>
                <c:pt idx="21">
                  <c:v>1.3198750000000001</c:v>
                </c:pt>
                <c:pt idx="22">
                  <c:v>1.3822500000000002</c:v>
                </c:pt>
                <c:pt idx="23">
                  <c:v>1.4446250000000003</c:v>
                </c:pt>
                <c:pt idx="24">
                  <c:v>1.5070000000000003</c:v>
                </c:pt>
                <c:pt idx="25">
                  <c:v>1.5693750000000004</c:v>
                </c:pt>
                <c:pt idx="26">
                  <c:v>1.6317500000000005</c:v>
                </c:pt>
                <c:pt idx="27">
                  <c:v>1.6941250000000005</c:v>
                </c:pt>
                <c:pt idx="28">
                  <c:v>1.7565000000000006</c:v>
                </c:pt>
                <c:pt idx="29">
                  <c:v>1.8188750000000007</c:v>
                </c:pt>
                <c:pt idx="30">
                  <c:v>1.8812500000000008</c:v>
                </c:pt>
                <c:pt idx="31">
                  <c:v>1.9436250000000008</c:v>
                </c:pt>
                <c:pt idx="32">
                  <c:v>2.0060000000000007</c:v>
                </c:pt>
                <c:pt idx="33">
                  <c:v>2.0683750000000005</c:v>
                </c:pt>
                <c:pt idx="34">
                  <c:v>2.1307500000000004</c:v>
                </c:pt>
                <c:pt idx="35">
                  <c:v>2.1931250000000002</c:v>
                </c:pt>
                <c:pt idx="36">
                  <c:v>2.2555000000000001</c:v>
                </c:pt>
                <c:pt idx="37">
                  <c:v>2.3178749999999999</c:v>
                </c:pt>
                <c:pt idx="38">
                  <c:v>2.3802499999999998</c:v>
                </c:pt>
                <c:pt idx="39">
                  <c:v>2.4426249999999996</c:v>
                </c:pt>
                <c:pt idx="40">
                  <c:v>2.5049999999999994</c:v>
                </c:pt>
                <c:pt idx="41">
                  <c:v>2.5673749999999993</c:v>
                </c:pt>
                <c:pt idx="42">
                  <c:v>2.6297499999999991</c:v>
                </c:pt>
                <c:pt idx="43">
                  <c:v>2.692124999999999</c:v>
                </c:pt>
                <c:pt idx="44">
                  <c:v>2.7544999999999988</c:v>
                </c:pt>
                <c:pt idx="45">
                  <c:v>2.8168749999999987</c:v>
                </c:pt>
                <c:pt idx="46">
                  <c:v>2.8792499999999985</c:v>
                </c:pt>
                <c:pt idx="47">
                  <c:v>2.9416249999999984</c:v>
                </c:pt>
                <c:pt idx="48">
                  <c:v>3.0039999999999982</c:v>
                </c:pt>
                <c:pt idx="49">
                  <c:v>3.0663749999999981</c:v>
                </c:pt>
                <c:pt idx="50">
                  <c:v>3.1287499999999979</c:v>
                </c:pt>
                <c:pt idx="51">
                  <c:v>3.1911249999999978</c:v>
                </c:pt>
                <c:pt idx="52">
                  <c:v>3.2534999999999976</c:v>
                </c:pt>
                <c:pt idx="53">
                  <c:v>3.3158749999999975</c:v>
                </c:pt>
                <c:pt idx="54">
                  <c:v>3.3782499999999973</c:v>
                </c:pt>
                <c:pt idx="55">
                  <c:v>3.4406249999999972</c:v>
                </c:pt>
                <c:pt idx="56">
                  <c:v>3.502999999999997</c:v>
                </c:pt>
                <c:pt idx="57">
                  <c:v>3.5653749999999969</c:v>
                </c:pt>
                <c:pt idx="58">
                  <c:v>3.6277499999999967</c:v>
                </c:pt>
                <c:pt idx="59">
                  <c:v>3.6901249999999965</c:v>
                </c:pt>
                <c:pt idx="60">
                  <c:v>3.7524999999999964</c:v>
                </c:pt>
                <c:pt idx="61">
                  <c:v>3.8148749999999962</c:v>
                </c:pt>
                <c:pt idx="62">
                  <c:v>3.8772499999999961</c:v>
                </c:pt>
                <c:pt idx="63">
                  <c:v>3.9396249999999959</c:v>
                </c:pt>
                <c:pt idx="64">
                  <c:v>4.0019999999999962</c:v>
                </c:pt>
                <c:pt idx="65">
                  <c:v>4.0643749999999965</c:v>
                </c:pt>
                <c:pt idx="66">
                  <c:v>4.1267499999999968</c:v>
                </c:pt>
                <c:pt idx="67">
                  <c:v>4.1891249999999971</c:v>
                </c:pt>
                <c:pt idx="68">
                  <c:v>4.2514999999999974</c:v>
                </c:pt>
                <c:pt idx="69">
                  <c:v>4.3138749999999977</c:v>
                </c:pt>
                <c:pt idx="70">
                  <c:v>4.376249999999998</c:v>
                </c:pt>
                <c:pt idx="71">
                  <c:v>4.4386249999999983</c:v>
                </c:pt>
                <c:pt idx="72">
                  <c:v>4.5009999999999986</c:v>
                </c:pt>
                <c:pt idx="73">
                  <c:v>4.5633749999999988</c:v>
                </c:pt>
                <c:pt idx="74">
                  <c:v>4.6257499999999991</c:v>
                </c:pt>
                <c:pt idx="75">
                  <c:v>4.6881249999999994</c:v>
                </c:pt>
                <c:pt idx="76">
                  <c:v>4.7504999999999997</c:v>
                </c:pt>
                <c:pt idx="77">
                  <c:v>4.812875</c:v>
                </c:pt>
                <c:pt idx="78">
                  <c:v>4.8752500000000003</c:v>
                </c:pt>
                <c:pt idx="79">
                  <c:v>4.9376250000000006</c:v>
                </c:pt>
                <c:pt idx="80">
                  <c:v>5.0000000000000009</c:v>
                </c:pt>
              </c:numCache>
            </c:numRef>
          </c:cat>
          <c:val>
            <c:numRef>
              <c:f>LOGNORMAL!$H$31:$H$111</c:f>
              <c:numCache>
                <c:formatCode>0.0000000000</c:formatCode>
                <c:ptCount val="81"/>
                <c:pt idx="0">
                  <c:v>1.8488927466117464E-31</c:v>
                </c:pt>
                <c:pt idx="1">
                  <c:v>2.541098841762901E-20</c:v>
                </c:pt>
                <c:pt idx="2">
                  <c:v>2.1684043449710089E-19</c:v>
                </c:pt>
                <c:pt idx="3">
                  <c:v>2.0816681711721685E-17</c:v>
                </c:pt>
                <c:pt idx="4">
                  <c:v>1.3877787807814457E-17</c:v>
                </c:pt>
                <c:pt idx="5">
                  <c:v>5.5511151231257827E-17</c:v>
                </c:pt>
                <c:pt idx="6">
                  <c:v>5.5511151231257827E-17</c:v>
                </c:pt>
                <c:pt idx="7">
                  <c:v>1.1102230246251565E-16</c:v>
                </c:pt>
                <c:pt idx="8">
                  <c:v>1.1102230246251565E-16</c:v>
                </c:pt>
                <c:pt idx="9">
                  <c:v>2.2204460492503131E-16</c:v>
                </c:pt>
                <c:pt idx="10">
                  <c:v>2.2204460492503131E-16</c:v>
                </c:pt>
                <c:pt idx="11">
                  <c:v>0</c:v>
                </c:pt>
                <c:pt idx="12">
                  <c:v>1.1102230246251565E-16</c:v>
                </c:pt>
                <c:pt idx="13">
                  <c:v>1.1102230246251565E-16</c:v>
                </c:pt>
                <c:pt idx="14">
                  <c:v>1.1102230246251565E-16</c:v>
                </c:pt>
                <c:pt idx="15">
                  <c:v>1.1102230246251565E-16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1.1102230246251565E-16</c:v>
                </c:pt>
                <c:pt idx="19">
                  <c:v>2.2204460492503131E-16</c:v>
                </c:pt>
                <c:pt idx="20">
                  <c:v>0</c:v>
                </c:pt>
                <c:pt idx="21">
                  <c:v>2.2204460492503131E-16</c:v>
                </c:pt>
                <c:pt idx="22">
                  <c:v>5.5511151231257827E-17</c:v>
                </c:pt>
                <c:pt idx="23">
                  <c:v>1.1102230246251565E-16</c:v>
                </c:pt>
                <c:pt idx="24">
                  <c:v>5.5511151231257827E-17</c:v>
                </c:pt>
                <c:pt idx="25">
                  <c:v>5.5511151231257827E-17</c:v>
                </c:pt>
                <c:pt idx="26">
                  <c:v>5.5511151231257827E-17</c:v>
                </c:pt>
                <c:pt idx="27">
                  <c:v>1.1102230246251565E-16</c:v>
                </c:pt>
                <c:pt idx="28">
                  <c:v>2.7755575615628914E-17</c:v>
                </c:pt>
                <c:pt idx="29">
                  <c:v>0</c:v>
                </c:pt>
                <c:pt idx="30">
                  <c:v>8.3266726846886741E-17</c:v>
                </c:pt>
                <c:pt idx="31">
                  <c:v>8.3266726846886741E-17</c:v>
                </c:pt>
                <c:pt idx="32">
                  <c:v>5.5511151231257827E-17</c:v>
                </c:pt>
                <c:pt idx="33">
                  <c:v>0</c:v>
                </c:pt>
                <c:pt idx="34">
                  <c:v>2.7755575615628914E-17</c:v>
                </c:pt>
                <c:pt idx="35">
                  <c:v>0</c:v>
                </c:pt>
                <c:pt idx="36">
                  <c:v>1.3877787807814457E-17</c:v>
                </c:pt>
                <c:pt idx="37">
                  <c:v>2.7755575615628914E-17</c:v>
                </c:pt>
                <c:pt idx="38">
                  <c:v>1.3877787807814457E-17</c:v>
                </c:pt>
                <c:pt idx="39">
                  <c:v>4.163336342344337E-17</c:v>
                </c:pt>
                <c:pt idx="40">
                  <c:v>6.9388939039072284E-18</c:v>
                </c:pt>
                <c:pt idx="41">
                  <c:v>0</c:v>
                </c:pt>
                <c:pt idx="42">
                  <c:v>6.9388939039072284E-18</c:v>
                </c:pt>
                <c:pt idx="43">
                  <c:v>6.9388939039072284E-18</c:v>
                </c:pt>
                <c:pt idx="44">
                  <c:v>0</c:v>
                </c:pt>
                <c:pt idx="45">
                  <c:v>0</c:v>
                </c:pt>
                <c:pt idx="46">
                  <c:v>6.9388939039072284E-18</c:v>
                </c:pt>
                <c:pt idx="47">
                  <c:v>1.3877787807814457E-17</c:v>
                </c:pt>
                <c:pt idx="48">
                  <c:v>6.9388939039072284E-18</c:v>
                </c:pt>
                <c:pt idx="49">
                  <c:v>3.4694469519536142E-18</c:v>
                </c:pt>
                <c:pt idx="50">
                  <c:v>0</c:v>
                </c:pt>
                <c:pt idx="51">
                  <c:v>6.9388939039072284E-18</c:v>
                </c:pt>
                <c:pt idx="52">
                  <c:v>1.0408340855860843E-17</c:v>
                </c:pt>
                <c:pt idx="53">
                  <c:v>5.2041704279304213E-18</c:v>
                </c:pt>
                <c:pt idx="54">
                  <c:v>1.0408340855860843E-17</c:v>
                </c:pt>
                <c:pt idx="55">
                  <c:v>5.2041704279304213E-18</c:v>
                </c:pt>
                <c:pt idx="56">
                  <c:v>1.214306433183765E-17</c:v>
                </c:pt>
                <c:pt idx="57">
                  <c:v>5.2041704279304213E-18</c:v>
                </c:pt>
                <c:pt idx="58">
                  <c:v>8.6736173798840355E-18</c:v>
                </c:pt>
                <c:pt idx="59">
                  <c:v>2.6020852139652106E-18</c:v>
                </c:pt>
                <c:pt idx="60">
                  <c:v>5.2041704279304213E-18</c:v>
                </c:pt>
                <c:pt idx="61">
                  <c:v>6.0715321659188248E-18</c:v>
                </c:pt>
                <c:pt idx="62">
                  <c:v>1.7347234759768071E-18</c:v>
                </c:pt>
                <c:pt idx="63">
                  <c:v>5.2041704279304213E-18</c:v>
                </c:pt>
                <c:pt idx="64">
                  <c:v>4.3368086899420177E-18</c:v>
                </c:pt>
                <c:pt idx="65">
                  <c:v>8.6736173798840355E-19</c:v>
                </c:pt>
                <c:pt idx="66">
                  <c:v>4.3368086899420177E-18</c:v>
                </c:pt>
                <c:pt idx="67">
                  <c:v>1.7347234759768071E-18</c:v>
                </c:pt>
                <c:pt idx="68">
                  <c:v>3.903127820947816E-18</c:v>
                </c:pt>
                <c:pt idx="69">
                  <c:v>2.6020852139652106E-18</c:v>
                </c:pt>
                <c:pt idx="70">
                  <c:v>1.3010426069826053E-18</c:v>
                </c:pt>
                <c:pt idx="71">
                  <c:v>2.1684043449710089E-18</c:v>
                </c:pt>
                <c:pt idx="72">
                  <c:v>2.6020852139652106E-18</c:v>
                </c:pt>
                <c:pt idx="73">
                  <c:v>1.5178830414797062E-18</c:v>
                </c:pt>
                <c:pt idx="74">
                  <c:v>2.3852447794681098E-18</c:v>
                </c:pt>
                <c:pt idx="75">
                  <c:v>1.0842021724855044E-18</c:v>
                </c:pt>
                <c:pt idx="76">
                  <c:v>6.5052130349130266E-19</c:v>
                </c:pt>
                <c:pt idx="77">
                  <c:v>0</c:v>
                </c:pt>
                <c:pt idx="78">
                  <c:v>6.5052130349130266E-19</c:v>
                </c:pt>
                <c:pt idx="79">
                  <c:v>4.3368086899420177E-19</c:v>
                </c:pt>
                <c:pt idx="80">
                  <c:v>4.3368086899420177E-19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1-4C18-A409-4D1B99A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LOGNORMAL!$I$30</c:f>
              <c:strCache>
                <c:ptCount val="1"/>
                <c:pt idx="0">
                  <c:v>Excel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LOGNORMAL!$E$30:$E$111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LOGNORMAL!$I$31:$I$111</c:f>
              <c:numCache>
                <c:formatCode>0.000000000000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568-AE34-884075665649}"/>
            </c:ext>
          </c:extLst>
        </c:ser>
        <c:ser>
          <c:idx val="2"/>
          <c:order val="1"/>
          <c:tx>
            <c:strRef>
              <c:f>LOGNORMAL!$J$30</c:f>
              <c:strCache>
                <c:ptCount val="1"/>
                <c:pt idx="0">
                  <c:v>VBA 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LOGNORMAL!$E$30:$E$111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LOGNORMAL!$J$31:$J$111</c:f>
              <c:numCache>
                <c:formatCode>0.000000000000</c:formatCode>
                <c:ptCount val="81"/>
                <c:pt idx="0">
                  <c:v>1.6254621050168976E-20</c:v>
                </c:pt>
                <c:pt idx="1">
                  <c:v>7.531460809953245E-8</c:v>
                </c:pt>
                <c:pt idx="2">
                  <c:v>3.0531077739277522E-5</c:v>
                </c:pt>
                <c:pt idx="3">
                  <c:v>5.814345073337601E-4</c:v>
                </c:pt>
                <c:pt idx="4">
                  <c:v>3.487901864888291E-3</c:v>
                </c:pt>
                <c:pt idx="5">
                  <c:v>1.1689493450847346E-2</c:v>
                </c:pt>
                <c:pt idx="6">
                  <c:v>2.7878904548936628E-2</c:v>
                </c:pt>
                <c:pt idx="7">
                  <c:v>5.3473144584956736E-2</c:v>
                </c:pt>
                <c:pt idx="8">
                  <c:v>8.8409472772919592E-2</c:v>
                </c:pt>
                <c:pt idx="9">
                  <c:v>0.13148069644585508</c:v>
                </c:pt>
                <c:pt idx="10">
                  <c:v>0.1808313408770231</c:v>
                </c:pt>
                <c:pt idx="11">
                  <c:v>0.2343941200008309</c:v>
                </c:pt>
                <c:pt idx="12">
                  <c:v>0.29019163750847132</c:v>
                </c:pt>
                <c:pt idx="13">
                  <c:v>0.34650673588764663</c:v>
                </c:pt>
                <c:pt idx="14">
                  <c:v>0.40195347611043825</c:v>
                </c:pt>
                <c:pt idx="15">
                  <c:v>0.45548370337325855</c:v>
                </c:pt>
                <c:pt idx="16">
                  <c:v>0.50635741044448257</c:v>
                </c:pt>
                <c:pt idx="17">
                  <c:v>0.55409651734357346</c:v>
                </c:pt>
                <c:pt idx="18">
                  <c:v>0.59843432296753085</c:v>
                </c:pt>
                <c:pt idx="19">
                  <c:v>0.63926750980116098</c:v>
                </c:pt>
                <c:pt idx="20">
                  <c:v>0.676614026730604</c:v>
                </c:pt>
                <c:pt idx="21">
                  <c:v>0.71057800113133496</c:v>
                </c:pt>
                <c:pt idx="22">
                  <c:v>0.74132160864668772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0.854134703974052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0.89686217477768426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0.97864177403368635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0.99449747578911762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0.99722791186073234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0.9986877244316652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0.99899943797300794</c:v>
                </c:pt>
                <c:pt idx="76">
                  <c:v>0.99908494082573684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LOGNORMAL!$K$30</c:f>
              <c:strCache>
                <c:ptCount val="1"/>
                <c:pt idx="0">
                  <c:v>|CDF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LOGNORMAL!$K$31:$K$111</c:f>
              <c:numCache>
                <c:formatCode>0.0000000000</c:formatCode>
                <c:ptCount val="81"/>
                <c:pt idx="0">
                  <c:v>1.0833355937178202E-34</c:v>
                </c:pt>
                <c:pt idx="1">
                  <c:v>7.2926625082839073E-18</c:v>
                </c:pt>
                <c:pt idx="2">
                  <c:v>3.1848438816761693E-18</c:v>
                </c:pt>
                <c:pt idx="3">
                  <c:v>8.2399365108898337E-18</c:v>
                </c:pt>
                <c:pt idx="4">
                  <c:v>6.9388939039072284E-18</c:v>
                </c:pt>
                <c:pt idx="5">
                  <c:v>5.2041704279304213E-18</c:v>
                </c:pt>
                <c:pt idx="6">
                  <c:v>2.4286128663675299E-17</c:v>
                </c:pt>
                <c:pt idx="7">
                  <c:v>6.9388939039072284E-18</c:v>
                </c:pt>
                <c:pt idx="8">
                  <c:v>6.9388939039072284E-17</c:v>
                </c:pt>
                <c:pt idx="9">
                  <c:v>2.7755575615628914E-17</c:v>
                </c:pt>
                <c:pt idx="10">
                  <c:v>2.7755575615628914E-17</c:v>
                </c:pt>
                <c:pt idx="11">
                  <c:v>8.3266726846886741E-17</c:v>
                </c:pt>
                <c:pt idx="12">
                  <c:v>5.5511151231257827E-17</c:v>
                </c:pt>
                <c:pt idx="13">
                  <c:v>5.5511151231257827E-17</c:v>
                </c:pt>
                <c:pt idx="14">
                  <c:v>0</c:v>
                </c:pt>
                <c:pt idx="15">
                  <c:v>5.5511151231257827E-17</c:v>
                </c:pt>
                <c:pt idx="16">
                  <c:v>1.1102230246251565E-16</c:v>
                </c:pt>
                <c:pt idx="17">
                  <c:v>1.1102230246251565E-16</c:v>
                </c:pt>
                <c:pt idx="18">
                  <c:v>0</c:v>
                </c:pt>
                <c:pt idx="19">
                  <c:v>1.1102230246251565E-16</c:v>
                </c:pt>
                <c:pt idx="20">
                  <c:v>0</c:v>
                </c:pt>
                <c:pt idx="21">
                  <c:v>1.1102230246251565E-16</c:v>
                </c:pt>
                <c:pt idx="22">
                  <c:v>1.1102230246251565E-16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1.1102230246251565E-16</c:v>
                </c:pt>
                <c:pt idx="28">
                  <c:v>0</c:v>
                </c:pt>
                <c:pt idx="29">
                  <c:v>0</c:v>
                </c:pt>
                <c:pt idx="30">
                  <c:v>1.1102230246251565E-16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1.1102230246251565E-16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1.1102230246251565E-16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1.1102230246251565E-16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1.1102230246251565E-16</c:v>
                </c:pt>
                <c:pt idx="73">
                  <c:v>0</c:v>
                </c:pt>
                <c:pt idx="74">
                  <c:v>0</c:v>
                </c:pt>
                <c:pt idx="75">
                  <c:v>1.1102230246251565E-16</c:v>
                </c:pt>
                <c:pt idx="76">
                  <c:v>1.1102230246251565E-16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6-4568-AE34-88407566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LOGNORMAL!$L$30</c:f>
              <c:strCache>
                <c:ptCount val="1"/>
                <c:pt idx="0">
                  <c:v>Excel survival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LOGNORMAL!$E$30:$E$111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LOGNORMAL!$L$31:$L$111</c:f>
              <c:numCache>
                <c:formatCode>0.000000000000</c:formatCode>
                <c:ptCount val="81"/>
                <c:pt idx="0">
                  <c:v>1</c:v>
                </c:pt>
                <c:pt idx="1">
                  <c:v>0.99999992468539189</c:v>
                </c:pt>
                <c:pt idx="2">
                  <c:v>0.99996946892226068</c:v>
                </c:pt>
                <c:pt idx="3">
                  <c:v>0.99941856549266628</c:v>
                </c:pt>
                <c:pt idx="4">
                  <c:v>0.99651209813511166</c:v>
                </c:pt>
                <c:pt idx="5">
                  <c:v>0.98831050654915265</c:v>
                </c:pt>
                <c:pt idx="6">
                  <c:v>0.9721210954510634</c:v>
                </c:pt>
                <c:pt idx="7">
                  <c:v>0.94652685541504322</c:v>
                </c:pt>
                <c:pt idx="8">
                  <c:v>0.91159052722708045</c:v>
                </c:pt>
                <c:pt idx="9">
                  <c:v>0.86851930355414497</c:v>
                </c:pt>
                <c:pt idx="10">
                  <c:v>0.81916865912297687</c:v>
                </c:pt>
                <c:pt idx="11">
                  <c:v>0.76560587999916918</c:v>
                </c:pt>
                <c:pt idx="12">
                  <c:v>0.70980836249152879</c:v>
                </c:pt>
                <c:pt idx="13">
                  <c:v>0.65349326411235342</c:v>
                </c:pt>
                <c:pt idx="14">
                  <c:v>0.59804652388956181</c:v>
                </c:pt>
                <c:pt idx="15">
                  <c:v>0.54451629662674139</c:v>
                </c:pt>
                <c:pt idx="16">
                  <c:v>0.49364258955551754</c:v>
                </c:pt>
                <c:pt idx="17">
                  <c:v>0.44590348265642643</c:v>
                </c:pt>
                <c:pt idx="18">
                  <c:v>0.40156567703246915</c:v>
                </c:pt>
                <c:pt idx="19">
                  <c:v>0.36073249019883891</c:v>
                </c:pt>
                <c:pt idx="20">
                  <c:v>0.323385973269396</c:v>
                </c:pt>
                <c:pt idx="21">
                  <c:v>0.28942199886866493</c:v>
                </c:pt>
                <c:pt idx="22">
                  <c:v>0.25867839135331216</c:v>
                </c:pt>
                <c:pt idx="23">
                  <c:v>0.23095678342979986</c:v>
                </c:pt>
                <c:pt idx="24">
                  <c:v>0.20603912743082675</c:v>
                </c:pt>
                <c:pt idx="25">
                  <c:v>0.18369982577857258</c:v>
                </c:pt>
                <c:pt idx="26">
                  <c:v>0.16371437444829873</c:v>
                </c:pt>
                <c:pt idx="27">
                  <c:v>0.14586529602594811</c:v>
                </c:pt>
                <c:pt idx="28">
                  <c:v>0.12994600951774216</c:v>
                </c:pt>
                <c:pt idx="29">
                  <c:v>0.11576316044141954</c:v>
                </c:pt>
                <c:pt idx="30">
                  <c:v>0.10313782522231563</c:v>
                </c:pt>
                <c:pt idx="31">
                  <c:v>9.1905911315405042E-2</c:v>
                </c:pt>
                <c:pt idx="32">
                  <c:v>8.1917998599987163E-2</c:v>
                </c:pt>
                <c:pt idx="33">
                  <c:v>7.3038806843946591E-2</c:v>
                </c:pt>
                <c:pt idx="34">
                  <c:v>6.5146426258284817E-2</c:v>
                </c:pt>
                <c:pt idx="35">
                  <c:v>5.8131411137251621E-2</c:v>
                </c:pt>
                <c:pt idx="36">
                  <c:v>5.1895808248345388E-2</c:v>
                </c:pt>
                <c:pt idx="37">
                  <c:v>4.6352170209308263E-2</c:v>
                </c:pt>
                <c:pt idx="38">
                  <c:v>4.1422588066114985E-2</c:v>
                </c:pt>
                <c:pt idx="39">
                  <c:v>3.7037765442997861E-2</c:v>
                </c:pt>
                <c:pt idx="40">
                  <c:v>3.3136147993191978E-2</c:v>
                </c:pt>
                <c:pt idx="41">
                  <c:v>2.9663115664652184E-2</c:v>
                </c:pt>
                <c:pt idx="42">
                  <c:v>2.6570240906085729E-2</c:v>
                </c:pt>
                <c:pt idx="43">
                  <c:v>2.3814612910140309E-2</c:v>
                </c:pt>
                <c:pt idx="44">
                  <c:v>2.1358225966313538E-2</c:v>
                </c:pt>
                <c:pt idx="45">
                  <c:v>1.916742870542143E-2</c:v>
                </c:pt>
                <c:pt idx="46">
                  <c:v>1.7212430256015709E-2</c:v>
                </c:pt>
                <c:pt idx="47">
                  <c:v>1.5466858947895123E-2</c:v>
                </c:pt>
                <c:pt idx="48">
                  <c:v>1.3907369074933396E-2</c:v>
                </c:pt>
                <c:pt idx="49">
                  <c:v>1.2513291284798722E-2</c:v>
                </c:pt>
                <c:pt idx="50">
                  <c:v>1.1266322335258705E-2</c:v>
                </c:pt>
                <c:pt idx="51">
                  <c:v>1.0150250201144129E-2</c:v>
                </c:pt>
                <c:pt idx="52">
                  <c:v>9.1507108008377358E-3</c:v>
                </c:pt>
                <c:pt idx="53">
                  <c:v>8.2549729140002359E-3</c:v>
                </c:pt>
                <c:pt idx="54">
                  <c:v>7.4517481677092157E-3</c:v>
                </c:pt>
                <c:pt idx="55">
                  <c:v>6.7310232659758551E-3</c:v>
                </c:pt>
                <c:pt idx="56">
                  <c:v>6.0839119211286707E-3</c:v>
                </c:pt>
                <c:pt idx="57">
                  <c:v>5.5025242108824868E-3</c:v>
                </c:pt>
                <c:pt idx="58">
                  <c:v>4.979851330020546E-3</c:v>
                </c:pt>
                <c:pt idx="59">
                  <c:v>4.5096639297788066E-3</c:v>
                </c:pt>
                <c:pt idx="60">
                  <c:v>4.086422441419546E-3</c:v>
                </c:pt>
                <c:pt idx="61">
                  <c:v>3.7051979638735855E-3</c:v>
                </c:pt>
                <c:pt idx="62">
                  <c:v>3.3616024598367433E-3</c:v>
                </c:pt>
                <c:pt idx="63">
                  <c:v>3.0517271516679045E-3</c:v>
                </c:pt>
                <c:pt idx="64">
                  <c:v>2.7720881392675478E-3</c:v>
                </c:pt>
                <c:pt idx="65">
                  <c:v>2.5195783782662184E-3</c:v>
                </c:pt>
                <c:pt idx="66">
                  <c:v>2.2914252597291407E-3</c:v>
                </c:pt>
                <c:pt idx="67">
                  <c:v>2.0851531235314136E-3</c:v>
                </c:pt>
                <c:pt idx="68">
                  <c:v>1.898550117828024E-3</c:v>
                </c:pt>
                <c:pt idx="69">
                  <c:v>1.7296388878114133E-3</c:v>
                </c:pt>
                <c:pt idx="70">
                  <c:v>1.5766506392608237E-3</c:v>
                </c:pt>
                <c:pt idx="71">
                  <c:v>1.4380021772177898E-3</c:v>
                </c:pt>
                <c:pt idx="72">
                  <c:v>1.3122755683346865E-3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3-485E-BD70-E61473A3437B}"/>
            </c:ext>
          </c:extLst>
        </c:ser>
        <c:ser>
          <c:idx val="2"/>
          <c:order val="1"/>
          <c:tx>
            <c:strRef>
              <c:f>LOGNORMAL!$M$30</c:f>
              <c:strCache>
                <c:ptCount val="1"/>
                <c:pt idx="0">
                  <c:v>VBA survival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LOGNORMAL!$E$30:$E$111</c:f>
              <c:strCache>
                <c:ptCount val="82"/>
                <c:pt idx="0">
                  <c:v>X</c:v>
                </c:pt>
                <c:pt idx="1">
                  <c:v>0,010</c:v>
                </c:pt>
                <c:pt idx="2">
                  <c:v>0,072</c:v>
                </c:pt>
                <c:pt idx="3">
                  <c:v>0,135</c:v>
                </c:pt>
                <c:pt idx="4">
                  <c:v>0,197</c:v>
                </c:pt>
                <c:pt idx="5">
                  <c:v>0,260</c:v>
                </c:pt>
                <c:pt idx="6">
                  <c:v>0,322</c:v>
                </c:pt>
                <c:pt idx="7">
                  <c:v>0,384</c:v>
                </c:pt>
                <c:pt idx="8">
                  <c:v>0,447</c:v>
                </c:pt>
                <c:pt idx="9">
                  <c:v>0,509</c:v>
                </c:pt>
                <c:pt idx="10">
                  <c:v>0,571</c:v>
                </c:pt>
                <c:pt idx="11">
                  <c:v>0,634</c:v>
                </c:pt>
                <c:pt idx="12">
                  <c:v>0,696</c:v>
                </c:pt>
                <c:pt idx="13">
                  <c:v>0,759</c:v>
                </c:pt>
                <c:pt idx="14">
                  <c:v>0,821</c:v>
                </c:pt>
                <c:pt idx="15">
                  <c:v>0,883</c:v>
                </c:pt>
                <c:pt idx="16">
                  <c:v>0,946</c:v>
                </c:pt>
                <c:pt idx="17">
                  <c:v>1,008</c:v>
                </c:pt>
                <c:pt idx="18">
                  <c:v>1,070</c:v>
                </c:pt>
                <c:pt idx="19">
                  <c:v>1,133</c:v>
                </c:pt>
                <c:pt idx="20">
                  <c:v>1,195</c:v>
                </c:pt>
                <c:pt idx="21">
                  <c:v>1,258</c:v>
                </c:pt>
                <c:pt idx="22">
                  <c:v>1,320</c:v>
                </c:pt>
                <c:pt idx="23">
                  <c:v>1,382</c:v>
                </c:pt>
                <c:pt idx="24">
                  <c:v>1,445</c:v>
                </c:pt>
                <c:pt idx="25">
                  <c:v>1,507</c:v>
                </c:pt>
                <c:pt idx="26">
                  <c:v>1,569</c:v>
                </c:pt>
                <c:pt idx="27">
                  <c:v>1,632</c:v>
                </c:pt>
                <c:pt idx="28">
                  <c:v>1,694</c:v>
                </c:pt>
                <c:pt idx="29">
                  <c:v>1,757</c:v>
                </c:pt>
                <c:pt idx="30">
                  <c:v>1,819</c:v>
                </c:pt>
                <c:pt idx="31">
                  <c:v>1,881</c:v>
                </c:pt>
                <c:pt idx="32">
                  <c:v>1,944</c:v>
                </c:pt>
                <c:pt idx="33">
                  <c:v>2,006</c:v>
                </c:pt>
                <c:pt idx="34">
                  <c:v>2,068</c:v>
                </c:pt>
                <c:pt idx="35">
                  <c:v>2,131</c:v>
                </c:pt>
                <c:pt idx="36">
                  <c:v>2,193</c:v>
                </c:pt>
                <c:pt idx="37">
                  <c:v>2,256</c:v>
                </c:pt>
                <c:pt idx="38">
                  <c:v>2,318</c:v>
                </c:pt>
                <c:pt idx="39">
                  <c:v>2,380</c:v>
                </c:pt>
                <c:pt idx="40">
                  <c:v>2,443</c:v>
                </c:pt>
                <c:pt idx="41">
                  <c:v>2,505</c:v>
                </c:pt>
                <c:pt idx="42">
                  <c:v>2,567</c:v>
                </c:pt>
                <c:pt idx="43">
                  <c:v>2,630</c:v>
                </c:pt>
                <c:pt idx="44">
                  <c:v>2,692</c:v>
                </c:pt>
                <c:pt idx="45">
                  <c:v>2,755</c:v>
                </c:pt>
                <c:pt idx="46">
                  <c:v>2,817</c:v>
                </c:pt>
                <c:pt idx="47">
                  <c:v>2,879</c:v>
                </c:pt>
                <c:pt idx="48">
                  <c:v>2,942</c:v>
                </c:pt>
                <c:pt idx="49">
                  <c:v>3,004</c:v>
                </c:pt>
                <c:pt idx="50">
                  <c:v>3,066</c:v>
                </c:pt>
                <c:pt idx="51">
                  <c:v>3,129</c:v>
                </c:pt>
                <c:pt idx="52">
                  <c:v>3,191</c:v>
                </c:pt>
                <c:pt idx="53">
                  <c:v>3,254</c:v>
                </c:pt>
                <c:pt idx="54">
                  <c:v>3,316</c:v>
                </c:pt>
                <c:pt idx="55">
                  <c:v>3,378</c:v>
                </c:pt>
                <c:pt idx="56">
                  <c:v>3,441</c:v>
                </c:pt>
                <c:pt idx="57">
                  <c:v>3,503</c:v>
                </c:pt>
                <c:pt idx="58">
                  <c:v>3,565</c:v>
                </c:pt>
                <c:pt idx="59">
                  <c:v>3,628</c:v>
                </c:pt>
                <c:pt idx="60">
                  <c:v>3,690</c:v>
                </c:pt>
                <c:pt idx="61">
                  <c:v>3,753</c:v>
                </c:pt>
                <c:pt idx="62">
                  <c:v>3,815</c:v>
                </c:pt>
                <c:pt idx="63">
                  <c:v>3,877</c:v>
                </c:pt>
                <c:pt idx="64">
                  <c:v>3,940</c:v>
                </c:pt>
                <c:pt idx="65">
                  <c:v>4,002</c:v>
                </c:pt>
                <c:pt idx="66">
                  <c:v>4,064</c:v>
                </c:pt>
                <c:pt idx="67">
                  <c:v>4,127</c:v>
                </c:pt>
                <c:pt idx="68">
                  <c:v>4,189</c:v>
                </c:pt>
                <c:pt idx="69">
                  <c:v>4,252</c:v>
                </c:pt>
                <c:pt idx="70">
                  <c:v>4,314</c:v>
                </c:pt>
                <c:pt idx="71">
                  <c:v>4,376</c:v>
                </c:pt>
                <c:pt idx="72">
                  <c:v>4,439</c:v>
                </c:pt>
                <c:pt idx="73">
                  <c:v>4,501</c:v>
                </c:pt>
                <c:pt idx="74">
                  <c:v>4,563</c:v>
                </c:pt>
                <c:pt idx="75">
                  <c:v>4,626</c:v>
                </c:pt>
                <c:pt idx="76">
                  <c:v>4,688</c:v>
                </c:pt>
                <c:pt idx="77">
                  <c:v>4,751</c:v>
                </c:pt>
                <c:pt idx="78">
                  <c:v>4,813</c:v>
                </c:pt>
                <c:pt idx="79">
                  <c:v>4,875</c:v>
                </c:pt>
                <c:pt idx="80">
                  <c:v>4,938</c:v>
                </c:pt>
                <c:pt idx="81">
                  <c:v>5,000</c:v>
                </c:pt>
              </c:strCache>
            </c:strRef>
          </c:cat>
          <c:val>
            <c:numRef>
              <c:f>LOGNORMAL!$M$31:$M$111</c:f>
              <c:numCache>
                <c:formatCode>0.000000000000</c:formatCode>
                <c:ptCount val="81"/>
                <c:pt idx="0">
                  <c:v>0.49202168628309795</c:v>
                </c:pt>
                <c:pt idx="1">
                  <c:v>0.44245413027455338</c:v>
                </c:pt>
                <c:pt idx="2">
                  <c:v>0.39377247110754432</c:v>
                </c:pt>
                <c:pt idx="3">
                  <c:v>0.34669823706208297</c:v>
                </c:pt>
                <c:pt idx="4">
                  <c:v>0.3018803706253812</c:v>
                </c:pt>
                <c:pt idx="5">
                  <c:v>0.25986878066506125</c:v>
                </c:pt>
                <c:pt idx="6">
                  <c:v>0.22109509533231253</c:v>
                </c:pt>
                <c:pt idx="7">
                  <c:v>0.18586165372591412</c:v>
                </c:pt>
                <c:pt idx="8">
                  <c:v>0.15433897803841309</c:v>
                </c:pt>
                <c:pt idx="9">
                  <c:v>0.12657120185965609</c:v>
                </c:pt>
                <c:pt idx="10">
                  <c:v>0.10248828180587141</c:v>
                </c:pt>
                <c:pt idx="11">
                  <c:v>8.19233533149685E-2</c:v>
                </c:pt>
                <c:pt idx="12">
                  <c:v>6.4633342015992024E-2</c:v>
                </c:pt>
                <c:pt idx="13">
                  <c:v>5.0320912472660344E-2</c:v>
                </c:pt>
                <c:pt idx="14">
                  <c:v>3.8656000785940905E-2</c:v>
                </c:pt>
                <c:pt idx="15">
                  <c:v>2.9295489860473176E-2</c:v>
                </c:pt>
                <c:pt idx="16">
                  <c:v>2.1899987895095143E-2</c:v>
                </c:pt>
                <c:pt idx="17">
                  <c:v>1.6147102016852093E-2</c:v>
                </c:pt>
                <c:pt idx="18">
                  <c:v>1.174100701147796E-2</c:v>
                </c:pt>
                <c:pt idx="19">
                  <c:v>8.41845377378324E-3</c:v>
                </c:pt>
                <c:pt idx="20">
                  <c:v>5.9516191895239113E-3</c:v>
                </c:pt>
                <c:pt idx="21">
                  <c:v>4.1483602519149371E-3</c:v>
                </c:pt>
                <c:pt idx="22">
                  <c:v>2.8505053584153626E-3</c:v>
                </c:pt>
                <c:pt idx="23">
                  <c:v>1.9308096484370377E-3</c:v>
                </c:pt>
                <c:pt idx="24">
                  <c:v>1.289139029735405E-3</c:v>
                </c:pt>
                <c:pt idx="25">
                  <c:v>8.483506733857315E-4</c:v>
                </c:pt>
                <c:pt idx="26">
                  <c:v>5.5022592116316766E-4</c:v>
                </c:pt>
                <c:pt idx="27">
                  <c:v>3.5170059723354125E-4</c:v>
                </c:pt>
                <c:pt idx="28">
                  <c:v>2.2153873840810137E-4</c:v>
                </c:pt>
                <c:pt idx="29">
                  <c:v>1.3751509370998861E-4</c:v>
                </c:pt>
                <c:pt idx="30">
                  <c:v>8.4111654185523577E-5</c:v>
                </c:pt>
                <c:pt idx="31">
                  <c:v>5.069316009353848E-5</c:v>
                </c:pt>
                <c:pt idx="32">
                  <c:v>3.0103250050118865E-5</c:v>
                </c:pt>
                <c:pt idx="33">
                  <c:v>1.7612976697882392E-5</c:v>
                </c:pt>
                <c:pt idx="34">
                  <c:v>1.0152967708842694E-5</c:v>
                </c:pt>
                <c:pt idx="35">
                  <c:v>5.7660785106176894E-6</c:v>
                </c:pt>
                <c:pt idx="36">
                  <c:v>3.2261360415419081E-6</c:v>
                </c:pt>
                <c:pt idx="37">
                  <c:v>1.7782279782174302E-6</c:v>
                </c:pt>
                <c:pt idx="38">
                  <c:v>9.6556967196911084E-7</c:v>
                </c:pt>
                <c:pt idx="39">
                  <c:v>5.1648849926988486E-7</c:v>
                </c:pt>
                <c:pt idx="40">
                  <c:v>2.7215017729846404E-7</c:v>
                </c:pt>
                <c:pt idx="41">
                  <c:v>1.412596590234114E-7</c:v>
                </c:pt>
                <c:pt idx="42">
                  <c:v>7.2223814669107813E-8</c:v>
                </c:pt>
                <c:pt idx="43">
                  <c:v>3.637366779387416E-8</c:v>
                </c:pt>
                <c:pt idx="44">
                  <c:v>1.8043895335955722E-8</c:v>
                </c:pt>
                <c:pt idx="45">
                  <c:v>8.8166294408809845E-9</c:v>
                </c:pt>
                <c:pt idx="46">
                  <c:v>4.243233356723005E-9</c:v>
                </c:pt>
                <c:pt idx="47">
                  <c:v>2.011437820087213E-9</c:v>
                </c:pt>
                <c:pt idx="48">
                  <c:v>9.3912920915172674E-10</c:v>
                </c:pt>
                <c:pt idx="49">
                  <c:v>4.3186412238949871E-10</c:v>
                </c:pt>
                <c:pt idx="50">
                  <c:v>1.9559882802292161E-10</c:v>
                </c:pt>
                <c:pt idx="51">
                  <c:v>8.7252384219512566E-11</c:v>
                </c:pt>
                <c:pt idx="52">
                  <c:v>3.8333206188516356E-11</c:v>
                </c:pt>
                <c:pt idx="53">
                  <c:v>1.6586504805110771E-11</c:v>
                </c:pt>
                <c:pt idx="54">
                  <c:v>7.0682490473841901E-12</c:v>
                </c:pt>
                <c:pt idx="55">
                  <c:v>2.9664811832275063E-12</c:v>
                </c:pt>
                <c:pt idx="56">
                  <c:v>1.226139572256434E-12</c:v>
                </c:pt>
                <c:pt idx="57">
                  <c:v>4.9911743017993861E-13</c:v>
                </c:pt>
                <c:pt idx="58">
                  <c:v>2.0009038858385137E-13</c:v>
                </c:pt>
                <c:pt idx="59">
                  <c:v>7.8996290550639468E-14</c:v>
                </c:pt>
                <c:pt idx="60">
                  <c:v>3.0714300531110927E-14</c:v>
                </c:pt>
                <c:pt idx="61">
                  <c:v>1.1760469349781163E-14</c:v>
                </c:pt>
                <c:pt idx="62">
                  <c:v>4.4346112309799635E-15</c:v>
                </c:pt>
                <c:pt idx="63">
                  <c:v>1.646759737314384E-15</c:v>
                </c:pt>
                <c:pt idx="64">
                  <c:v>6.0220694945563158E-16</c:v>
                </c:pt>
                <c:pt idx="65">
                  <c:v>2.1686990519236199E-16</c:v>
                </c:pt>
                <c:pt idx="66">
                  <c:v>7.6910937418789709E-17</c:v>
                </c:pt>
                <c:pt idx="67">
                  <c:v>2.6860222320612402E-17</c:v>
                </c:pt>
                <c:pt idx="68">
                  <c:v>9.2376453168321132E-18</c:v>
                </c:pt>
                <c:pt idx="69">
                  <c:v>3.1285330237922857E-18</c:v>
                </c:pt>
                <c:pt idx="70">
                  <c:v>1.0433876108574019E-18</c:v>
                </c:pt>
                <c:pt idx="71">
                  <c:v>3.4266824496760482E-19</c:v>
                </c:pt>
                <c:pt idx="72">
                  <c:v>1.1082128030199607E-19</c:v>
                </c:pt>
                <c:pt idx="73">
                  <c:v>3.5293240095978237E-20</c:v>
                </c:pt>
                <c:pt idx="74">
                  <c:v>1.1068199672711283E-20</c:v>
                </c:pt>
                <c:pt idx="75">
                  <c:v>3.4180437958514778E-21</c:v>
                </c:pt>
                <c:pt idx="76">
                  <c:v>1.0394212927732191E-21</c:v>
                </c:pt>
                <c:pt idx="77">
                  <c:v>3.1125560085526282E-22</c:v>
                </c:pt>
                <c:pt idx="78">
                  <c:v>9.1780964054977412E-23</c:v>
                </c:pt>
                <c:pt idx="79">
                  <c:v>2.6649942986640496E-23</c:v>
                </c:pt>
                <c:pt idx="80">
                  <c:v>7.6198530241604167E-24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LOGNORMAL!$N$30</c:f>
              <c:strCache>
                <c:ptCount val="1"/>
                <c:pt idx="0">
                  <c:v>|Survival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LOGNORMAL!$N$31:$N$111</c:f>
              <c:numCache>
                <c:formatCode>0.0000000000</c:formatCode>
                <c:ptCount val="81"/>
                <c:pt idx="0">
                  <c:v>0.50797831371690205</c:v>
                </c:pt>
                <c:pt idx="1">
                  <c:v>0.55754579441083851</c:v>
                </c:pt>
                <c:pt idx="2">
                  <c:v>0.60619699781471637</c:v>
                </c:pt>
                <c:pt idx="3">
                  <c:v>0.65272032843058336</c:v>
                </c:pt>
                <c:pt idx="4">
                  <c:v>0.69463172750973046</c:v>
                </c:pt>
                <c:pt idx="5">
                  <c:v>0.7284417258840914</c:v>
                </c:pt>
                <c:pt idx="6">
                  <c:v>0.75102600011875087</c:v>
                </c:pt>
                <c:pt idx="7">
                  <c:v>0.7606652016891291</c:v>
                </c:pt>
                <c:pt idx="8">
                  <c:v>0.75725154918866733</c:v>
                </c:pt>
                <c:pt idx="9">
                  <c:v>0.74194810169448888</c:v>
                </c:pt>
                <c:pt idx="10">
                  <c:v>0.71668037731710543</c:v>
                </c:pt>
                <c:pt idx="11">
                  <c:v>0.68368252668420071</c:v>
                </c:pt>
                <c:pt idx="12">
                  <c:v>0.64517502047553676</c:v>
                </c:pt>
                <c:pt idx="13">
                  <c:v>0.60317235163969307</c:v>
                </c:pt>
                <c:pt idx="14">
                  <c:v>0.55939052310362092</c:v>
                </c:pt>
                <c:pt idx="15">
                  <c:v>0.51522080676626825</c:v>
                </c:pt>
                <c:pt idx="16">
                  <c:v>0.47174260166042242</c:v>
                </c:pt>
                <c:pt idx="17">
                  <c:v>0.42975638063957433</c:v>
                </c:pt>
                <c:pt idx="18">
                  <c:v>0.38982467002099119</c:v>
                </c:pt>
                <c:pt idx="19">
                  <c:v>0.35231403642505565</c:v>
                </c:pt>
                <c:pt idx="20">
                  <c:v>0.31743435407987208</c:v>
                </c:pt>
                <c:pt idx="21">
                  <c:v>0.28527363861674998</c:v>
                </c:pt>
                <c:pt idx="22">
                  <c:v>0.25582788599489681</c:v>
                </c:pt>
                <c:pt idx="23">
                  <c:v>0.22902597378136283</c:v>
                </c:pt>
                <c:pt idx="24">
                  <c:v>0.20474998840109135</c:v>
                </c:pt>
                <c:pt idx="25">
                  <c:v>0.18285147510518684</c:v>
                </c:pt>
                <c:pt idx="26">
                  <c:v>0.16316414852713557</c:v>
                </c:pt>
                <c:pt idx="27">
                  <c:v>0.14551359542871456</c:v>
                </c:pt>
                <c:pt idx="28">
                  <c:v>0.12972447077933405</c:v>
                </c:pt>
                <c:pt idx="29">
                  <c:v>0.11562564534770955</c:v>
                </c:pt>
                <c:pt idx="30">
                  <c:v>0.1030537135681301</c:v>
                </c:pt>
                <c:pt idx="31">
                  <c:v>9.1855218155311502E-2</c:v>
                </c:pt>
                <c:pt idx="32">
                  <c:v>8.188789534993704E-2</c:v>
                </c:pt>
                <c:pt idx="33">
                  <c:v>7.3021193867248715E-2</c:v>
                </c:pt>
                <c:pt idx="34">
                  <c:v>6.5136273290575974E-2</c:v>
                </c:pt>
                <c:pt idx="35">
                  <c:v>5.8125645058741002E-2</c:v>
                </c:pt>
                <c:pt idx="36">
                  <c:v>5.1892582112303846E-2</c:v>
                </c:pt>
                <c:pt idx="37">
                  <c:v>4.6350391981330043E-2</c:v>
                </c:pt>
                <c:pt idx="38">
                  <c:v>4.1421622496443017E-2</c:v>
                </c:pt>
                <c:pt idx="39">
                  <c:v>3.7037248954498593E-2</c:v>
                </c:pt>
                <c:pt idx="40">
                  <c:v>3.3135875843014681E-2</c:v>
                </c:pt>
                <c:pt idx="41">
                  <c:v>2.9662974404993162E-2</c:v>
                </c:pt>
                <c:pt idx="42">
                  <c:v>2.6570168682271061E-2</c:v>
                </c:pt>
                <c:pt idx="43">
                  <c:v>2.3814576536472516E-2</c:v>
                </c:pt>
                <c:pt idx="44">
                  <c:v>2.1358207922418201E-2</c:v>
                </c:pt>
                <c:pt idx="45">
                  <c:v>1.9167419888791989E-2</c:v>
                </c:pt>
                <c:pt idx="46">
                  <c:v>1.7212426012782351E-2</c:v>
                </c:pt>
                <c:pt idx="47">
                  <c:v>1.5466856936457303E-2</c:v>
                </c:pt>
                <c:pt idx="48">
                  <c:v>1.3907368135804187E-2</c:v>
                </c:pt>
                <c:pt idx="49">
                  <c:v>1.25132908529346E-2</c:v>
                </c:pt>
                <c:pt idx="50">
                  <c:v>1.1266322139659876E-2</c:v>
                </c:pt>
                <c:pt idx="51">
                  <c:v>1.0150250113891745E-2</c:v>
                </c:pt>
                <c:pt idx="52">
                  <c:v>9.1507107625045294E-3</c:v>
                </c:pt>
                <c:pt idx="53">
                  <c:v>8.2549728974137312E-3</c:v>
                </c:pt>
                <c:pt idx="54">
                  <c:v>7.4517481606409669E-3</c:v>
                </c:pt>
                <c:pt idx="55">
                  <c:v>6.7310232630093739E-3</c:v>
                </c:pt>
                <c:pt idx="56">
                  <c:v>6.0839119199025309E-3</c:v>
                </c:pt>
                <c:pt idx="57">
                  <c:v>5.5025242103833695E-3</c:v>
                </c:pt>
                <c:pt idx="58">
                  <c:v>4.9798513298204552E-3</c:v>
                </c:pt>
                <c:pt idx="59">
                  <c:v>4.5096639296998099E-3</c:v>
                </c:pt>
                <c:pt idx="60">
                  <c:v>4.0864224413888319E-3</c:v>
                </c:pt>
                <c:pt idx="61">
                  <c:v>3.7051979638618249E-3</c:v>
                </c:pt>
                <c:pt idx="62">
                  <c:v>3.3616024598323085E-3</c:v>
                </c:pt>
                <c:pt idx="63">
                  <c:v>3.0517271516662578E-3</c:v>
                </c:pt>
                <c:pt idx="64">
                  <c:v>2.7720881392669454E-3</c:v>
                </c:pt>
                <c:pt idx="65">
                  <c:v>2.5195783782660016E-3</c:v>
                </c:pt>
                <c:pt idx="66">
                  <c:v>2.2914252597290639E-3</c:v>
                </c:pt>
                <c:pt idx="67">
                  <c:v>2.0851531235313867E-3</c:v>
                </c:pt>
                <c:pt idx="68">
                  <c:v>1.8985501178280146E-3</c:v>
                </c:pt>
                <c:pt idx="69">
                  <c:v>1.7296388878114102E-3</c:v>
                </c:pt>
                <c:pt idx="70">
                  <c:v>1.5766506392608226E-3</c:v>
                </c:pt>
                <c:pt idx="71">
                  <c:v>1.4380021772177893E-3</c:v>
                </c:pt>
                <c:pt idx="72">
                  <c:v>1.3122755683346863E-3</c:v>
                </c:pt>
                <c:pt idx="73">
                  <c:v>1.1982001178129087E-3</c:v>
                </c:pt>
                <c:pt idx="74">
                  <c:v>1.0946363890725896E-3</c:v>
                </c:pt>
                <c:pt idx="75">
                  <c:v>1.0005620269919469E-3</c:v>
                </c:pt>
                <c:pt idx="76">
                  <c:v>9.1505917426304428E-4</c:v>
                </c:pt>
                <c:pt idx="77">
                  <c:v>8.3730329562603512E-4</c:v>
                </c:pt>
                <c:pt idx="78">
                  <c:v>7.6655324688135185E-4</c:v>
                </c:pt>
                <c:pt idx="79">
                  <c:v>7.0214244502331269E-4</c:v>
                </c:pt>
                <c:pt idx="80">
                  <c:v>6.4347101291384323E-4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3-485E-BD70-E61473A34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LOGNORMAL!$P$30</c:f>
              <c:strCache>
                <c:ptCount val="1"/>
                <c:pt idx="0">
                  <c:v>Excel Inverse CDF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LOGNORMAL!$O$31:$O$111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LOGNORMAL!$P$31:$P$111</c:f>
              <c:numCache>
                <c:formatCode>0.000000000000</c:formatCode>
                <c:ptCount val="81"/>
                <c:pt idx="0">
                  <c:v>-4.60517018598809</c:v>
                </c:pt>
                <c:pt idx="1">
                  <c:v>-2.6258943430889783</c:v>
                </c:pt>
                <c:pt idx="2">
                  <c:v>-2.0043340691930309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-1.1335920075641361</c:v>
                </c:pt>
                <c:pt idx="6">
                  <c:v>-0.95646189656343183</c:v>
                </c:pt>
                <c:pt idx="7">
                  <c:v>-0.80603596263856281</c:v>
                </c:pt>
                <c:pt idx="8">
                  <c:v>-0.67530726243161388</c:v>
                </c:pt>
                <c:pt idx="9">
                  <c:v>-0.55970954233022885</c:v>
                </c:pt>
                <c:pt idx="10">
                  <c:v>-0.45610072407674374</c:v>
                </c:pt>
                <c:pt idx="11">
                  <c:v>-0.36222603707230466</c:v>
                </c:pt>
                <c:pt idx="12">
                  <c:v>-0.27641248019355047</c:v>
                </c:pt>
                <c:pt idx="13">
                  <c:v>-0.19738443447100071</c:v>
                </c:pt>
                <c:pt idx="14">
                  <c:v>-0.12414699274288273</c:v>
                </c:pt>
                <c:pt idx="15">
                  <c:v>-5.5909194439517002E-2</c:v>
                </c:pt>
                <c:pt idx="16">
                  <c:v>7.968169649176628E-3</c:v>
                </c:pt>
                <c:pt idx="17">
                  <c:v>6.8009054364219002E-2</c:v>
                </c:pt>
                <c:pt idx="18">
                  <c:v>0.1246483045651105</c:v>
                </c:pt>
                <c:pt idx="19">
                  <c:v>0.17825078242347325</c:v>
                </c:pt>
                <c:pt idx="20">
                  <c:v>0.22912562299175721</c:v>
                </c:pt>
                <c:pt idx="21">
                  <c:v>0.27753703514454159</c:v>
                </c:pt>
                <c:pt idx="22">
                  <c:v>0.32371260623590536</c:v>
                </c:pt>
                <c:pt idx="23">
                  <c:v>0.36784977231346844</c:v>
                </c:pt>
                <c:pt idx="24">
                  <c:v>0.41012091964435915</c:v>
                </c:pt>
                <c:pt idx="25">
                  <c:v>0.45067745092971234</c:v>
                </c:pt>
                <c:pt idx="26">
                  <c:v>0.48965305853318858</c:v>
                </c:pt>
                <c:pt idx="27">
                  <c:v>0.5271663833540432</c:v>
                </c:pt>
                <c:pt idx="28">
                  <c:v>0.5633231927237452</c:v>
                </c:pt>
                <c:pt idx="29">
                  <c:v>0.59821817809830613</c:v>
                </c:pt>
                <c:pt idx="30">
                  <c:v>0.63193644951504968</c:v>
                </c:pt>
                <c:pt idx="31">
                  <c:v>0.66455478619584385</c:v>
                </c:pt>
                <c:pt idx="32">
                  <c:v>0.69614268953974423</c:v>
                </c:pt>
                <c:pt idx="33">
                  <c:v>0.72676327482987158</c:v>
                </c:pt>
                <c:pt idx="34">
                  <c:v>0.75647403042027006</c:v>
                </c:pt>
                <c:pt idx="35">
                  <c:v>0.78532746735534253</c:v>
                </c:pt>
                <c:pt idx="36">
                  <c:v>0.81337167786631348</c:v>
                </c:pt>
                <c:pt idx="37">
                  <c:v>0.84065081766540972</c:v>
                </c:pt>
                <c:pt idx="38">
                  <c:v>0.86720552418366348</c:v>
                </c:pt>
                <c:pt idx="39">
                  <c:v>0.89307328069797021</c:v>
                </c:pt>
                <c:pt idx="40">
                  <c:v>0.9182887345368278</c:v>
                </c:pt>
                <c:pt idx="41">
                  <c:v>0.94288397614367525</c:v>
                </c:pt>
                <c:pt idx="42">
                  <c:v>0.96688878463724559</c:v>
                </c:pt>
                <c:pt idx="43">
                  <c:v>0.99033084458261922</c:v>
                </c:pt>
                <c:pt idx="44">
                  <c:v>1.0132359379306342</c:v>
                </c:pt>
                <c:pt idx="45">
                  <c:v>1.0356281144627746</c:v>
                </c:pt>
                <c:pt idx="46">
                  <c:v>1.0575298435668785</c:v>
                </c:pt>
                <c:pt idx="47">
                  <c:v>1.0789621497449857</c:v>
                </c:pt>
                <c:pt idx="48">
                  <c:v>1.0999447339018884</c:v>
                </c:pt>
                <c:pt idx="49">
                  <c:v>1.1204960821681127</c:v>
                </c:pt>
                <c:pt idx="50">
                  <c:v>1.1406335637638461</c:v>
                </c:pt>
                <c:pt idx="51">
                  <c:v>1.1603735192020197</c:v>
                </c:pt>
                <c:pt idx="52">
                  <c:v>1.1797313399528997</c:v>
                </c:pt>
                <c:pt idx="53">
                  <c:v>1.1987215405432343</c:v>
                </c:pt>
                <c:pt idx="54">
                  <c:v>1.2173578239360578</c:v>
                </c:pt>
                <c:pt idx="55">
                  <c:v>1.2356531409289082</c:v>
                </c:pt>
                <c:pt idx="56">
                  <c:v>1.2536197442153483</c:v>
                </c:pt>
                <c:pt idx="57">
                  <c:v>1.2712692376750601</c:v>
                </c:pt>
                <c:pt idx="58">
                  <c:v>1.2886126213890654</c:v>
                </c:pt>
                <c:pt idx="59">
                  <c:v>1.3056603328174323</c:v>
                </c:pt>
                <c:pt idx="60">
                  <c:v>1.3224222845254789</c:v>
                </c:pt>
                <c:pt idx="61">
                  <c:v>1.3389078987998824</c:v>
                </c:pt>
                <c:pt idx="62">
                  <c:v>1.3551261394574219</c:v>
                </c:pt>
                <c:pt idx="63">
                  <c:v>1.3710855411151859</c:v>
                </c:pt>
                <c:pt idx="64">
                  <c:v>1.3867942361615437</c:v>
                </c:pt>
                <c:pt idx="65">
                  <c:v>1.4022599796412756</c:v>
                </c:pt>
                <c:pt idx="66">
                  <c:v>1.4174901722455129</c:v>
                </c:pt>
                <c:pt idx="67">
                  <c:v>1.4324918815769843</c:v>
                </c:pt>
                <c:pt idx="68">
                  <c:v>1.4472718618437079</c:v>
                </c:pt>
                <c:pt idx="69">
                  <c:v>1.46183657211833</c:v>
                </c:pt>
                <c:pt idx="70">
                  <c:v>1.4761921932867326</c:v>
                </c:pt>
                <c:pt idx="71">
                  <c:v>1.4903446437972414</c:v>
                </c:pt>
                <c:pt idx="72">
                  <c:v>1.5042995943107997</c:v>
                </c:pt>
                <c:pt idx="73">
                  <c:v>1.5180624813429364</c:v>
                </c:pt>
                <c:pt idx="74">
                  <c:v>1.5316385199796909</c:v>
                </c:pt>
                <c:pt idx="75">
                  <c:v>1.5450327157417687</c:v>
                </c:pt>
                <c:pt idx="76">
                  <c:v>1.5582498756646728</c:v>
                </c:pt>
                <c:pt idx="77">
                  <c:v>1.5712946186560537</c:v>
                </c:pt>
                <c:pt idx="78">
                  <c:v>1.5841713851862049</c:v>
                </c:pt>
                <c:pt idx="79">
                  <c:v>1.5968844463624794</c:v>
                </c:pt>
                <c:pt idx="80">
                  <c:v>1.6094379124341078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0-4231-88FE-FD87A63DB901}"/>
            </c:ext>
          </c:extLst>
        </c:ser>
        <c:ser>
          <c:idx val="2"/>
          <c:order val="1"/>
          <c:tx>
            <c:strRef>
              <c:f>LOGNORMAL!$Q$30</c:f>
              <c:strCache>
                <c:ptCount val="1"/>
                <c:pt idx="0">
                  <c:v>VBA ICDF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LOGNORMAL!$O$31:$O$111</c:f>
              <c:numCache>
                <c:formatCode>0.0000%</c:formatCode>
                <c:ptCount val="81"/>
                <c:pt idx="0">
                  <c:v>1.6254621050168867E-20</c:v>
                </c:pt>
                <c:pt idx="1">
                  <c:v>7.5314608092239787E-8</c:v>
                </c:pt>
                <c:pt idx="2">
                  <c:v>3.0531077739280707E-5</c:v>
                </c:pt>
                <c:pt idx="3">
                  <c:v>5.8143450733375186E-4</c:v>
                </c:pt>
                <c:pt idx="4">
                  <c:v>3.487901864888298E-3</c:v>
                </c:pt>
                <c:pt idx="5">
                  <c:v>1.1689493450847351E-2</c:v>
                </c:pt>
                <c:pt idx="6">
                  <c:v>2.7878904548936604E-2</c:v>
                </c:pt>
                <c:pt idx="7">
                  <c:v>5.3473144584956743E-2</c:v>
                </c:pt>
                <c:pt idx="8">
                  <c:v>8.8409472772919523E-2</c:v>
                </c:pt>
                <c:pt idx="9">
                  <c:v>0.13148069644585506</c:v>
                </c:pt>
                <c:pt idx="10">
                  <c:v>0.18083134087702313</c:v>
                </c:pt>
                <c:pt idx="11">
                  <c:v>0.23439412000083082</c:v>
                </c:pt>
                <c:pt idx="12">
                  <c:v>0.29019163750847127</c:v>
                </c:pt>
                <c:pt idx="13">
                  <c:v>0.34650673588764658</c:v>
                </c:pt>
                <c:pt idx="14">
                  <c:v>0.40195347611043825</c:v>
                </c:pt>
                <c:pt idx="15">
                  <c:v>0.45548370337325861</c:v>
                </c:pt>
                <c:pt idx="16">
                  <c:v>0.50635741044448246</c:v>
                </c:pt>
                <c:pt idx="17">
                  <c:v>0.55409651734357357</c:v>
                </c:pt>
                <c:pt idx="18">
                  <c:v>0.59843432296753085</c:v>
                </c:pt>
                <c:pt idx="19">
                  <c:v>0.63926750980116109</c:v>
                </c:pt>
                <c:pt idx="20">
                  <c:v>0.676614026730604</c:v>
                </c:pt>
                <c:pt idx="21">
                  <c:v>0.71057800113133507</c:v>
                </c:pt>
                <c:pt idx="22">
                  <c:v>0.74132160864668784</c:v>
                </c:pt>
                <c:pt idx="23">
                  <c:v>0.76904321657020014</c:v>
                </c:pt>
                <c:pt idx="24">
                  <c:v>0.79396087256917325</c:v>
                </c:pt>
                <c:pt idx="25">
                  <c:v>0.81630017422142742</c:v>
                </c:pt>
                <c:pt idx="26">
                  <c:v>0.83628562555170127</c:v>
                </c:pt>
                <c:pt idx="27">
                  <c:v>0.85413470397405189</c:v>
                </c:pt>
                <c:pt idx="28">
                  <c:v>0.87005399048225784</c:v>
                </c:pt>
                <c:pt idx="29">
                  <c:v>0.88423683955858046</c:v>
                </c:pt>
                <c:pt idx="30">
                  <c:v>0.89686217477768437</c:v>
                </c:pt>
                <c:pt idx="31">
                  <c:v>0.90809408868459496</c:v>
                </c:pt>
                <c:pt idx="32">
                  <c:v>0.91808200140001284</c:v>
                </c:pt>
                <c:pt idx="33">
                  <c:v>0.92696119315605341</c:v>
                </c:pt>
                <c:pt idx="34">
                  <c:v>0.93485357374171518</c:v>
                </c:pt>
                <c:pt idx="35">
                  <c:v>0.94186858886274838</c:v>
                </c:pt>
                <c:pt idx="36">
                  <c:v>0.94810419175165461</c:v>
                </c:pt>
                <c:pt idx="37">
                  <c:v>0.95364782979069174</c:v>
                </c:pt>
                <c:pt idx="38">
                  <c:v>0.95857741193388502</c:v>
                </c:pt>
                <c:pt idx="39">
                  <c:v>0.96296223455700214</c:v>
                </c:pt>
                <c:pt idx="40">
                  <c:v>0.96686385200680802</c:v>
                </c:pt>
                <c:pt idx="41">
                  <c:v>0.97033688433534782</c:v>
                </c:pt>
                <c:pt idx="42">
                  <c:v>0.97342975909391427</c:v>
                </c:pt>
                <c:pt idx="43">
                  <c:v>0.97618538708985969</c:v>
                </c:pt>
                <c:pt idx="44">
                  <c:v>0.97864177403368646</c:v>
                </c:pt>
                <c:pt idx="45">
                  <c:v>0.98083257129457857</c:v>
                </c:pt>
                <c:pt idx="46">
                  <c:v>0.98278756974398429</c:v>
                </c:pt>
                <c:pt idx="47">
                  <c:v>0.98453314105210488</c:v>
                </c:pt>
                <c:pt idx="48">
                  <c:v>0.9860926309250666</c:v>
                </c:pt>
                <c:pt idx="49">
                  <c:v>0.98748670871520128</c:v>
                </c:pt>
                <c:pt idx="50">
                  <c:v>0.9887336776647413</c:v>
                </c:pt>
                <c:pt idx="51">
                  <c:v>0.98984974979885587</c:v>
                </c:pt>
                <c:pt idx="52">
                  <c:v>0.99084928919916226</c:v>
                </c:pt>
                <c:pt idx="53">
                  <c:v>0.99174502708599976</c:v>
                </c:pt>
                <c:pt idx="54">
                  <c:v>0.99254825183229078</c:v>
                </c:pt>
                <c:pt idx="55">
                  <c:v>0.99326897673402414</c:v>
                </c:pt>
                <c:pt idx="56">
                  <c:v>0.99391608807887133</c:v>
                </c:pt>
                <c:pt idx="57">
                  <c:v>0.99449747578911751</c:v>
                </c:pt>
                <c:pt idx="58">
                  <c:v>0.99502014866997945</c:v>
                </c:pt>
                <c:pt idx="59">
                  <c:v>0.99549033607022119</c:v>
                </c:pt>
                <c:pt idx="60">
                  <c:v>0.99591357755858045</c:v>
                </c:pt>
                <c:pt idx="61">
                  <c:v>0.99629480203612641</c:v>
                </c:pt>
                <c:pt idx="62">
                  <c:v>0.99663839754016326</c:v>
                </c:pt>
                <c:pt idx="63">
                  <c:v>0.9969482728483321</c:v>
                </c:pt>
                <c:pt idx="64">
                  <c:v>0.99722791186073245</c:v>
                </c:pt>
                <c:pt idx="65">
                  <c:v>0.99748042162173378</c:v>
                </c:pt>
                <c:pt idx="66">
                  <c:v>0.99770857474027086</c:v>
                </c:pt>
                <c:pt idx="67">
                  <c:v>0.99791484687646859</c:v>
                </c:pt>
                <c:pt idx="68">
                  <c:v>0.99810144988217198</c:v>
                </c:pt>
                <c:pt idx="69">
                  <c:v>0.99827036111218859</c:v>
                </c:pt>
                <c:pt idx="70">
                  <c:v>0.99842334936073918</c:v>
                </c:pt>
                <c:pt idx="71">
                  <c:v>0.99856199782278221</c:v>
                </c:pt>
                <c:pt idx="72">
                  <c:v>0.99868772443166531</c:v>
                </c:pt>
                <c:pt idx="73">
                  <c:v>0.99880179988218709</c:v>
                </c:pt>
                <c:pt idx="74">
                  <c:v>0.99890536361092741</c:v>
                </c:pt>
                <c:pt idx="75">
                  <c:v>0.99899943797300805</c:v>
                </c:pt>
                <c:pt idx="76">
                  <c:v>0.99908494082573696</c:v>
                </c:pt>
                <c:pt idx="77">
                  <c:v>0.99916269670437396</c:v>
                </c:pt>
                <c:pt idx="78">
                  <c:v>0.99923344675311865</c:v>
                </c:pt>
                <c:pt idx="79">
                  <c:v>0.99929785755497669</c:v>
                </c:pt>
                <c:pt idx="80">
                  <c:v>0.99935652898708616</c:v>
                </c:pt>
              </c:numCache>
            </c:numRef>
          </c:cat>
          <c:val>
            <c:numRef>
              <c:f>LOGNORMAL!$Q$31:$Q$111</c:f>
              <c:numCache>
                <c:formatCode>0.000000000000</c:formatCode>
                <c:ptCount val="81"/>
                <c:pt idx="0">
                  <c:v>-4.6051701859880909</c:v>
                </c:pt>
                <c:pt idx="1">
                  <c:v>-2.6258943430889778</c:v>
                </c:pt>
                <c:pt idx="2">
                  <c:v>-2.0043340691930305</c:v>
                </c:pt>
                <c:pt idx="3">
                  <c:v>-1.6239172336989347</c:v>
                </c:pt>
                <c:pt idx="4">
                  <c:v>-1.3489985763761936</c:v>
                </c:pt>
                <c:pt idx="5">
                  <c:v>-1.1335920075641364</c:v>
                </c:pt>
                <c:pt idx="6">
                  <c:v>-0.95646189656343172</c:v>
                </c:pt>
                <c:pt idx="7">
                  <c:v>-0.80603596263856292</c:v>
                </c:pt>
                <c:pt idx="8">
                  <c:v>-0.67530726243161432</c:v>
                </c:pt>
                <c:pt idx="9">
                  <c:v>-0.55970954233022863</c:v>
                </c:pt>
                <c:pt idx="10">
                  <c:v>-0.45610072407674429</c:v>
                </c:pt>
                <c:pt idx="11">
                  <c:v>-0.36222603707230461</c:v>
                </c:pt>
                <c:pt idx="12">
                  <c:v>-0.2764124801935503</c:v>
                </c:pt>
                <c:pt idx="13">
                  <c:v>-0.19738443447100065</c:v>
                </c:pt>
                <c:pt idx="14">
                  <c:v>-0.12414699274288274</c:v>
                </c:pt>
                <c:pt idx="15">
                  <c:v>-5.5909194439517099E-2</c:v>
                </c:pt>
                <c:pt idx="16">
                  <c:v>7.9681696491768032E-3</c:v>
                </c:pt>
                <c:pt idx="17">
                  <c:v>6.8009054364218918E-2</c:v>
                </c:pt>
                <c:pt idx="18">
                  <c:v>0.12464830456511047</c:v>
                </c:pt>
                <c:pt idx="19">
                  <c:v>0.17825078242347311</c:v>
                </c:pt>
                <c:pt idx="20">
                  <c:v>0.22912562299175729</c:v>
                </c:pt>
                <c:pt idx="21">
                  <c:v>0.27753703514454159</c:v>
                </c:pt>
                <c:pt idx="22">
                  <c:v>0.32371260623590531</c:v>
                </c:pt>
                <c:pt idx="23">
                  <c:v>0.36784977231346844</c:v>
                </c:pt>
                <c:pt idx="24">
                  <c:v>0.41012091964435871</c:v>
                </c:pt>
                <c:pt idx="25">
                  <c:v>0.45067745092971273</c:v>
                </c:pt>
                <c:pt idx="26">
                  <c:v>0.48965305853319008</c:v>
                </c:pt>
                <c:pt idx="27">
                  <c:v>0.52716638335404353</c:v>
                </c:pt>
                <c:pt idx="28">
                  <c:v>0.56332319272374509</c:v>
                </c:pt>
                <c:pt idx="29">
                  <c:v>0.59821817809830613</c:v>
                </c:pt>
                <c:pt idx="30">
                  <c:v>0.63193644951504913</c:v>
                </c:pt>
                <c:pt idx="31">
                  <c:v>0.66455478619584363</c:v>
                </c:pt>
                <c:pt idx="32">
                  <c:v>0.69614268953974412</c:v>
                </c:pt>
                <c:pt idx="33">
                  <c:v>0.72676327482987135</c:v>
                </c:pt>
                <c:pt idx="34">
                  <c:v>0.75647403042027017</c:v>
                </c:pt>
                <c:pt idx="35">
                  <c:v>0.78532746735534287</c:v>
                </c:pt>
                <c:pt idx="36">
                  <c:v>0.81337167786631337</c:v>
                </c:pt>
                <c:pt idx="37">
                  <c:v>0.84065081766540983</c:v>
                </c:pt>
                <c:pt idx="38">
                  <c:v>0.86720552418366348</c:v>
                </c:pt>
                <c:pt idx="39">
                  <c:v>0.89307328069797043</c:v>
                </c:pt>
                <c:pt idx="40">
                  <c:v>0.9182887345368278</c:v>
                </c:pt>
                <c:pt idx="41">
                  <c:v>0.94288397614367569</c:v>
                </c:pt>
                <c:pt idx="42">
                  <c:v>0.96688878463724548</c:v>
                </c:pt>
                <c:pt idx="43">
                  <c:v>0.99033084458261922</c:v>
                </c:pt>
                <c:pt idx="44">
                  <c:v>1.0132359379306333</c:v>
                </c:pt>
                <c:pt idx="45">
                  <c:v>1.035628114462775</c:v>
                </c:pt>
                <c:pt idx="46">
                  <c:v>1.057529843566879</c:v>
                </c:pt>
                <c:pt idx="47">
                  <c:v>1.0789621497449868</c:v>
                </c:pt>
                <c:pt idx="48">
                  <c:v>1.0999447339018891</c:v>
                </c:pt>
                <c:pt idx="49">
                  <c:v>1.1204960821681123</c:v>
                </c:pt>
                <c:pt idx="50">
                  <c:v>1.1406335637638465</c:v>
                </c:pt>
                <c:pt idx="51">
                  <c:v>1.160373519202019</c:v>
                </c:pt>
                <c:pt idx="52">
                  <c:v>1.1797313399528992</c:v>
                </c:pt>
                <c:pt idx="53">
                  <c:v>1.1987215405432345</c:v>
                </c:pt>
                <c:pt idx="54">
                  <c:v>1.2173578239360587</c:v>
                </c:pt>
                <c:pt idx="55">
                  <c:v>1.2356531409289084</c:v>
                </c:pt>
                <c:pt idx="56">
                  <c:v>1.2536197442153485</c:v>
                </c:pt>
                <c:pt idx="57">
                  <c:v>1.2712692376750634</c:v>
                </c:pt>
                <c:pt idx="58">
                  <c:v>1.2886126213890656</c:v>
                </c:pt>
                <c:pt idx="59">
                  <c:v>1.3056603328174334</c:v>
                </c:pt>
                <c:pt idx="60">
                  <c:v>1.3224222845254812</c:v>
                </c:pt>
                <c:pt idx="61">
                  <c:v>1.3389078987998846</c:v>
                </c:pt>
                <c:pt idx="62">
                  <c:v>1.3551261394574237</c:v>
                </c:pt>
                <c:pt idx="63">
                  <c:v>1.3710855411151885</c:v>
                </c:pt>
                <c:pt idx="64">
                  <c:v>1.3867942361615382</c:v>
                </c:pt>
                <c:pt idx="65">
                  <c:v>1.4022599796412789</c:v>
                </c:pt>
                <c:pt idx="66">
                  <c:v>1.4174901722455124</c:v>
                </c:pt>
                <c:pt idx="67">
                  <c:v>1.4324918815769849</c:v>
                </c:pt>
                <c:pt idx="68">
                  <c:v>1.4472718618437126</c:v>
                </c:pt>
                <c:pt idx="69">
                  <c:v>1.4618365721183364</c:v>
                </c:pt>
                <c:pt idx="70">
                  <c:v>1.4761921932867386</c:v>
                </c:pt>
                <c:pt idx="71">
                  <c:v>1.4903446437972492</c:v>
                </c:pt>
                <c:pt idx="72">
                  <c:v>1.5042995943107886</c:v>
                </c:pt>
                <c:pt idx="73">
                  <c:v>1.5180624813429413</c:v>
                </c:pt>
                <c:pt idx="74">
                  <c:v>1.5316385199796982</c:v>
                </c:pt>
                <c:pt idx="75">
                  <c:v>1.5450327157417489</c:v>
                </c:pt>
                <c:pt idx="76">
                  <c:v>1.5582498756646528</c:v>
                </c:pt>
                <c:pt idx="77">
                  <c:v>1.5712946186560512</c:v>
                </c:pt>
                <c:pt idx="78">
                  <c:v>1.5841713851862034</c:v>
                </c:pt>
                <c:pt idx="79">
                  <c:v>1.5968844463624823</c:v>
                </c:pt>
                <c:pt idx="80">
                  <c:v>1.6094379124341172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70799"/>
        <c:axId val="831775119"/>
      </c:lineChart>
      <c:lineChart>
        <c:grouping val="standard"/>
        <c:varyColors val="0"/>
        <c:ser>
          <c:idx val="3"/>
          <c:order val="2"/>
          <c:tx>
            <c:strRef>
              <c:f>LOGNORMAL!$R$30</c:f>
              <c:strCache>
                <c:ptCount val="1"/>
                <c:pt idx="0">
                  <c:v>|ICDF error|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LOGNORMAL!$R$31:$R$111</c:f>
              <c:numCache>
                <c:formatCode>0.000000000000</c:formatCode>
                <c:ptCount val="81"/>
                <c:pt idx="0">
                  <c:v>8.8817841970012523E-16</c:v>
                </c:pt>
                <c:pt idx="1">
                  <c:v>4.4408920985006262E-16</c:v>
                </c:pt>
                <c:pt idx="2">
                  <c:v>4.4408920985006262E-16</c:v>
                </c:pt>
                <c:pt idx="3">
                  <c:v>0</c:v>
                </c:pt>
                <c:pt idx="4">
                  <c:v>0</c:v>
                </c:pt>
                <c:pt idx="5">
                  <c:v>2.2204460492503131E-16</c:v>
                </c:pt>
                <c:pt idx="6">
                  <c:v>1.1102230246251565E-16</c:v>
                </c:pt>
                <c:pt idx="7">
                  <c:v>1.1102230246251565E-16</c:v>
                </c:pt>
                <c:pt idx="8">
                  <c:v>4.4408920985006262E-16</c:v>
                </c:pt>
                <c:pt idx="9">
                  <c:v>2.2204460492503131E-16</c:v>
                </c:pt>
                <c:pt idx="10">
                  <c:v>5.5511151231257827E-16</c:v>
                </c:pt>
                <c:pt idx="11">
                  <c:v>5.5511151231257827E-17</c:v>
                </c:pt>
                <c:pt idx="12">
                  <c:v>1.6653345369377348E-16</c:v>
                </c:pt>
                <c:pt idx="13">
                  <c:v>5.5511151231257827E-17</c:v>
                </c:pt>
                <c:pt idx="14">
                  <c:v>1.3877787807814457E-17</c:v>
                </c:pt>
                <c:pt idx="15">
                  <c:v>9.7144514654701197E-17</c:v>
                </c:pt>
                <c:pt idx="16">
                  <c:v>1.7520707107365752E-16</c:v>
                </c:pt>
                <c:pt idx="17">
                  <c:v>8.3266726846886741E-17</c:v>
                </c:pt>
                <c:pt idx="18">
                  <c:v>2.7755575615628914E-17</c:v>
                </c:pt>
                <c:pt idx="19">
                  <c:v>1.3877787807814457E-16</c:v>
                </c:pt>
                <c:pt idx="20">
                  <c:v>8.3266726846886741E-17</c:v>
                </c:pt>
                <c:pt idx="21">
                  <c:v>0</c:v>
                </c:pt>
                <c:pt idx="22">
                  <c:v>5.5511151231257827E-17</c:v>
                </c:pt>
                <c:pt idx="23">
                  <c:v>0</c:v>
                </c:pt>
                <c:pt idx="24">
                  <c:v>4.4408920985006262E-16</c:v>
                </c:pt>
                <c:pt idx="25">
                  <c:v>3.8857805861880479E-16</c:v>
                </c:pt>
                <c:pt idx="26">
                  <c:v>1.4988010832439613E-15</c:v>
                </c:pt>
                <c:pt idx="27">
                  <c:v>3.3306690738754696E-16</c:v>
                </c:pt>
                <c:pt idx="28">
                  <c:v>1.1102230246251565E-16</c:v>
                </c:pt>
                <c:pt idx="29">
                  <c:v>0</c:v>
                </c:pt>
                <c:pt idx="30">
                  <c:v>5.5511151231257827E-16</c:v>
                </c:pt>
                <c:pt idx="31">
                  <c:v>2.2204460492503131E-16</c:v>
                </c:pt>
                <c:pt idx="32">
                  <c:v>1.1102230246251565E-16</c:v>
                </c:pt>
                <c:pt idx="33">
                  <c:v>2.2204460492503131E-16</c:v>
                </c:pt>
                <c:pt idx="34">
                  <c:v>1.1102230246251565E-16</c:v>
                </c:pt>
                <c:pt idx="35">
                  <c:v>3.3306690738754696E-16</c:v>
                </c:pt>
                <c:pt idx="36">
                  <c:v>1.1102230246251565E-16</c:v>
                </c:pt>
                <c:pt idx="37">
                  <c:v>1.1102230246251565E-16</c:v>
                </c:pt>
                <c:pt idx="38">
                  <c:v>0</c:v>
                </c:pt>
                <c:pt idx="39">
                  <c:v>2.2204460492503131E-16</c:v>
                </c:pt>
                <c:pt idx="40">
                  <c:v>0</c:v>
                </c:pt>
                <c:pt idx="41">
                  <c:v>4.4408920985006262E-16</c:v>
                </c:pt>
                <c:pt idx="42">
                  <c:v>1.1102230246251565E-16</c:v>
                </c:pt>
                <c:pt idx="43">
                  <c:v>0</c:v>
                </c:pt>
                <c:pt idx="44">
                  <c:v>8.8817841970012523E-16</c:v>
                </c:pt>
                <c:pt idx="45">
                  <c:v>4.4408920985006262E-16</c:v>
                </c:pt>
                <c:pt idx="46">
                  <c:v>4.4408920985006262E-16</c:v>
                </c:pt>
                <c:pt idx="47">
                  <c:v>1.1102230246251565E-15</c:v>
                </c:pt>
                <c:pt idx="48">
                  <c:v>6.6613381477509392E-16</c:v>
                </c:pt>
                <c:pt idx="49">
                  <c:v>4.4408920985006262E-16</c:v>
                </c:pt>
                <c:pt idx="50">
                  <c:v>4.4408920985006262E-16</c:v>
                </c:pt>
                <c:pt idx="51">
                  <c:v>6.6613381477509392E-16</c:v>
                </c:pt>
                <c:pt idx="52">
                  <c:v>4.4408920985006262E-16</c:v>
                </c:pt>
                <c:pt idx="53">
                  <c:v>2.2204460492503131E-16</c:v>
                </c:pt>
                <c:pt idx="54">
                  <c:v>8.8817841970012523E-16</c:v>
                </c:pt>
                <c:pt idx="55">
                  <c:v>2.2204460492503131E-16</c:v>
                </c:pt>
                <c:pt idx="56">
                  <c:v>2.2204460492503131E-16</c:v>
                </c:pt>
                <c:pt idx="57">
                  <c:v>3.3306690738754696E-15</c:v>
                </c:pt>
                <c:pt idx="58">
                  <c:v>2.2204460492503131E-16</c:v>
                </c:pt>
                <c:pt idx="59">
                  <c:v>1.1102230246251565E-15</c:v>
                </c:pt>
                <c:pt idx="60">
                  <c:v>2.2204460492503131E-15</c:v>
                </c:pt>
                <c:pt idx="61">
                  <c:v>2.2204460492503131E-15</c:v>
                </c:pt>
                <c:pt idx="62">
                  <c:v>1.7763568394002505E-15</c:v>
                </c:pt>
                <c:pt idx="63">
                  <c:v>2.6645352591003757E-15</c:v>
                </c:pt>
                <c:pt idx="64">
                  <c:v>5.5511151231257827E-15</c:v>
                </c:pt>
                <c:pt idx="65">
                  <c:v>3.3306690738754696E-15</c:v>
                </c:pt>
                <c:pt idx="66">
                  <c:v>4.4408920985006262E-16</c:v>
                </c:pt>
                <c:pt idx="67">
                  <c:v>6.6613381477509392E-16</c:v>
                </c:pt>
                <c:pt idx="68">
                  <c:v>4.6629367034256575E-15</c:v>
                </c:pt>
                <c:pt idx="69">
                  <c:v>6.4392935428259079E-15</c:v>
                </c:pt>
                <c:pt idx="70">
                  <c:v>5.9952043329758453E-15</c:v>
                </c:pt>
                <c:pt idx="71">
                  <c:v>7.7715611723760958E-15</c:v>
                </c:pt>
                <c:pt idx="72">
                  <c:v>1.1102230246251565E-14</c:v>
                </c:pt>
                <c:pt idx="73">
                  <c:v>4.8849813083506888E-15</c:v>
                </c:pt>
                <c:pt idx="74">
                  <c:v>7.3274719625260332E-15</c:v>
                </c:pt>
                <c:pt idx="75">
                  <c:v>1.9761969838327786E-14</c:v>
                </c:pt>
                <c:pt idx="76">
                  <c:v>1.9984014443252818E-14</c:v>
                </c:pt>
                <c:pt idx="77">
                  <c:v>2.4424906541753444E-15</c:v>
                </c:pt>
                <c:pt idx="78">
                  <c:v>1.5543122344752192E-15</c:v>
                </c:pt>
                <c:pt idx="79">
                  <c:v>2.886579864025407E-15</c:v>
                </c:pt>
                <c:pt idx="80">
                  <c:v>9.3258734068513149E-15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0-4231-88FE-FD87A63D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44704"/>
        <c:axId val="615537504"/>
      </c:lineChart>
      <c:catAx>
        <c:axId val="831770799"/>
        <c:scaling>
          <c:orientation val="minMax"/>
        </c:scaling>
        <c:delete val="0"/>
        <c:axPos val="b"/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5119"/>
        <c:crosses val="autoZero"/>
        <c:auto val="1"/>
        <c:lblAlgn val="ctr"/>
        <c:lblOffset val="100"/>
        <c:noMultiLvlLbl val="0"/>
      </c:catAx>
      <c:valAx>
        <c:axId val="83177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770799"/>
        <c:crosses val="autoZero"/>
        <c:crossBetween val="between"/>
      </c:valAx>
      <c:valAx>
        <c:axId val="615537504"/>
        <c:scaling>
          <c:orientation val="minMax"/>
        </c:scaling>
        <c:delete val="0"/>
        <c:axPos val="r"/>
        <c:numFmt formatCode="#,##0.00000000000000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5544704"/>
        <c:crosses val="max"/>
        <c:crossBetween val="between"/>
      </c:valAx>
      <c:catAx>
        <c:axId val="61554470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61553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6CC3CC78-A3A4-57DF-E804-62BF877493F9}"/>
            </a:ext>
          </a:extLst>
        </xdr:cNvPr>
        <xdr:cNvSpPr>
          <a:spLocks/>
        </xdr:cNvSpPr>
      </xdr:nvSpPr>
      <xdr:spPr>
        <a:xfrm>
          <a:off x="1270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F6FA2EE-2EF3-1E16-935C-15F9DE5267E5}"/>
            </a:ext>
          </a:extLst>
        </xdr:cNvPr>
        <xdr:cNvSpPr>
          <a:spLocks/>
        </xdr:cNvSpPr>
      </xdr:nvSpPr>
      <xdr:spPr>
        <a:xfrm>
          <a:off x="1774825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67B9A8-BCF6-C5A9-7E34-A8568267E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4C4D2C-75D6-F079-2809-440E6ECE9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A416122-62B2-AD5A-A9BC-287D4EA60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94C8AF7-92BC-5A18-6395-CC71D265A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1312332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D9D6BB7-AC26-ED3D-6AF6-5CFEBCE06A81}"/>
            </a:ext>
          </a:extLst>
        </xdr:cNvPr>
        <xdr:cNvSpPr txBox="1"/>
      </xdr:nvSpPr>
      <xdr:spPr>
        <a:xfrm>
          <a:off x="1672165" y="6476999"/>
          <a:ext cx="7736417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D2967EE-B5BA-4D69-B443-82319A76253E}"/>
            </a:ext>
          </a:extLst>
        </xdr:cNvPr>
        <xdr:cNvSpPr txBox="1"/>
      </xdr:nvSpPr>
      <xdr:spPr>
        <a:xfrm>
          <a:off x="10033000" y="28246917"/>
          <a:ext cx="4180417" cy="296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80DDDEE-AE47-4A0E-A79F-F4BCF5EC043E}"/>
            </a:ext>
          </a:extLst>
        </xdr:cNvPr>
        <xdr:cNvSpPr txBox="1"/>
      </xdr:nvSpPr>
      <xdr:spPr>
        <a:xfrm>
          <a:off x="338667" y="28661782"/>
          <a:ext cx="18055166" cy="2162176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22E0B3AC-7713-6075-C5DF-7CA672E8A31F}"/>
            </a:ext>
          </a:extLst>
        </xdr:cNvPr>
        <xdr:cNvSpPr>
          <a:spLocks/>
        </xdr:cNvSpPr>
      </xdr:nvSpPr>
      <xdr:spPr>
        <a:xfrm>
          <a:off x="1270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13</xdr:row>
      <xdr:rowOff>100012</xdr:rowOff>
    </xdr:from>
    <xdr:to>
      <xdr:col>7</xdr:col>
      <xdr:colOff>1352550</xdr:colOff>
      <xdr:row>26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05D435-3B1E-4B3D-94C5-A386ACC19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80962</xdr:colOff>
      <xdr:row>13</xdr:row>
      <xdr:rowOff>100012</xdr:rowOff>
    </xdr:from>
    <xdr:to>
      <xdr:col>10</xdr:col>
      <xdr:colOff>1343025</xdr:colOff>
      <xdr:row>26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346299-F94E-4D20-9E2A-48C1AC65B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61912</xdr:colOff>
      <xdr:row>13</xdr:row>
      <xdr:rowOff>100012</xdr:rowOff>
    </xdr:from>
    <xdr:to>
      <xdr:col>13</xdr:col>
      <xdr:colOff>1323975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1D6B-88B1-4A51-8720-00E44C074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30161</xdr:colOff>
      <xdr:row>13</xdr:row>
      <xdr:rowOff>100012</xdr:rowOff>
    </xdr:from>
    <xdr:to>
      <xdr:col>17</xdr:col>
      <xdr:colOff>1375832</xdr:colOff>
      <xdr:row>26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D81A4A-5EEB-4E21-88C7-D895177F6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1543050</xdr:colOff>
      <xdr:row>26</xdr:row>
      <xdr:rowOff>148166</xdr:rowOff>
    </xdr:from>
    <xdr:to>
      <xdr:col>10</xdr:col>
      <xdr:colOff>730249</xdr:colOff>
      <xdr:row>27</xdr:row>
      <xdr:rowOff>201082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3FA21E3-76D2-4CB1-8156-4FC480444379}"/>
            </a:ext>
          </a:extLst>
        </xdr:cNvPr>
        <xdr:cNvSpPr txBox="1"/>
      </xdr:nvSpPr>
      <xdr:spPr>
        <a:xfrm>
          <a:off x="4095750" y="6529916"/>
          <a:ext cx="8616949" cy="281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Error series on secondary axis; scale ~1e-14 = machine-precision agreement</a:t>
          </a:r>
          <a:endParaRPr lang="it-IT" sz="11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1354667</xdr:colOff>
      <xdr:row>119</xdr:row>
      <xdr:rowOff>31750</xdr:rowOff>
    </xdr:from>
    <xdr:to>
      <xdr:col>13</xdr:col>
      <xdr:colOff>1375834</xdr:colOff>
      <xdr:row>120</xdr:row>
      <xdr:rowOff>116417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664A53-6B78-47F6-BC49-BCC066AAF516}"/>
            </a:ext>
          </a:extLst>
        </xdr:cNvPr>
        <xdr:cNvSpPr txBox="1"/>
      </xdr:nvSpPr>
      <xdr:spPr>
        <a:xfrm>
          <a:off x="13337117" y="27920950"/>
          <a:ext cx="4736042" cy="2942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 b="1"/>
            <a:t>At x = 9 the 'error' is the entire true probability — Excel returned 0</a:t>
          </a:r>
          <a:endParaRPr lang="it-IT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158750</xdr:colOff>
      <xdr:row>121</xdr:row>
      <xdr:rowOff>23282</xdr:rowOff>
    </xdr:from>
    <xdr:to>
      <xdr:col>17</xdr:col>
      <xdr:colOff>10583</xdr:colOff>
      <xdr:row>131</xdr:row>
      <xdr:rowOff>68791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A868D0B-4304-4E60-97FB-E72BA7D9C0CA}"/>
            </a:ext>
          </a:extLst>
        </xdr:cNvPr>
        <xdr:cNvSpPr txBox="1"/>
      </xdr:nvSpPr>
      <xdr:spPr>
        <a:xfrm>
          <a:off x="2435225" y="28331582"/>
          <a:ext cx="20559183" cy="2141009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Why this block matters.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  <a:p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For a positive-support-side probability, Excel's survival is computed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NORM.DIST(x, μ, σ, TRUE)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. Once the CDF rounds to exactly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in double precision (here at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x = 9</a:t>
          </a:r>
          <a:r>
            <a:rPr lang="it-IT" sz="1400" b="0">
              <a:latin typeface="Segoe UI" panose="020B0502040204020203" pitchFamily="34" charset="0"/>
              <a:cs typeface="Segoe UI" panose="020B0502040204020203" pitchFamily="34" charset="0"/>
            </a:rPr>
            <a:t>)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the subtraction yields 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even though the true upper-tail probability is still a representable number (</a:t>
          </a:r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≈ 1.13e-19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). </a:t>
          </a:r>
        </a:p>
        <a:p>
          <a:endParaRPr lang="it-IT" sz="1400">
            <a:solidFill>
              <a:schemeClr val="dk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it-IT" sz="14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K_STATS_Normal_Survival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 evaluates the upper tail directly rather than as </a:t>
          </a:r>
          <a:r>
            <a:rPr lang="it-IT" sz="12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1 − CDF</a:t>
          </a:r>
          <a:r>
            <a:rPr lang="it-IT" sz="1400">
              <a:latin typeface="Segoe UI" panose="020B0502040204020203" pitchFamily="34" charset="0"/>
              <a:cs typeface="Segoe UI" panose="020B0502040204020203" pitchFamily="34" charset="0"/>
            </a:rPr>
            <a:t>, so it returns the correct value instead of collapsing to zero. </a:t>
          </a:r>
        </a:p>
        <a:p>
          <a:endParaRPr lang="it-IT" sz="14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it-IT" sz="1400" b="1">
              <a:latin typeface="Segoe UI" panose="020B0502040204020203" pitchFamily="34" charset="0"/>
              <a:cs typeface="Segoe UI" panose="020B0502040204020203" pitchFamily="34" charset="0"/>
            </a:rPr>
            <a:t>This is the practical payoff of a direct survival routine: accuracy in the deep tail, exactly where risk and p-value calculations need it most.</a:t>
          </a:r>
          <a:endParaRPr lang="it-IT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9" name="btnNavigationToggle" descr="Expand or collapse worksheet navigation">
          <a:extLst>
            <a:ext uri="{FF2B5EF4-FFF2-40B4-BE49-F238E27FC236}">
              <a16:creationId xmlns:a16="http://schemas.microsoft.com/office/drawing/2014/main" id="{3FE91F9D-0D4B-41FD-92B8-1429B69A8ABB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5" name="btnNavigationToggle" descr="Expand or collapse worksheet navigation">
          <a:extLst>
            <a:ext uri="{FF2B5EF4-FFF2-40B4-BE49-F238E27FC236}">
              <a16:creationId xmlns:a16="http://schemas.microsoft.com/office/drawing/2014/main" id="{8FB68EEE-B164-4734-9AC1-AC43FF11532A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2" name="btnNavigationToggle" descr="Expand or collapse worksheet navigation">
          <a:extLst>
            <a:ext uri="{FF2B5EF4-FFF2-40B4-BE49-F238E27FC236}">
              <a16:creationId xmlns:a16="http://schemas.microsoft.com/office/drawing/2014/main" id="{D9E1D5C3-67F0-E364-12DB-ED3454DE4482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  <xdr:twoCellAnchor editAs="oneCell">
    <xdr:from>
      <xdr:col>2</xdr:col>
      <xdr:colOff>12700</xdr:colOff>
      <xdr:row>0</xdr:row>
      <xdr:rowOff>88900</xdr:rowOff>
    </xdr:from>
    <xdr:to>
      <xdr:col>2</xdr:col>
      <xdr:colOff>215900</xdr:colOff>
      <xdr:row>0</xdr:row>
      <xdr:rowOff>292100</xdr:rowOff>
    </xdr:to>
    <xdr:sp macro="[0]!M_NAVIGATION.ToggleNavigation" textlink="">
      <xdr:nvSpPr>
        <xdr:cNvPr id="4" name="btnNavigationToggle" descr="Expand or collapse worksheet navigation">
          <a:extLst>
            <a:ext uri="{FF2B5EF4-FFF2-40B4-BE49-F238E27FC236}">
              <a16:creationId xmlns:a16="http://schemas.microsoft.com/office/drawing/2014/main" id="{E2F73AA0-71ED-4EA8-AE9E-DE531A4B909C}"/>
            </a:ext>
          </a:extLst>
        </xdr:cNvPr>
        <xdr:cNvSpPr>
          <a:spLocks/>
        </xdr:cNvSpPr>
      </xdr:nvSpPr>
      <xdr:spPr>
        <a:xfrm>
          <a:off x="2012950" y="88900"/>
          <a:ext cx="203200" cy="203200"/>
        </a:xfrm>
        <a:prstGeom prst="roundRect">
          <a:avLst/>
        </a:prstGeom>
        <a:solidFill>
          <a:srgbClr val="16324F"/>
        </a:solidFill>
        <a:ln w="12700">
          <a:solidFill>
            <a:srgbClr val="16324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it-IT" sz="900" b="1">
              <a:solidFill>
                <a:srgbClr val="FFFFFF"/>
              </a:solidFill>
              <a:latin typeface="Aptos" panose="020B0004020202020204" pitchFamily="34" charset="0"/>
            </a:rPr>
            <a:t>◀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5" c="3">
    <v>1.776482112077653E-33</v>
    <v>1</v>
    <v>1.4636035411225322E-14</v>
    <v>7.7935368191928E-45</v>
    <v>1</v>
    <v>1.5969682115406181E-16</v>
    <v>6.3887544005379057E-58</v>
    <v>1</v>
    <v>2.8570284595262074E-14</v>
    <v>9.7409489189368755E-73</v>
    <v>1</v>
    <v>2.8254271563153781E-14</v>
    <v>2.7536241186061556E-89</v>
    <v>1</v>
    <v>2.8501608204520317E-14</v>
  </a>
</arrayData>
</file>

<file path=xl/richData/rdrichvalue.xml><?xml version="1.0" encoding="utf-8"?>
<rvData xmlns="http://schemas.microsoft.com/office/spreadsheetml/2017/richdata" count="8">
  <rv s="0">
    <fb>5.8440944333451476E-2</fb>
    <v>&lt;class 'numpy.float64'&gt;</v>
    <v>float64</v>
    <v>0.058440944333451476</v>
    <v>5.8440944333451476E-2</v>
    <v>0</v>
  </rv>
  <rv s="0">
    <fb>0.97500210485177952</fb>
    <v>&lt;class 'numpy.float64'&gt;</v>
    <v>float64</v>
    <v>0.9750021048517795</v>
    <v>0.97500210485177952</v>
    <v>0</v>
  </rv>
  <rv s="0">
    <fb>-2.3263478740408408</fb>
    <v>&lt;class 'numpy.float64'&gt;</v>
    <v>float64</v>
    <v>-2.3263478740408408</v>
    <v>-2.3263478740408408</v>
    <v>0</v>
  </rv>
  <rv s="0">
    <fb>1.96</fb>
    <v>&lt;class 'float'&gt;</v>
    <v>float</v>
    <v>1.96</v>
    <v>1.96</v>
    <v>0</v>
  </rv>
  <rv s="0">
    <fb>0.99999999999744027</fb>
    <v>&lt;class 'numpy.float64'&gt;</v>
    <v>float64</v>
    <v>0.9999999999974403</v>
    <v>0.99999999999744027</v>
    <v>0</v>
  </rv>
  <rv s="1">
    <v>0</v>
  </rv>
  <rv s="2">
    <v>ndarray</v>
    <v>2</v>
    <v>5</v>
  </rv>
  <rv s="3">
    <v>&lt;class 'numpy.ndarray'&gt;</v>
    <v>ndarray</v>
    <v>[[1.77648211e-33 1.00000000e+00 1.46360354e-14]
 [7.79353682e-45 1.00000000e+00 1.59696821e-16]
 [6.38875440e-58 1.00000000e+00 2.85702846e-14]
 [9.74094892e-73 1.00000000e+00 2.82542716e-14]
 [2.75362412e-89 1.00000000e+00 2.85016082e-14]]</v>
    <v>6</v>
    <v>0</v>
  </rv>
</rvData>
</file>

<file path=xl/richData/rdrichvaluestructure.xml><?xml version="1.0" encoding="utf-8"?>
<rvStructures xmlns="http://schemas.microsoft.com/office/spreadsheetml/2017/richdata" count="4">
  <s t="_python">
    <k n="Python_type" t="s"/>
    <k n="Python_typeName" t="s"/>
    <k n="Python_str" t="s"/>
    <k n="basicValue"/>
    <k n="_Provider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https://www.anaconda.com/excel</v>
      <v>https://res.cdn.office.net/officepysvc/prod-service/anacondalogo.png</v>
      <v>Python provided by Anaconda</v>
    </spb>
    <spb s="1">
      <v>5</v>
      <v>3</v>
      <v>ndarray</v>
      <v>arrayPreview</v>
    </spb>
    <spb s="2">
      <v>1</v>
    </spb>
  </spbData>
</supportingPropertyBags>
</file>

<file path=xl/richData/rdsupportingpropertybagstructure.xml><?xml version="1.0" encoding="utf-8"?>
<spbStructures xmlns="http://schemas.microsoft.com/office/spreadsheetml/2017/richdata2" count="3">
  <s>
    <k n="link" t="s"/>
    <k n="logo" t="s"/>
    <k n="name" t="s"/>
  </s>
  <s>
    <k n="drw" t="i"/>
    <k n="dcol" t="i"/>
    <k n="name" t="s"/>
    <k n="array" t="s"/>
  </s>
  <s>
    <k n="ArrayCardInfo" t="spb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3D5F6-8A84-4470-BFBF-DCE5370FF094}">
  <sheetPr codeName="Sheet16"/>
  <dimension ref="A1:B11"/>
  <sheetViews>
    <sheetView showGridLines="0" topLeftCell="C1" workbookViewId="0">
      <selection activeCell="D1" sqref="D1"/>
    </sheetView>
  </sheetViews>
  <sheetFormatPr defaultRowHeight="16.5" x14ac:dyDescent="0.3"/>
  <cols>
    <col min="1" max="1" width="5.625" hidden="1" customWidth="1"/>
    <col min="2" max="2" width="20.625" hidden="1" customWidth="1"/>
  </cols>
  <sheetData>
    <row r="1" spans="1:2" ht="32.1" customHeight="1" x14ac:dyDescent="0.3">
      <c r="A1" s="159" t="s">
        <v>198</v>
      </c>
      <c r="B1" s="159"/>
    </row>
    <row r="2" spans="1:2" ht="24" customHeight="1" x14ac:dyDescent="0.3">
      <c r="A2" s="160" t="s">
        <v>199</v>
      </c>
      <c r="B2" s="160"/>
    </row>
    <row r="3" spans="1:2" ht="21.95" customHeight="1" x14ac:dyDescent="0.3">
      <c r="A3" s="123" t="s">
        <v>208</v>
      </c>
      <c r="B3" s="119" t="s">
        <v>209</v>
      </c>
    </row>
    <row r="4" spans="1:2" ht="21.95" customHeight="1" x14ac:dyDescent="0.3">
      <c r="A4" s="122" t="s">
        <v>204</v>
      </c>
      <c r="B4" s="121" t="s">
        <v>205</v>
      </c>
    </row>
    <row r="5" spans="1:2" ht="21.95" customHeight="1" x14ac:dyDescent="0.3">
      <c r="A5" s="122" t="s">
        <v>206</v>
      </c>
      <c r="B5" s="121" t="s">
        <v>207</v>
      </c>
    </row>
    <row r="6" spans="1:2" ht="21.95" customHeight="1" x14ac:dyDescent="0.3">
      <c r="A6" s="122" t="s">
        <v>214</v>
      </c>
      <c r="B6" s="121" t="s">
        <v>335</v>
      </c>
    </row>
    <row r="7" spans="1:2" x14ac:dyDescent="0.3">
      <c r="A7" s="115"/>
      <c r="B7" s="115"/>
    </row>
    <row r="8" spans="1:2" x14ac:dyDescent="0.3">
      <c r="A8" s="115"/>
      <c r="B8" s="115"/>
    </row>
    <row r="9" spans="1:2" x14ac:dyDescent="0.3">
      <c r="A9" s="115"/>
      <c r="B9" s="115"/>
    </row>
    <row r="10" spans="1:2" x14ac:dyDescent="0.3">
      <c r="A10" s="115"/>
      <c r="B10" s="115"/>
    </row>
    <row r="11" spans="1:2" x14ac:dyDescent="0.3">
      <c r="A11" s="115"/>
      <c r="B11" s="115"/>
    </row>
  </sheetData>
  <mergeCells count="2">
    <mergeCell ref="A1:B1"/>
    <mergeCell ref="A2:B2"/>
  </mergeCells>
  <hyperlinks>
    <hyperlink ref="B3" location="'HOME'!D1" display="HOME" xr:uid="{E92FD4FF-DB8D-4848-A289-C54C03F32074}"/>
    <hyperlink ref="B4" location="'NORMAL'!D1" display="NORMAL" xr:uid="{0217688D-DBCE-4BCC-B970-E3C3C720112B}"/>
    <hyperlink ref="B5" location="'LOGNORMAL'!D1" display="LOGNORMAL" xr:uid="{6A344D94-2A35-4D9B-888B-FAD1F7F5E8BD}"/>
    <hyperlink ref="B6" location="'BENCHMARK_NORMALFAMILY'!D1" display="BENCHMARK_NORMALFAMILY" xr:uid="{3BF9081C-DAA0-48A4-A009-D2B246882F97}"/>
  </hyperlink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FF97-1376-4609-8FBA-6E495BBBA441}">
  <sheetPr codeName="Sheet17"/>
  <dimension ref="A1:S200"/>
  <sheetViews>
    <sheetView showGridLines="0" workbookViewId="0">
      <selection activeCell="C4" sqref="C4"/>
    </sheetView>
  </sheetViews>
  <sheetFormatPr defaultColWidth="0" defaultRowHeight="13.5" x14ac:dyDescent="0.3"/>
  <cols>
    <col min="1" max="1" width="5.625" style="24" customWidth="1"/>
    <col min="2" max="2" width="20.625" style="24" customWidth="1"/>
    <col min="3" max="4" width="3.625" style="24" customWidth="1"/>
    <col min="5" max="5" width="23.25" style="24" customWidth="1"/>
    <col min="6" max="6" width="34.5" style="24" customWidth="1"/>
    <col min="7" max="7" width="30.625" style="24" customWidth="1"/>
    <col min="8" max="8" width="20.375" style="24" customWidth="1"/>
    <col min="9" max="9" width="4.5" style="24" customWidth="1"/>
    <col min="10" max="13" width="20.5" style="24" customWidth="1"/>
    <col min="14" max="14" width="3.375" style="24" customWidth="1"/>
    <col min="15" max="15" width="17" style="24" customWidth="1"/>
    <col min="16" max="16" width="25.875" style="24" customWidth="1"/>
    <col min="17" max="17" width="17" style="24" customWidth="1"/>
    <col min="18" max="18" width="2.625" style="24" customWidth="1"/>
    <col min="19" max="19" width="17" style="24" hidden="1" customWidth="1"/>
    <col min="20" max="16384" width="8" style="24" hidden="1"/>
  </cols>
  <sheetData>
    <row r="1" spans="1:19" s="1" customFormat="1" ht="32.1" customHeight="1" x14ac:dyDescent="0.3">
      <c r="A1" s="159" t="s">
        <v>198</v>
      </c>
      <c r="B1" s="159"/>
      <c r="D1" s="117" t="s">
        <v>98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9" s="1" customFormat="1" ht="24" customHeight="1" x14ac:dyDescent="0.3">
      <c r="A2" s="160" t="s">
        <v>199</v>
      </c>
      <c r="B2" s="160"/>
      <c r="D2" s="116" t="s">
        <v>99</v>
      </c>
      <c r="E2" s="3"/>
      <c r="F2" s="3"/>
      <c r="G2" s="4"/>
      <c r="H2" s="3"/>
      <c r="I2" s="3"/>
      <c r="J2" s="5"/>
      <c r="K2" s="5"/>
      <c r="L2" s="5"/>
      <c r="M2" s="5"/>
      <c r="N2" s="5"/>
      <c r="O2" s="5"/>
      <c r="P2" s="5"/>
      <c r="Q2" s="5"/>
      <c r="R2" s="5"/>
    </row>
    <row r="3" spans="1:19" s="23" customFormat="1" ht="21.95" customHeight="1" x14ac:dyDescent="0.3">
      <c r="A3" s="120" t="s">
        <v>200</v>
      </c>
      <c r="B3" s="121" t="s">
        <v>201</v>
      </c>
    </row>
    <row r="4" spans="1:19" s="23" customFormat="1" ht="21.95" customHeight="1" x14ac:dyDescent="0.3">
      <c r="A4" s="118" t="s">
        <v>202</v>
      </c>
      <c r="B4" s="119" t="s">
        <v>203</v>
      </c>
      <c r="E4" s="13" t="s">
        <v>83</v>
      </c>
      <c r="F4" s="14"/>
      <c r="G4"/>
      <c r="J4" s="7" t="s">
        <v>84</v>
      </c>
      <c r="K4" s="21"/>
      <c r="L4" s="22"/>
      <c r="M4" s="22"/>
      <c r="N4" s="22"/>
      <c r="O4" s="20"/>
    </row>
    <row r="5" spans="1:19" s="23" customFormat="1" ht="21.95" customHeight="1" x14ac:dyDescent="0.3">
      <c r="A5" s="120" t="s">
        <v>204</v>
      </c>
      <c r="B5" s="121" t="s">
        <v>205</v>
      </c>
      <c r="E5" s="82" t="s">
        <v>85</v>
      </c>
      <c r="F5" s="83" t="str" cm="1">
        <f t="array" ref="F5">IFERROR(IF(ABS(K_STATS_NormalStandard_Cumulative(0)-0.5)&lt;0.000000000001,"INSTALLED AND ACTIVE","CHECK RESULT"),"IMPORT VBA MODULES")</f>
        <v>INSTALLED AND ACTIVE</v>
      </c>
      <c r="G5"/>
      <c r="J5" s="173" t="s">
        <v>86</v>
      </c>
      <c r="K5" s="174"/>
      <c r="L5" s="84" t="s">
        <v>87</v>
      </c>
      <c r="M5" s="28"/>
      <c r="N5" s="28"/>
      <c r="O5" s="42"/>
    </row>
    <row r="6" spans="1:19" ht="21.95" customHeight="1" x14ac:dyDescent="0.3">
      <c r="A6" s="120" t="s">
        <v>206</v>
      </c>
      <c r="B6" s="121" t="s">
        <v>207</v>
      </c>
      <c r="J6" s="173" t="s">
        <v>88</v>
      </c>
      <c r="K6" s="174"/>
      <c r="L6" s="167" t="s">
        <v>89</v>
      </c>
      <c r="M6" s="168"/>
      <c r="N6" s="168"/>
      <c r="O6" s="169"/>
    </row>
    <row r="7" spans="1:19" ht="18" customHeight="1" x14ac:dyDescent="0.3">
      <c r="A7" s="115"/>
      <c r="B7" s="115"/>
      <c r="J7" s="173" t="s">
        <v>90</v>
      </c>
      <c r="K7" s="174"/>
      <c r="L7" s="167" t="s">
        <v>91</v>
      </c>
      <c r="M7" s="168"/>
      <c r="N7" s="168"/>
      <c r="O7" s="169"/>
    </row>
    <row r="8" spans="1:19" ht="18" customHeight="1" x14ac:dyDescent="0.3">
      <c r="A8" s="115"/>
      <c r="B8" s="115"/>
      <c r="J8" s="173" t="s">
        <v>92</v>
      </c>
      <c r="K8" s="174"/>
      <c r="L8" s="167" t="s">
        <v>93</v>
      </c>
      <c r="M8" s="168"/>
      <c r="N8" s="168"/>
      <c r="O8" s="169"/>
    </row>
    <row r="9" spans="1:19" ht="18" customHeight="1" x14ac:dyDescent="0.3">
      <c r="A9" s="115"/>
      <c r="B9" s="115"/>
      <c r="J9" s="173" t="s">
        <v>94</v>
      </c>
      <c r="K9" s="174"/>
      <c r="L9" s="167" t="s">
        <v>95</v>
      </c>
      <c r="M9" s="168"/>
      <c r="N9" s="168"/>
      <c r="O9" s="169"/>
    </row>
    <row r="10" spans="1:19" ht="18" customHeight="1" x14ac:dyDescent="0.3">
      <c r="A10" s="115"/>
      <c r="B10" s="115"/>
      <c r="J10" s="175" t="s">
        <v>96</v>
      </c>
      <c r="K10" s="176"/>
      <c r="L10" s="170" t="s">
        <v>97</v>
      </c>
      <c r="M10" s="171"/>
      <c r="N10" s="171"/>
      <c r="O10" s="172"/>
    </row>
    <row r="11" spans="1:19" ht="18" customHeight="1" x14ac:dyDescent="0.3">
      <c r="A11" s="115"/>
      <c r="B11" s="115"/>
    </row>
    <row r="12" spans="1:19" s="23" customFormat="1" ht="24.95" customHeight="1" x14ac:dyDescent="0.3">
      <c r="A12"/>
      <c r="B12"/>
      <c r="E12" s="25" t="s">
        <v>100</v>
      </c>
      <c r="F12" s="26"/>
      <c r="G12" s="26"/>
      <c r="H12" s="26"/>
      <c r="I12" s="26"/>
      <c r="J12" s="26"/>
      <c r="K12" s="26"/>
      <c r="L12" s="26"/>
      <c r="M12" s="27"/>
      <c r="N12"/>
      <c r="O12" s="25" t="s">
        <v>101</v>
      </c>
      <c r="P12" s="26"/>
      <c r="Q12" s="27"/>
      <c r="R12"/>
      <c r="S12"/>
    </row>
    <row r="13" spans="1:19" s="23" customFormat="1" ht="18" customHeight="1" x14ac:dyDescent="0.3">
      <c r="A13"/>
      <c r="B13"/>
      <c r="E13" s="55" t="s">
        <v>102</v>
      </c>
      <c r="F13" s="56" t="s">
        <v>103</v>
      </c>
      <c r="G13" s="183" t="s">
        <v>104</v>
      </c>
      <c r="H13" s="184"/>
      <c r="I13" s="185"/>
      <c r="J13" s="183" t="s">
        <v>105</v>
      </c>
      <c r="K13" s="184"/>
      <c r="L13" s="185"/>
      <c r="M13" s="57" t="s">
        <v>106</v>
      </c>
      <c r="N13"/>
      <c r="O13" s="29" t="s">
        <v>74</v>
      </c>
      <c r="P13" s="30" t="s">
        <v>107</v>
      </c>
      <c r="Q13" s="60" t="s">
        <v>75</v>
      </c>
      <c r="R13"/>
      <c r="S13"/>
    </row>
    <row r="14" spans="1:19" s="23" customFormat="1" ht="18" customHeight="1" x14ac:dyDescent="0.3">
      <c r="A14"/>
      <c r="B14"/>
      <c r="E14" s="33">
        <v>1</v>
      </c>
      <c r="F14" s="34" t="s">
        <v>108</v>
      </c>
      <c r="G14" s="180" t="s">
        <v>109</v>
      </c>
      <c r="H14" s="181"/>
      <c r="I14" s="182"/>
      <c r="J14" s="180" t="s">
        <v>110</v>
      </c>
      <c r="K14" s="181"/>
      <c r="L14" s="182"/>
      <c r="M14" s="58" t="s">
        <v>111</v>
      </c>
      <c r="N14"/>
      <c r="O14" s="41" t="s">
        <v>112</v>
      </c>
      <c r="P14" s="61" cm="1">
        <f t="array" ref="P14">IFERROR(K_STATS_NormalStandard_Cumulative(0),"IMPORT MODULES")</f>
        <v>0.5</v>
      </c>
      <c r="Q14" s="62" t="s">
        <v>77</v>
      </c>
      <c r="R14"/>
      <c r="S14"/>
    </row>
    <row r="15" spans="1:19" s="23" customFormat="1" ht="18" customHeight="1" x14ac:dyDescent="0.3">
      <c r="A15"/>
      <c r="B15"/>
      <c r="E15" s="33">
        <v>2</v>
      </c>
      <c r="F15" s="34" t="s">
        <v>113</v>
      </c>
      <c r="G15" s="180" t="s">
        <v>114</v>
      </c>
      <c r="H15" s="181"/>
      <c r="I15" s="182"/>
      <c r="J15" s="180" t="s">
        <v>115</v>
      </c>
      <c r="K15" s="181"/>
      <c r="L15" s="182"/>
      <c r="M15" s="58" t="s">
        <v>111</v>
      </c>
      <c r="N15"/>
      <c r="O15" s="41" t="s">
        <v>116</v>
      </c>
      <c r="P15" s="61" cm="1">
        <f t="array" ref="P15">IFERROR(K_STATS_Gamma_Mean(3,2),"IMPORT MODULES")</f>
        <v>6</v>
      </c>
      <c r="Q15" s="62" t="s">
        <v>79</v>
      </c>
      <c r="R15"/>
      <c r="S15"/>
    </row>
    <row r="16" spans="1:19" s="23" customFormat="1" ht="18" customHeight="1" x14ac:dyDescent="0.3">
      <c r="A16"/>
      <c r="B16"/>
      <c r="E16" s="33">
        <v>3</v>
      </c>
      <c r="F16" s="34" t="s">
        <v>117</v>
      </c>
      <c r="G16" s="180" t="s">
        <v>118</v>
      </c>
      <c r="H16" s="181"/>
      <c r="I16" s="182"/>
      <c r="J16" s="180" t="s">
        <v>119</v>
      </c>
      <c r="K16" s="181"/>
      <c r="L16" s="182"/>
      <c r="M16" s="58" t="s">
        <v>111</v>
      </c>
      <c r="N16"/>
      <c r="O16" s="41" t="s">
        <v>120</v>
      </c>
      <c r="P16" s="61" cm="1">
        <f t="array" ref="P16">IFERROR(K_STATS_StudentT_Cumulative(0,10),"IMPORT MODULES")</f>
        <v>0.5</v>
      </c>
      <c r="Q16" s="62" t="s">
        <v>77</v>
      </c>
      <c r="R16"/>
      <c r="S16"/>
    </row>
    <row r="17" spans="1:19" s="23" customFormat="1" ht="18" customHeight="1" x14ac:dyDescent="0.3">
      <c r="A17"/>
      <c r="B17"/>
      <c r="E17" s="33">
        <v>4</v>
      </c>
      <c r="F17" s="34" t="s">
        <v>121</v>
      </c>
      <c r="G17" s="180" t="s">
        <v>122</v>
      </c>
      <c r="H17" s="181"/>
      <c r="I17" s="182"/>
      <c r="J17" s="180" t="s">
        <v>123</v>
      </c>
      <c r="K17" s="181"/>
      <c r="L17" s="182"/>
      <c r="M17" s="58" t="s">
        <v>111</v>
      </c>
      <c r="N17"/>
      <c r="O17" s="43" t="s">
        <v>82</v>
      </c>
      <c r="P17" s="11" t="s">
        <v>124</v>
      </c>
      <c r="Q17" s="63" t="s">
        <v>125</v>
      </c>
      <c r="R17"/>
      <c r="S17"/>
    </row>
    <row r="18" spans="1:19" s="23" customFormat="1" ht="18" customHeight="1" x14ac:dyDescent="0.3">
      <c r="A18"/>
      <c r="B18"/>
      <c r="E18" s="35">
        <v>5</v>
      </c>
      <c r="F18" s="36" t="s">
        <v>126</v>
      </c>
      <c r="G18" s="177" t="s">
        <v>127</v>
      </c>
      <c r="H18" s="178"/>
      <c r="I18" s="179"/>
      <c r="J18" s="177" t="s">
        <v>128</v>
      </c>
      <c r="K18" s="178"/>
      <c r="L18" s="179"/>
      <c r="M18" s="59" t="s">
        <v>111</v>
      </c>
      <c r="N18"/>
    </row>
    <row r="19" spans="1:19" s="23" customFormat="1" ht="18" customHeight="1" x14ac:dyDescent="0.3">
      <c r="A19"/>
      <c r="B19"/>
    </row>
    <row r="20" spans="1:19" s="23" customFormat="1" ht="24.95" customHeight="1" x14ac:dyDescent="0.3">
      <c r="A20"/>
      <c r="B20"/>
      <c r="E20" s="25" t="s">
        <v>129</v>
      </c>
      <c r="F20" s="26"/>
      <c r="G20" s="26"/>
      <c r="H20" s="27"/>
      <c r="I20"/>
      <c r="J20" s="25" t="s">
        <v>130</v>
      </c>
      <c r="K20" s="26"/>
      <c r="L20" s="27"/>
      <c r="N20"/>
      <c r="O20"/>
    </row>
    <row r="21" spans="1:19" s="23" customFormat="1" ht="18" customHeight="1" x14ac:dyDescent="0.3">
      <c r="A21"/>
      <c r="B21"/>
      <c r="E21" s="29" t="s">
        <v>131</v>
      </c>
      <c r="F21" s="30" t="s">
        <v>132</v>
      </c>
      <c r="G21" s="31" t="s">
        <v>133</v>
      </c>
      <c r="H21" s="32"/>
      <c r="I21"/>
      <c r="J21" s="41" t="s">
        <v>134</v>
      </c>
      <c r="K21" s="165" t="s">
        <v>135</v>
      </c>
      <c r="L21" s="166"/>
      <c r="N21"/>
      <c r="O21"/>
    </row>
    <row r="22" spans="1:19" s="23" customFormat="1" ht="18" customHeight="1" x14ac:dyDescent="0.3">
      <c r="A22"/>
      <c r="B22"/>
      <c r="E22" s="33">
        <v>1</v>
      </c>
      <c r="F22" s="34" t="s">
        <v>124</v>
      </c>
      <c r="G22" s="37" t="s">
        <v>136</v>
      </c>
      <c r="H22" s="16"/>
      <c r="I22" s="28"/>
      <c r="J22" s="41" t="s">
        <v>76</v>
      </c>
      <c r="K22" s="163" t="s">
        <v>78</v>
      </c>
      <c r="L22" s="164"/>
      <c r="N22"/>
      <c r="O22"/>
    </row>
    <row r="23" spans="1:19" s="23" customFormat="1" ht="18" customHeight="1" x14ac:dyDescent="0.3">
      <c r="A23"/>
      <c r="B23"/>
      <c r="E23" s="33">
        <v>2</v>
      </c>
      <c r="F23" s="34" t="s">
        <v>137</v>
      </c>
      <c r="G23" s="37" t="s">
        <v>138</v>
      </c>
      <c r="H23" s="16"/>
      <c r="I23" s="28"/>
      <c r="J23" s="41" t="s">
        <v>139</v>
      </c>
      <c r="K23" s="163" t="s">
        <v>140</v>
      </c>
      <c r="L23" s="164"/>
      <c r="N23"/>
      <c r="O23"/>
    </row>
    <row r="24" spans="1:19" s="23" customFormat="1" ht="18" customHeight="1" x14ac:dyDescent="0.3">
      <c r="A24"/>
      <c r="B24"/>
      <c r="E24" s="33">
        <v>3</v>
      </c>
      <c r="F24" s="34" t="s">
        <v>141</v>
      </c>
      <c r="G24" s="37" t="s">
        <v>142</v>
      </c>
      <c r="H24" s="16"/>
      <c r="I24" s="28"/>
      <c r="J24" s="41" t="s">
        <v>143</v>
      </c>
      <c r="K24" s="163" t="s">
        <v>144</v>
      </c>
      <c r="L24" s="164"/>
      <c r="N24"/>
      <c r="O24"/>
    </row>
    <row r="25" spans="1:19" s="23" customFormat="1" ht="18" customHeight="1" x14ac:dyDescent="0.3">
      <c r="A25"/>
      <c r="B25"/>
      <c r="E25" s="33">
        <v>4</v>
      </c>
      <c r="F25" s="34" t="s">
        <v>145</v>
      </c>
      <c r="G25" s="37" t="s">
        <v>146</v>
      </c>
      <c r="H25" s="16"/>
      <c r="I25" s="28"/>
      <c r="J25" s="43" t="s">
        <v>147</v>
      </c>
      <c r="K25" s="161" t="s">
        <v>148</v>
      </c>
      <c r="L25" s="162"/>
      <c r="N25"/>
      <c r="O25"/>
    </row>
    <row r="26" spans="1:19" s="23" customFormat="1" ht="18" customHeight="1" x14ac:dyDescent="0.3">
      <c r="A26"/>
      <c r="B26"/>
      <c r="E26" s="33">
        <v>5</v>
      </c>
      <c r="F26" s="34" t="s">
        <v>149</v>
      </c>
      <c r="G26" s="37" t="s">
        <v>150</v>
      </c>
      <c r="H26" s="16"/>
      <c r="I26" s="28"/>
      <c r="J26"/>
      <c r="K26"/>
      <c r="L26"/>
      <c r="M26"/>
      <c r="N26"/>
    </row>
    <row r="27" spans="1:19" s="23" customFormat="1" ht="18" customHeight="1" x14ac:dyDescent="0.3">
      <c r="A27"/>
      <c r="B27"/>
      <c r="E27" s="33">
        <v>6</v>
      </c>
      <c r="F27" s="34" t="s">
        <v>151</v>
      </c>
      <c r="G27" s="37" t="s">
        <v>152</v>
      </c>
      <c r="H27" s="16"/>
      <c r="I27" s="28"/>
      <c r="J27"/>
      <c r="K27"/>
      <c r="L27"/>
      <c r="M27"/>
      <c r="N27"/>
    </row>
    <row r="28" spans="1:19" s="23" customFormat="1" ht="18" customHeight="1" x14ac:dyDescent="0.3">
      <c r="A28"/>
      <c r="B28"/>
      <c r="E28" s="35">
        <v>7</v>
      </c>
      <c r="F28" s="36" t="s">
        <v>153</v>
      </c>
      <c r="G28" s="39" t="s">
        <v>154</v>
      </c>
      <c r="H28" s="17"/>
      <c r="I28" s="28"/>
      <c r="J28"/>
      <c r="K28"/>
      <c r="L28"/>
      <c r="M28"/>
      <c r="N28"/>
    </row>
    <row r="29" spans="1:19" s="23" customFormat="1" ht="18" customHeight="1" x14ac:dyDescent="0.3">
      <c r="A29"/>
      <c r="B29"/>
    </row>
    <row r="30" spans="1:19" s="23" customFormat="1" ht="24.95" customHeight="1" x14ac:dyDescent="0.3">
      <c r="A30"/>
      <c r="B30"/>
      <c r="E30" s="25" t="s">
        <v>155</v>
      </c>
      <c r="F30" s="26"/>
      <c r="G30" s="27"/>
      <c r="H30"/>
      <c r="I30"/>
      <c r="J30" s="7" t="s">
        <v>156</v>
      </c>
      <c r="K30" s="21"/>
      <c r="L30" s="22"/>
      <c r="M30" s="22"/>
      <c r="N30" s="22"/>
      <c r="O30" s="22"/>
      <c r="P30" s="20"/>
      <c r="Q30"/>
    </row>
    <row r="31" spans="1:19" s="23" customFormat="1" ht="18" customHeight="1" x14ac:dyDescent="0.3">
      <c r="A31"/>
      <c r="B31"/>
      <c r="E31" s="29" t="s">
        <v>66</v>
      </c>
      <c r="F31" s="30" t="s">
        <v>157</v>
      </c>
      <c r="G31" s="60" t="s">
        <v>158</v>
      </c>
      <c r="H31"/>
      <c r="I31"/>
      <c r="J31" s="15" t="s">
        <v>159</v>
      </c>
      <c r="K31" s="47"/>
      <c r="L31" s="44" t="s">
        <v>160</v>
      </c>
      <c r="M31" s="48" t="s">
        <v>80</v>
      </c>
      <c r="N31" s="49"/>
      <c r="O31" s="49"/>
      <c r="P31" s="50"/>
      <c r="Q31"/>
    </row>
    <row r="32" spans="1:19" s="23" customFormat="1" ht="18" customHeight="1" x14ac:dyDescent="0.3">
      <c r="A32"/>
      <c r="B32"/>
      <c r="E32" s="8" t="s">
        <v>72</v>
      </c>
      <c r="F32" s="6" t="s">
        <v>161</v>
      </c>
      <c r="G32" s="9" t="s">
        <v>162</v>
      </c>
      <c r="H32"/>
      <c r="I32"/>
      <c r="J32" s="53" t="s">
        <v>163</v>
      </c>
      <c r="K32" s="51"/>
      <c r="L32" s="45" t="s">
        <v>81</v>
      </c>
      <c r="M32" s="18" t="s">
        <v>164</v>
      </c>
      <c r="N32" s="38"/>
      <c r="O32" s="38"/>
      <c r="P32" s="16"/>
      <c r="Q32"/>
    </row>
    <row r="33" spans="1:17" s="23" customFormat="1" ht="18" customHeight="1" x14ac:dyDescent="0.3">
      <c r="A33"/>
      <c r="B33"/>
      <c r="E33" s="8" t="s">
        <v>73</v>
      </c>
      <c r="F33" s="6" t="s">
        <v>165</v>
      </c>
      <c r="G33" s="9" t="s">
        <v>166</v>
      </c>
      <c r="H33"/>
      <c r="I33"/>
      <c r="J33" s="53" t="s">
        <v>167</v>
      </c>
      <c r="K33" s="51"/>
      <c r="L33" s="45" t="s">
        <v>81</v>
      </c>
      <c r="M33" s="18" t="s">
        <v>168</v>
      </c>
      <c r="N33" s="38"/>
      <c r="O33" s="38"/>
      <c r="P33" s="16"/>
      <c r="Q33"/>
    </row>
    <row r="34" spans="1:17" s="23" customFormat="1" ht="18" customHeight="1" x14ac:dyDescent="0.3">
      <c r="A34"/>
      <c r="B34"/>
      <c r="E34" s="8" t="s">
        <v>186</v>
      </c>
      <c r="F34" s="6" t="s">
        <v>169</v>
      </c>
      <c r="G34" s="9" t="s">
        <v>170</v>
      </c>
      <c r="H34"/>
      <c r="I34"/>
      <c r="J34" s="53" t="s">
        <v>171</v>
      </c>
      <c r="K34" s="51"/>
      <c r="L34" s="45" t="s">
        <v>81</v>
      </c>
      <c r="M34" s="18" t="s">
        <v>172</v>
      </c>
      <c r="N34" s="38"/>
      <c r="O34" s="38"/>
      <c r="P34" s="16"/>
      <c r="Q34"/>
    </row>
    <row r="35" spans="1:17" s="23" customFormat="1" ht="18" customHeight="1" x14ac:dyDescent="0.3">
      <c r="A35"/>
      <c r="B35"/>
      <c r="E35" s="8" t="s">
        <v>67</v>
      </c>
      <c r="F35" s="6" t="s">
        <v>173</v>
      </c>
      <c r="G35" s="9" t="s">
        <v>174</v>
      </c>
      <c r="H35"/>
      <c r="I35"/>
      <c r="J35" s="53" t="s">
        <v>175</v>
      </c>
      <c r="K35" s="51"/>
      <c r="L35" s="45" t="s">
        <v>176</v>
      </c>
      <c r="M35" s="18" t="s">
        <v>177</v>
      </c>
      <c r="N35" s="38"/>
      <c r="O35" s="38"/>
      <c r="P35" s="16"/>
      <c r="Q35"/>
    </row>
    <row r="36" spans="1:17" s="23" customFormat="1" ht="18" customHeight="1" x14ac:dyDescent="0.3">
      <c r="A36"/>
      <c r="B36"/>
      <c r="E36" s="8" t="s">
        <v>64</v>
      </c>
      <c r="F36" s="6" t="s">
        <v>178</v>
      </c>
      <c r="G36" s="9" t="s">
        <v>179</v>
      </c>
      <c r="H36"/>
      <c r="I36"/>
      <c r="J36" s="54" t="s">
        <v>180</v>
      </c>
      <c r="K36" s="52"/>
      <c r="L36" s="46" t="s">
        <v>181</v>
      </c>
      <c r="M36" s="19" t="s">
        <v>182</v>
      </c>
      <c r="N36" s="40"/>
      <c r="O36" s="40"/>
      <c r="P36" s="17"/>
      <c r="Q36"/>
    </row>
    <row r="37" spans="1:17" s="23" customFormat="1" ht="18" customHeight="1" x14ac:dyDescent="0.3">
      <c r="A37"/>
      <c r="B37"/>
      <c r="E37" s="8" t="s">
        <v>68</v>
      </c>
      <c r="F37" s="6" t="s">
        <v>65</v>
      </c>
      <c r="G37" s="9" t="s">
        <v>183</v>
      </c>
      <c r="H37"/>
      <c r="I37"/>
      <c r="J37"/>
      <c r="K37"/>
      <c r="L37"/>
    </row>
    <row r="38" spans="1:17" s="23" customFormat="1" ht="18" customHeight="1" x14ac:dyDescent="0.3">
      <c r="A38"/>
      <c r="B38"/>
      <c r="E38" s="8" t="s">
        <v>69</v>
      </c>
      <c r="F38" s="6" t="s">
        <v>173</v>
      </c>
      <c r="G38" s="9" t="s">
        <v>179</v>
      </c>
      <c r="H38"/>
      <c r="I38"/>
    </row>
    <row r="39" spans="1:17" s="23" customFormat="1" ht="18" customHeight="1" x14ac:dyDescent="0.3">
      <c r="A39"/>
      <c r="B39"/>
      <c r="E39" s="10" t="s">
        <v>70</v>
      </c>
      <c r="F39" s="11" t="s">
        <v>184</v>
      </c>
      <c r="G39" s="12" t="s">
        <v>185</v>
      </c>
      <c r="H39"/>
      <c r="I39"/>
    </row>
    <row r="40" spans="1:17" s="23" customFormat="1" ht="18" customHeight="1" x14ac:dyDescent="0.3">
      <c r="A40"/>
      <c r="B40"/>
    </row>
    <row r="41" spans="1:17" ht="18" customHeight="1" x14ac:dyDescent="0.3">
      <c r="A41"/>
      <c r="B41"/>
    </row>
    <row r="42" spans="1:17" ht="16.5" x14ac:dyDescent="0.3">
      <c r="A42"/>
      <c r="B42"/>
    </row>
    <row r="43" spans="1:17" ht="16.5" x14ac:dyDescent="0.3">
      <c r="A43"/>
      <c r="B43"/>
    </row>
    <row r="44" spans="1:17" ht="16.5" x14ac:dyDescent="0.3">
      <c r="A44"/>
      <c r="B44"/>
    </row>
    <row r="45" spans="1:17" ht="16.5" x14ac:dyDescent="0.3">
      <c r="A45"/>
      <c r="B45"/>
    </row>
    <row r="46" spans="1:17" ht="16.5" x14ac:dyDescent="0.3">
      <c r="A46"/>
      <c r="B46"/>
    </row>
    <row r="47" spans="1:17" ht="16.5" x14ac:dyDescent="0.3">
      <c r="A47"/>
      <c r="B47"/>
    </row>
    <row r="48" spans="1:17" ht="16.5" x14ac:dyDescent="0.3">
      <c r="A48"/>
      <c r="B48"/>
    </row>
    <row r="49" spans="1:2" ht="16.5" x14ac:dyDescent="0.3">
      <c r="A49"/>
      <c r="B49"/>
    </row>
    <row r="50" spans="1:2" ht="16.5" x14ac:dyDescent="0.3">
      <c r="A50"/>
      <c r="B50"/>
    </row>
    <row r="51" spans="1:2" ht="16.5" x14ac:dyDescent="0.3">
      <c r="A51"/>
      <c r="B51"/>
    </row>
    <row r="52" spans="1:2" ht="16.5" x14ac:dyDescent="0.3">
      <c r="A52"/>
      <c r="B52"/>
    </row>
    <row r="53" spans="1:2" ht="16.5" x14ac:dyDescent="0.3">
      <c r="A53"/>
      <c r="B53"/>
    </row>
    <row r="54" spans="1:2" ht="16.5" x14ac:dyDescent="0.3">
      <c r="A54"/>
      <c r="B54"/>
    </row>
    <row r="55" spans="1:2" ht="16.5" x14ac:dyDescent="0.3">
      <c r="A55"/>
      <c r="B55"/>
    </row>
    <row r="56" spans="1:2" ht="16.5" x14ac:dyDescent="0.3">
      <c r="A56"/>
      <c r="B56"/>
    </row>
    <row r="57" spans="1:2" ht="16.5" x14ac:dyDescent="0.3">
      <c r="A57"/>
      <c r="B57"/>
    </row>
    <row r="58" spans="1:2" ht="16.5" x14ac:dyDescent="0.3">
      <c r="A58"/>
      <c r="B58"/>
    </row>
    <row r="59" spans="1:2" ht="16.5" x14ac:dyDescent="0.3">
      <c r="A59"/>
      <c r="B59"/>
    </row>
    <row r="60" spans="1:2" ht="16.5" x14ac:dyDescent="0.3">
      <c r="A60"/>
      <c r="B60"/>
    </row>
    <row r="61" spans="1:2" ht="16.5" x14ac:dyDescent="0.3">
      <c r="A61"/>
      <c r="B61"/>
    </row>
    <row r="62" spans="1:2" ht="16.5" x14ac:dyDescent="0.3">
      <c r="A62"/>
      <c r="B62"/>
    </row>
    <row r="63" spans="1:2" ht="16.5" x14ac:dyDescent="0.3">
      <c r="A63"/>
      <c r="B63"/>
    </row>
    <row r="64" spans="1:2" ht="16.5" x14ac:dyDescent="0.3">
      <c r="A64"/>
      <c r="B64"/>
    </row>
    <row r="65" spans="1:2" ht="16.5" x14ac:dyDescent="0.3">
      <c r="A65"/>
      <c r="B65"/>
    </row>
    <row r="66" spans="1:2" ht="16.5" x14ac:dyDescent="0.3">
      <c r="A66"/>
      <c r="B66"/>
    </row>
    <row r="67" spans="1:2" ht="16.5" x14ac:dyDescent="0.3">
      <c r="A67"/>
      <c r="B67"/>
    </row>
    <row r="68" spans="1:2" ht="16.5" x14ac:dyDescent="0.3">
      <c r="A68"/>
      <c r="B68"/>
    </row>
    <row r="69" spans="1:2" ht="16.5" x14ac:dyDescent="0.3">
      <c r="A69"/>
      <c r="B69"/>
    </row>
    <row r="70" spans="1:2" ht="16.5" x14ac:dyDescent="0.3">
      <c r="A70"/>
      <c r="B70"/>
    </row>
    <row r="71" spans="1:2" ht="16.5" x14ac:dyDescent="0.3">
      <c r="A71"/>
      <c r="B71"/>
    </row>
    <row r="72" spans="1:2" ht="16.5" x14ac:dyDescent="0.3">
      <c r="A72"/>
      <c r="B72"/>
    </row>
    <row r="73" spans="1:2" ht="16.5" x14ac:dyDescent="0.3">
      <c r="A73"/>
      <c r="B73"/>
    </row>
    <row r="74" spans="1:2" ht="16.5" x14ac:dyDescent="0.3">
      <c r="A74"/>
      <c r="B74"/>
    </row>
    <row r="75" spans="1:2" ht="16.5" x14ac:dyDescent="0.3">
      <c r="A75"/>
      <c r="B75"/>
    </row>
    <row r="76" spans="1:2" ht="16.5" x14ac:dyDescent="0.3">
      <c r="A76"/>
      <c r="B76"/>
    </row>
    <row r="77" spans="1:2" ht="16.5" x14ac:dyDescent="0.3">
      <c r="A77"/>
      <c r="B77"/>
    </row>
    <row r="78" spans="1:2" ht="16.5" x14ac:dyDescent="0.3">
      <c r="A78"/>
      <c r="B78"/>
    </row>
    <row r="79" spans="1:2" ht="16.5" x14ac:dyDescent="0.3">
      <c r="A79"/>
      <c r="B79"/>
    </row>
    <row r="80" spans="1:2" ht="16.5" x14ac:dyDescent="0.3">
      <c r="A80"/>
      <c r="B80"/>
    </row>
    <row r="81" spans="1:2" ht="16.5" x14ac:dyDescent="0.3">
      <c r="A81"/>
      <c r="B81"/>
    </row>
    <row r="82" spans="1:2" ht="16.5" x14ac:dyDescent="0.3">
      <c r="A82"/>
      <c r="B82"/>
    </row>
    <row r="83" spans="1:2" ht="16.5" x14ac:dyDescent="0.3">
      <c r="A83"/>
      <c r="B83"/>
    </row>
    <row r="84" spans="1:2" ht="16.5" x14ac:dyDescent="0.3">
      <c r="A84"/>
      <c r="B84"/>
    </row>
    <row r="85" spans="1:2" ht="16.5" x14ac:dyDescent="0.3">
      <c r="A85"/>
      <c r="B85"/>
    </row>
    <row r="86" spans="1:2" ht="16.5" x14ac:dyDescent="0.3">
      <c r="A86"/>
      <c r="B86"/>
    </row>
    <row r="87" spans="1:2" ht="16.5" x14ac:dyDescent="0.3">
      <c r="A87"/>
      <c r="B87"/>
    </row>
    <row r="88" spans="1:2" ht="16.5" x14ac:dyDescent="0.3">
      <c r="A88"/>
      <c r="B88"/>
    </row>
    <row r="89" spans="1:2" ht="16.5" x14ac:dyDescent="0.3">
      <c r="A89"/>
      <c r="B89"/>
    </row>
    <row r="90" spans="1:2" ht="16.5" x14ac:dyDescent="0.3">
      <c r="A90"/>
      <c r="B90"/>
    </row>
    <row r="91" spans="1:2" ht="16.5" x14ac:dyDescent="0.3">
      <c r="A91"/>
      <c r="B91"/>
    </row>
    <row r="92" spans="1:2" ht="16.5" x14ac:dyDescent="0.3">
      <c r="A92"/>
      <c r="B92"/>
    </row>
    <row r="93" spans="1:2" ht="16.5" x14ac:dyDescent="0.3">
      <c r="A93"/>
      <c r="B93"/>
    </row>
    <row r="94" spans="1:2" ht="16.5" x14ac:dyDescent="0.3">
      <c r="A94"/>
      <c r="B94"/>
    </row>
    <row r="95" spans="1:2" ht="16.5" x14ac:dyDescent="0.3">
      <c r="A95"/>
      <c r="B95"/>
    </row>
    <row r="96" spans="1:2" ht="16.5" x14ac:dyDescent="0.3">
      <c r="A96"/>
      <c r="B96"/>
    </row>
    <row r="97" spans="1:2" ht="16.5" x14ac:dyDescent="0.3">
      <c r="A97"/>
      <c r="B97"/>
    </row>
    <row r="98" spans="1:2" ht="16.5" x14ac:dyDescent="0.3">
      <c r="A98"/>
      <c r="B98"/>
    </row>
    <row r="99" spans="1:2" ht="16.5" x14ac:dyDescent="0.3">
      <c r="A99"/>
      <c r="B99"/>
    </row>
    <row r="100" spans="1:2" ht="16.5" x14ac:dyDescent="0.3">
      <c r="A100"/>
      <c r="B100"/>
    </row>
    <row r="101" spans="1:2" ht="16.5" x14ac:dyDescent="0.3">
      <c r="A101"/>
      <c r="B101"/>
    </row>
    <row r="102" spans="1:2" ht="16.5" x14ac:dyDescent="0.3">
      <c r="A102"/>
      <c r="B102"/>
    </row>
    <row r="103" spans="1:2" ht="16.5" x14ac:dyDescent="0.3">
      <c r="A103"/>
      <c r="B103"/>
    </row>
    <row r="104" spans="1:2" ht="16.5" x14ac:dyDescent="0.3">
      <c r="A104"/>
      <c r="B104"/>
    </row>
    <row r="105" spans="1:2" ht="16.5" x14ac:dyDescent="0.3">
      <c r="A105"/>
      <c r="B105"/>
    </row>
    <row r="106" spans="1:2" ht="16.5" x14ac:dyDescent="0.3">
      <c r="A106"/>
      <c r="B106"/>
    </row>
    <row r="107" spans="1:2" ht="16.5" x14ac:dyDescent="0.3">
      <c r="A107"/>
      <c r="B107"/>
    </row>
    <row r="108" spans="1:2" ht="16.5" x14ac:dyDescent="0.3">
      <c r="A108"/>
      <c r="B108"/>
    </row>
    <row r="109" spans="1:2" ht="16.5" x14ac:dyDescent="0.3">
      <c r="A109"/>
      <c r="B109"/>
    </row>
    <row r="110" spans="1:2" ht="16.5" x14ac:dyDescent="0.3">
      <c r="A110"/>
      <c r="B110"/>
    </row>
    <row r="111" spans="1:2" ht="16.5" x14ac:dyDescent="0.3">
      <c r="A111"/>
      <c r="B111"/>
    </row>
    <row r="112" spans="1:2" ht="16.5" x14ac:dyDescent="0.3">
      <c r="A112"/>
      <c r="B112"/>
    </row>
    <row r="113" spans="1:2" ht="16.5" x14ac:dyDescent="0.3">
      <c r="A113"/>
      <c r="B113"/>
    </row>
    <row r="114" spans="1:2" ht="16.5" x14ac:dyDescent="0.3">
      <c r="A114"/>
      <c r="B114"/>
    </row>
    <row r="115" spans="1:2" ht="16.5" x14ac:dyDescent="0.3">
      <c r="A115"/>
      <c r="B115"/>
    </row>
    <row r="116" spans="1:2" ht="16.5" x14ac:dyDescent="0.3">
      <c r="A116"/>
      <c r="B116"/>
    </row>
    <row r="117" spans="1:2" ht="16.5" x14ac:dyDescent="0.3">
      <c r="A117"/>
      <c r="B117"/>
    </row>
    <row r="118" spans="1:2" ht="16.5" x14ac:dyDescent="0.3">
      <c r="A118"/>
      <c r="B118"/>
    </row>
    <row r="119" spans="1:2" ht="16.5" x14ac:dyDescent="0.3">
      <c r="A119"/>
      <c r="B119"/>
    </row>
    <row r="120" spans="1:2" ht="16.5" x14ac:dyDescent="0.3">
      <c r="A120"/>
      <c r="B120"/>
    </row>
    <row r="121" spans="1:2" ht="16.5" x14ac:dyDescent="0.3">
      <c r="A121"/>
      <c r="B121"/>
    </row>
    <row r="122" spans="1:2" ht="16.5" x14ac:dyDescent="0.3">
      <c r="A122"/>
      <c r="B122"/>
    </row>
    <row r="123" spans="1:2" ht="16.5" x14ac:dyDescent="0.3">
      <c r="A123"/>
      <c r="B123"/>
    </row>
    <row r="124" spans="1:2" ht="16.5" x14ac:dyDescent="0.3">
      <c r="A124"/>
      <c r="B124"/>
    </row>
    <row r="125" spans="1:2" ht="16.5" x14ac:dyDescent="0.3">
      <c r="A125"/>
      <c r="B125"/>
    </row>
    <row r="126" spans="1:2" ht="16.5" x14ac:dyDescent="0.3">
      <c r="A126"/>
      <c r="B126"/>
    </row>
    <row r="127" spans="1:2" ht="16.5" x14ac:dyDescent="0.3">
      <c r="A127"/>
      <c r="B127"/>
    </row>
    <row r="128" spans="1:2" ht="16.5" x14ac:dyDescent="0.3">
      <c r="A128"/>
      <c r="B128"/>
    </row>
    <row r="129" spans="1:2" ht="16.5" x14ac:dyDescent="0.3">
      <c r="A129"/>
      <c r="B129"/>
    </row>
    <row r="130" spans="1:2" ht="16.5" x14ac:dyDescent="0.3">
      <c r="A130"/>
      <c r="B130"/>
    </row>
    <row r="131" spans="1:2" ht="16.5" x14ac:dyDescent="0.3">
      <c r="A131"/>
      <c r="B131"/>
    </row>
    <row r="132" spans="1:2" ht="16.5" x14ac:dyDescent="0.3">
      <c r="A132"/>
      <c r="B132"/>
    </row>
    <row r="133" spans="1:2" ht="16.5" x14ac:dyDescent="0.3">
      <c r="A133"/>
      <c r="B133"/>
    </row>
    <row r="134" spans="1:2" ht="16.5" x14ac:dyDescent="0.3">
      <c r="A134"/>
      <c r="B134"/>
    </row>
    <row r="135" spans="1:2" ht="16.5" x14ac:dyDescent="0.3">
      <c r="A135"/>
      <c r="B135"/>
    </row>
    <row r="136" spans="1:2" ht="16.5" x14ac:dyDescent="0.3">
      <c r="A136"/>
      <c r="B136"/>
    </row>
    <row r="137" spans="1:2" ht="16.5" x14ac:dyDescent="0.3">
      <c r="A137"/>
      <c r="B137"/>
    </row>
    <row r="138" spans="1:2" ht="16.5" x14ac:dyDescent="0.3">
      <c r="A138"/>
      <c r="B138"/>
    </row>
    <row r="139" spans="1:2" ht="16.5" x14ac:dyDescent="0.3">
      <c r="A139"/>
      <c r="B139"/>
    </row>
    <row r="140" spans="1:2" ht="16.5" x14ac:dyDescent="0.3">
      <c r="A140"/>
      <c r="B140"/>
    </row>
    <row r="141" spans="1:2" ht="16.5" x14ac:dyDescent="0.3">
      <c r="A141"/>
      <c r="B141"/>
    </row>
    <row r="142" spans="1:2" ht="16.5" x14ac:dyDescent="0.3">
      <c r="A142"/>
      <c r="B142"/>
    </row>
    <row r="143" spans="1:2" ht="16.5" x14ac:dyDescent="0.3">
      <c r="A143"/>
      <c r="B143"/>
    </row>
    <row r="144" spans="1:2" ht="16.5" x14ac:dyDescent="0.3">
      <c r="A144"/>
      <c r="B144"/>
    </row>
    <row r="145" spans="1:2" ht="16.5" x14ac:dyDescent="0.3">
      <c r="A145"/>
      <c r="B145"/>
    </row>
    <row r="146" spans="1:2" ht="16.5" x14ac:dyDescent="0.3">
      <c r="A146"/>
      <c r="B146"/>
    </row>
    <row r="147" spans="1:2" ht="16.5" x14ac:dyDescent="0.3">
      <c r="A147"/>
      <c r="B147"/>
    </row>
    <row r="148" spans="1:2" ht="16.5" x14ac:dyDescent="0.3">
      <c r="A148"/>
      <c r="B148"/>
    </row>
    <row r="149" spans="1:2" ht="16.5" x14ac:dyDescent="0.3">
      <c r="A149"/>
      <c r="B149"/>
    </row>
    <row r="150" spans="1:2" ht="16.5" x14ac:dyDescent="0.3">
      <c r="A150"/>
      <c r="B150"/>
    </row>
    <row r="151" spans="1:2" ht="16.5" x14ac:dyDescent="0.3">
      <c r="A151"/>
      <c r="B151"/>
    </row>
    <row r="152" spans="1:2" ht="16.5" x14ac:dyDescent="0.3">
      <c r="A152"/>
      <c r="B152"/>
    </row>
    <row r="153" spans="1:2" ht="16.5" x14ac:dyDescent="0.3">
      <c r="A153"/>
      <c r="B153"/>
    </row>
    <row r="154" spans="1:2" ht="16.5" x14ac:dyDescent="0.3">
      <c r="A154"/>
      <c r="B154"/>
    </row>
    <row r="155" spans="1:2" ht="16.5" x14ac:dyDescent="0.3">
      <c r="A155"/>
      <c r="B155"/>
    </row>
    <row r="156" spans="1:2" ht="16.5" x14ac:dyDescent="0.3">
      <c r="A156"/>
      <c r="B156"/>
    </row>
    <row r="157" spans="1:2" ht="16.5" x14ac:dyDescent="0.3">
      <c r="A157"/>
      <c r="B157"/>
    </row>
    <row r="158" spans="1:2" ht="16.5" x14ac:dyDescent="0.3">
      <c r="A158"/>
      <c r="B158"/>
    </row>
    <row r="159" spans="1:2" ht="16.5" x14ac:dyDescent="0.3">
      <c r="A159"/>
      <c r="B159"/>
    </row>
    <row r="160" spans="1:2" ht="16.5" x14ac:dyDescent="0.3">
      <c r="A160"/>
      <c r="B160"/>
    </row>
    <row r="161" spans="1:2" ht="16.5" x14ac:dyDescent="0.3">
      <c r="A161"/>
      <c r="B161"/>
    </row>
    <row r="162" spans="1:2" ht="16.5" x14ac:dyDescent="0.3">
      <c r="A162"/>
      <c r="B162"/>
    </row>
    <row r="163" spans="1:2" ht="16.5" x14ac:dyDescent="0.3">
      <c r="A163"/>
      <c r="B163"/>
    </row>
    <row r="164" spans="1:2" ht="16.5" x14ac:dyDescent="0.3">
      <c r="A164"/>
      <c r="B164"/>
    </row>
    <row r="165" spans="1:2" ht="16.5" x14ac:dyDescent="0.3">
      <c r="A165"/>
      <c r="B165"/>
    </row>
    <row r="166" spans="1:2" ht="16.5" x14ac:dyDescent="0.3">
      <c r="A166"/>
      <c r="B166"/>
    </row>
    <row r="167" spans="1:2" ht="16.5" x14ac:dyDescent="0.3">
      <c r="A167"/>
      <c r="B167"/>
    </row>
    <row r="168" spans="1:2" ht="16.5" x14ac:dyDescent="0.3">
      <c r="A168"/>
      <c r="B168"/>
    </row>
    <row r="169" spans="1:2" ht="16.5" x14ac:dyDescent="0.3">
      <c r="A169"/>
      <c r="B169"/>
    </row>
    <row r="170" spans="1:2" ht="16.5" x14ac:dyDescent="0.3">
      <c r="A170"/>
      <c r="B170"/>
    </row>
    <row r="171" spans="1:2" ht="16.5" x14ac:dyDescent="0.3">
      <c r="A171"/>
      <c r="B171"/>
    </row>
    <row r="172" spans="1:2" ht="16.5" x14ac:dyDescent="0.3">
      <c r="A172"/>
      <c r="B172"/>
    </row>
    <row r="173" spans="1:2" ht="16.5" x14ac:dyDescent="0.3">
      <c r="A173"/>
      <c r="B173"/>
    </row>
    <row r="174" spans="1:2" ht="16.5" x14ac:dyDescent="0.3">
      <c r="A174"/>
      <c r="B174"/>
    </row>
    <row r="175" spans="1:2" ht="16.5" x14ac:dyDescent="0.3">
      <c r="A175"/>
      <c r="B175"/>
    </row>
    <row r="176" spans="1:2" ht="16.5" x14ac:dyDescent="0.3">
      <c r="A176"/>
      <c r="B176"/>
    </row>
    <row r="177" spans="1:2" ht="16.5" x14ac:dyDescent="0.3">
      <c r="A177"/>
      <c r="B177"/>
    </row>
    <row r="178" spans="1:2" ht="16.5" x14ac:dyDescent="0.3">
      <c r="A178"/>
      <c r="B178"/>
    </row>
    <row r="179" spans="1:2" ht="16.5" x14ac:dyDescent="0.3">
      <c r="A179"/>
      <c r="B179"/>
    </row>
    <row r="180" spans="1:2" ht="16.5" x14ac:dyDescent="0.3">
      <c r="A180"/>
      <c r="B180"/>
    </row>
    <row r="181" spans="1:2" ht="16.5" x14ac:dyDescent="0.3">
      <c r="A181"/>
      <c r="B181"/>
    </row>
    <row r="182" spans="1:2" ht="16.5" x14ac:dyDescent="0.3">
      <c r="A182"/>
      <c r="B182"/>
    </row>
    <row r="183" spans="1:2" ht="16.5" x14ac:dyDescent="0.3">
      <c r="A183"/>
      <c r="B183"/>
    </row>
    <row r="184" spans="1:2" ht="16.5" x14ac:dyDescent="0.3">
      <c r="A184"/>
      <c r="B184"/>
    </row>
    <row r="185" spans="1:2" ht="16.5" x14ac:dyDescent="0.3">
      <c r="A185"/>
      <c r="B185"/>
    </row>
    <row r="186" spans="1:2" ht="16.5" x14ac:dyDescent="0.3">
      <c r="A186"/>
      <c r="B186"/>
    </row>
    <row r="187" spans="1:2" ht="16.5" x14ac:dyDescent="0.3">
      <c r="A187"/>
      <c r="B187"/>
    </row>
    <row r="188" spans="1:2" ht="16.5" x14ac:dyDescent="0.3">
      <c r="A188"/>
      <c r="B188"/>
    </row>
    <row r="189" spans="1:2" ht="16.5" x14ac:dyDescent="0.3">
      <c r="A189"/>
      <c r="B189"/>
    </row>
    <row r="190" spans="1:2" ht="16.5" x14ac:dyDescent="0.3">
      <c r="A190"/>
      <c r="B190"/>
    </row>
    <row r="191" spans="1:2" ht="16.5" x14ac:dyDescent="0.3">
      <c r="A191"/>
      <c r="B191"/>
    </row>
    <row r="192" spans="1:2" ht="16.5" x14ac:dyDescent="0.3">
      <c r="A192"/>
      <c r="B192"/>
    </row>
    <row r="193" spans="1:2" ht="16.5" x14ac:dyDescent="0.3">
      <c r="A193"/>
      <c r="B193"/>
    </row>
    <row r="194" spans="1:2" ht="16.5" x14ac:dyDescent="0.3">
      <c r="A194"/>
      <c r="B194"/>
    </row>
    <row r="195" spans="1:2" ht="16.5" x14ac:dyDescent="0.3">
      <c r="A195"/>
      <c r="B195"/>
    </row>
    <row r="196" spans="1:2" ht="16.5" x14ac:dyDescent="0.3">
      <c r="A196"/>
      <c r="B196"/>
    </row>
    <row r="197" spans="1:2" ht="16.5" x14ac:dyDescent="0.3">
      <c r="A197"/>
      <c r="B197"/>
    </row>
    <row r="198" spans="1:2" ht="16.5" x14ac:dyDescent="0.3">
      <c r="A198"/>
      <c r="B198"/>
    </row>
    <row r="199" spans="1:2" ht="16.5" x14ac:dyDescent="0.3">
      <c r="A199"/>
      <c r="B199"/>
    </row>
    <row r="200" spans="1:2" ht="16.5" x14ac:dyDescent="0.3">
      <c r="A200"/>
      <c r="B200"/>
    </row>
  </sheetData>
  <mergeCells count="30">
    <mergeCell ref="G13:I13"/>
    <mergeCell ref="J13:L13"/>
    <mergeCell ref="G14:I14"/>
    <mergeCell ref="G16:I16"/>
    <mergeCell ref="G17:I17"/>
    <mergeCell ref="J17:L17"/>
    <mergeCell ref="G18:I18"/>
    <mergeCell ref="G15:I15"/>
    <mergeCell ref="J14:L14"/>
    <mergeCell ref="J15:L15"/>
    <mergeCell ref="J16:L16"/>
    <mergeCell ref="J18:L18"/>
    <mergeCell ref="J7:K7"/>
    <mergeCell ref="J8:K8"/>
    <mergeCell ref="J9:K9"/>
    <mergeCell ref="J10:K10"/>
    <mergeCell ref="A1:B1"/>
    <mergeCell ref="A2:B2"/>
    <mergeCell ref="J5:K5"/>
    <mergeCell ref="J6:K6"/>
    <mergeCell ref="L6:O6"/>
    <mergeCell ref="L7:O7"/>
    <mergeCell ref="L8:O8"/>
    <mergeCell ref="L9:O9"/>
    <mergeCell ref="L10:O10"/>
    <mergeCell ref="K25:L25"/>
    <mergeCell ref="K22:L22"/>
    <mergeCell ref="K23:L23"/>
    <mergeCell ref="K24:L24"/>
    <mergeCell ref="K21:L21"/>
  </mergeCells>
  <conditionalFormatting sqref="F5">
    <cfRule type="expression" dxfId="25" priority="1">
      <formula>F5="INSTALLED AND ACTIVE"</formula>
    </cfRule>
    <cfRule type="expression" dxfId="24" priority="2">
      <formula>F5&lt;&gt;"INSTALLED AND ACTIVE"</formula>
    </cfRule>
  </conditionalFormatting>
  <hyperlinks>
    <hyperlink ref="B3" location="'Sheet16'!D1" display="Sheet16" xr:uid="{88DE61D7-A264-401D-B3DD-F9D07E03EABD}"/>
    <hyperlink ref="B4" location="'SETUP'!D1" display="SETUP" xr:uid="{842A74DA-D7F2-492E-83F7-7EF91AD0C880}"/>
    <hyperlink ref="B5" location="'NORMAL'!D1" display="NORMAL" xr:uid="{C343E093-588F-4D39-A8EA-873D42489C99}"/>
    <hyperlink ref="B6" location="'LOGNORMAL'!D1" display="LOGNORMAL" xr:uid="{E74AD603-6120-418F-AFA3-6005D655BE05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0F65-DF18-4698-AD51-117BD0F90B21}">
  <sheetPr codeName="Sheet2">
    <tabColor rgb="FF00B050"/>
    <pageSetUpPr autoPageBreaks="0"/>
  </sheetPr>
  <dimension ref="A1:S200"/>
  <sheetViews>
    <sheetView showGridLine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59" t="s">
        <v>198</v>
      </c>
      <c r="B1" s="159"/>
      <c r="D1" s="117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60" t="s">
        <v>199</v>
      </c>
      <c r="B2" s="160"/>
      <c r="D2" s="116" t="s">
        <v>193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2" t="s">
        <v>208</v>
      </c>
      <c r="B3" s="121" t="s">
        <v>209</v>
      </c>
    </row>
    <row r="4" spans="1:19" ht="21.95" customHeight="1" x14ac:dyDescent="0.3">
      <c r="A4" s="123" t="s">
        <v>204</v>
      </c>
      <c r="B4" s="119" t="s">
        <v>205</v>
      </c>
      <c r="E4" s="207" t="s">
        <v>1</v>
      </c>
      <c r="F4" s="208"/>
      <c r="G4" s="208"/>
      <c r="H4" s="209"/>
      <c r="J4" s="202" t="s">
        <v>2</v>
      </c>
      <c r="K4" s="203"/>
      <c r="L4" s="203"/>
      <c r="M4" s="203"/>
      <c r="N4" s="203"/>
      <c r="O4" s="203"/>
      <c r="P4" s="203"/>
      <c r="Q4" s="204"/>
    </row>
    <row r="5" spans="1:19" ht="21.95" customHeight="1" x14ac:dyDescent="0.3">
      <c r="A5" s="122" t="s">
        <v>206</v>
      </c>
      <c r="B5" s="121" t="s">
        <v>207</v>
      </c>
      <c r="E5" s="41" t="s">
        <v>3</v>
      </c>
      <c r="F5" s="64">
        <v>0</v>
      </c>
      <c r="G5" s="210" t="s">
        <v>4</v>
      </c>
      <c r="H5" s="211"/>
      <c r="J5" s="93" t="s">
        <v>5</v>
      </c>
      <c r="K5" s="197" t="s">
        <v>8</v>
      </c>
      <c r="L5" s="197"/>
      <c r="M5" s="93" t="s">
        <v>6</v>
      </c>
      <c r="N5" s="93" t="s">
        <v>7</v>
      </c>
      <c r="O5" s="93" t="s">
        <v>212</v>
      </c>
      <c r="P5" s="93" t="s">
        <v>211</v>
      </c>
      <c r="Q5" s="93" t="s">
        <v>213</v>
      </c>
    </row>
    <row r="6" spans="1:19" ht="21.95" customHeight="1" x14ac:dyDescent="0.3">
      <c r="A6" s="122" t="s">
        <v>214</v>
      </c>
      <c r="B6" s="121" t="s">
        <v>335</v>
      </c>
      <c r="E6" s="41" t="s">
        <v>9</v>
      </c>
      <c r="F6" s="65">
        <v>1</v>
      </c>
      <c r="G6" s="193" t="s">
        <v>10</v>
      </c>
      <c r="H6" s="194"/>
      <c r="J6" s="129" t="s">
        <v>11</v>
      </c>
      <c r="K6" s="198" t="s">
        <v>12</v>
      </c>
      <c r="L6" s="199"/>
      <c r="M6" s="138" cm="1">
        <f t="array" ref="M6">IFERROR(K_STATS_Normal_Density($F$7,$F$5,$F$6),"IMPORT MODULES")</f>
        <v>5.8440944333451469E-2</v>
      </c>
      <c r="N6" s="139">
        <f>_xlfn.NORM.DIST($F$7,$F$5,$F$6,FALSE)</f>
        <v>5.8440944333451469E-2</v>
      </c>
      <c r="O6" s="139" cm="1" vm="1">
        <f t="array" ref="O6">_xlfn._xlws.PY(0,1,F7,F5,F6)</f>
        <v>5.8440944333451476E-2</v>
      </c>
      <c r="P6" s="131">
        <f>IF(AND(ISNUMBER(M6),ISNUMBER(N6)),ABS(M6-N6),"")</f>
        <v>0</v>
      </c>
      <c r="Q6" s="131">
        <f>IF(AND(ISNUMBER(M6),ISNUMBER(O6)),ABS(N6-O6),"")</f>
        <v>6.9388939039072284E-18</v>
      </c>
    </row>
    <row r="7" spans="1:19" ht="18" customHeight="1" x14ac:dyDescent="0.3">
      <c r="A7" s="115"/>
      <c r="B7" s="115"/>
      <c r="E7" s="41" t="s">
        <v>13</v>
      </c>
      <c r="F7" s="65">
        <v>1.96</v>
      </c>
      <c r="G7" s="193" t="s">
        <v>14</v>
      </c>
      <c r="H7" s="194"/>
      <c r="J7" s="68" t="s">
        <v>15</v>
      </c>
      <c r="K7" s="200" t="s">
        <v>16</v>
      </c>
      <c r="L7" s="201"/>
      <c r="M7" s="136" cm="1">
        <f t="array" ref="M7">IFERROR(K_STATS_Normal_Cumulative($F$7,$F$5,$F$6),"IMPORT MODULES")</f>
        <v>0.97500210485177952</v>
      </c>
      <c r="N7" s="134">
        <f>_xlfn.NORM.DIST($F$7,$F$5,$F$6,TRUE)</f>
        <v>0.97500210485177952</v>
      </c>
      <c r="O7" s="140" cm="1" vm="2">
        <f t="array" ref="O7">_xlfn._xlws.PY(1,1,F7,F5,F6)</f>
        <v>0.97500210485177952</v>
      </c>
      <c r="P7" s="132">
        <f>IF(AND(ISNUMBER(M7),ISNUMBER(N7)),ABS(M7-N7),"")</f>
        <v>0</v>
      </c>
      <c r="Q7" s="132">
        <f>IF(AND(ISNUMBER(M7),ISNUMBER(O7)),ABS(N7-O7),"")</f>
        <v>0</v>
      </c>
    </row>
    <row r="8" spans="1:19" ht="18" customHeight="1" x14ac:dyDescent="0.3">
      <c r="A8" s="115"/>
      <c r="B8" s="115"/>
      <c r="E8" s="41" t="s">
        <v>17</v>
      </c>
      <c r="F8" s="65">
        <v>0.01</v>
      </c>
      <c r="G8" s="193" t="s">
        <v>18</v>
      </c>
      <c r="H8" s="194"/>
      <c r="J8" s="68" t="s">
        <v>19</v>
      </c>
      <c r="K8" s="200" t="s">
        <v>20</v>
      </c>
      <c r="L8" s="201"/>
      <c r="M8" s="136" cm="1">
        <f t="array" ref="M8">IFERROR(K_STATS_Normal_InverseCumulative($F$8,$F$5,$F$6),"IMPORT MODULES")</f>
        <v>-2.3263478740408408</v>
      </c>
      <c r="N8" s="134">
        <f>_xlfn.NORM.INV($F$8,$F$5,$F$6)</f>
        <v>-2.3263478740408408</v>
      </c>
      <c r="O8" s="134" cm="1" vm="3">
        <f t="array" ref="O8">_xlfn._xlws.PY(2,1,F8,F5,F6)</f>
        <v>-2.3263478740408408</v>
      </c>
      <c r="P8" s="132">
        <f>IF(AND(ISNUMBER(M8),ISNUMBER(N8)),ABS(M8-N8),"")</f>
        <v>0</v>
      </c>
      <c r="Q8" s="132">
        <f>IF(AND(ISNUMBER(M8),ISNUMBER(O8)),ABS(N8-O8),"")</f>
        <v>0</v>
      </c>
    </row>
    <row r="9" spans="1:19" ht="18" customHeight="1" x14ac:dyDescent="0.3">
      <c r="A9" s="115"/>
      <c r="B9" s="115"/>
      <c r="E9" s="41" t="s">
        <v>21</v>
      </c>
      <c r="F9" s="65">
        <f>F11-3</f>
        <v>-7</v>
      </c>
      <c r="G9" s="193" t="s">
        <v>22</v>
      </c>
      <c r="H9" s="194"/>
      <c r="J9" s="68" t="s">
        <v>23</v>
      </c>
      <c r="K9" s="200" t="s">
        <v>24</v>
      </c>
      <c r="L9" s="201"/>
      <c r="M9" s="136" cm="1">
        <f t="array" ref="M9">IFERROR(K_STATS_Normal_ZScore($F$7,$F$5,$F$6),"IMPORT MODULES")</f>
        <v>1.96</v>
      </c>
      <c r="N9" s="134">
        <f>STANDARDIZE($F$7,$F$5,$F$6)</f>
        <v>1.96</v>
      </c>
      <c r="O9" s="141" cm="1" vm="4">
        <f t="array" ref="O9">_xlfn._xlws.PY(3,1,F7,F5,F6)</f>
        <v>1.96</v>
      </c>
      <c r="P9" s="132">
        <f>IF(AND(ISNUMBER(M9),ISNUMBER(N9)),ABS(M9-N9),"")</f>
        <v>0</v>
      </c>
      <c r="Q9" s="132">
        <f>IF(AND(ISNUMBER(M9),ISNUMBER(O9)),ABS(N9-O9),"")</f>
        <v>0</v>
      </c>
    </row>
    <row r="10" spans="1:19" ht="18" customHeight="1" x14ac:dyDescent="0.3">
      <c r="A10" s="115"/>
      <c r="B10" s="115"/>
      <c r="E10" s="41" t="s">
        <v>25</v>
      </c>
      <c r="F10" s="65">
        <f>F12+3</f>
        <v>7</v>
      </c>
      <c r="G10" s="193" t="s">
        <v>26</v>
      </c>
      <c r="H10" s="194"/>
      <c r="J10" s="69" t="s">
        <v>27</v>
      </c>
      <c r="K10" s="205" t="s">
        <v>28</v>
      </c>
      <c r="L10" s="206"/>
      <c r="M10" s="137" cm="1">
        <f t="array" ref="M10">IFERROR(K_STATS_Normal_IntervalProbability($F$9,$F$10,$F$5,$F$6),"IMPORT MODULES")</f>
        <v>0.99999999999744038</v>
      </c>
      <c r="N10" s="135">
        <f>_xlfn.NORM.DIST($F$10,$F$5,$F$6,TRUE)-_xlfn.NORM.DIST($F$9,$F$5,$F$6,TRUE)</f>
        <v>0.99999999999744027</v>
      </c>
      <c r="O10" s="142" cm="1" vm="5">
        <f t="array" ref="O10">_xlfn._xlws.PY(4,1,F9,F5,F6,F10,F5,F6)</f>
        <v>0.99999999999744027</v>
      </c>
      <c r="P10" s="133">
        <f>IF(AND(ISNUMBER(M10),ISNUMBER(N10)),ABS(M10-N10),"")</f>
        <v>1.1102230246251565E-16</v>
      </c>
      <c r="Q10" s="133">
        <f>IF(AND(ISNUMBER(M10),ISNUMBER(O10)),ABS(N10-O10),"")</f>
        <v>0</v>
      </c>
    </row>
    <row r="11" spans="1:19" ht="18" customHeight="1" x14ac:dyDescent="0.3">
      <c r="A11" s="115"/>
      <c r="B11" s="115"/>
      <c r="E11" s="41" t="s">
        <v>29</v>
      </c>
      <c r="F11" s="65">
        <f>F5-4</f>
        <v>-4</v>
      </c>
      <c r="G11" s="193" t="s">
        <v>188</v>
      </c>
      <c r="H11" s="194"/>
    </row>
    <row r="12" spans="1:19" ht="18" customHeight="1" x14ac:dyDescent="0.3">
      <c r="A12" s="124"/>
      <c r="B12" s="124"/>
      <c r="E12" s="43" t="s">
        <v>31</v>
      </c>
      <c r="F12" s="66">
        <f>F5+4</f>
        <v>4</v>
      </c>
      <c r="G12" s="195" t="s">
        <v>187</v>
      </c>
      <c r="H12" s="196"/>
      <c r="J12" s="125" t="str">
        <f>HYPERLINK("#C113","▼ See deep-tail demo: where Excel survival collapses to 0")</f>
        <v>▼ See deep-tail demo: where Excel survival collapses to 0</v>
      </c>
      <c r="K12" s="106"/>
      <c r="L12" s="107"/>
    </row>
    <row r="13" spans="1:19" ht="18" customHeight="1" x14ac:dyDescent="0.3">
      <c r="A13" s="124"/>
      <c r="B13" s="124"/>
    </row>
    <row r="14" spans="1:19" ht="18" customHeight="1" x14ac:dyDescent="0.3">
      <c r="A14" s="124"/>
      <c r="B14" s="124"/>
    </row>
    <row r="15" spans="1:19" ht="18" customHeight="1" x14ac:dyDescent="0.3">
      <c r="A15" s="124"/>
      <c r="B15" s="124"/>
    </row>
    <row r="16" spans="1:19" ht="18" customHeight="1" x14ac:dyDescent="0.3">
      <c r="A16" s="124"/>
      <c r="B16" s="124"/>
    </row>
    <row r="17" spans="1:18" ht="18" customHeight="1" x14ac:dyDescent="0.3">
      <c r="A17" s="124"/>
      <c r="B17" s="124"/>
    </row>
    <row r="18" spans="1:18" ht="18" customHeight="1" x14ac:dyDescent="0.3">
      <c r="A18" s="124"/>
      <c r="B18" s="124"/>
    </row>
    <row r="19" spans="1:18" ht="18" customHeight="1" x14ac:dyDescent="0.3">
      <c r="A19" s="124"/>
      <c r="B19" s="124"/>
    </row>
    <row r="20" spans="1:18" ht="18" customHeight="1" x14ac:dyDescent="0.3">
      <c r="A20" s="124"/>
      <c r="B20" s="124"/>
    </row>
    <row r="21" spans="1:18" ht="18" customHeight="1" x14ac:dyDescent="0.3">
      <c r="A21" s="124"/>
      <c r="B21" s="124"/>
    </row>
    <row r="22" spans="1:18" ht="18" customHeight="1" x14ac:dyDescent="0.3">
      <c r="A22" s="124"/>
      <c r="B22" s="124"/>
    </row>
    <row r="23" spans="1:18" ht="18" customHeight="1" x14ac:dyDescent="0.3">
      <c r="A23" s="124"/>
      <c r="B23" s="124"/>
    </row>
    <row r="24" spans="1:18" ht="18" customHeight="1" x14ac:dyDescent="0.3">
      <c r="A24" s="124"/>
      <c r="B24" s="124"/>
    </row>
    <row r="25" spans="1:18" ht="18" customHeight="1" x14ac:dyDescent="0.3">
      <c r="A25" s="124"/>
      <c r="B25" s="124"/>
    </row>
    <row r="26" spans="1:18" ht="18" customHeight="1" x14ac:dyDescent="0.3">
      <c r="A26" s="124"/>
      <c r="B26" s="124"/>
    </row>
    <row r="27" spans="1:18" ht="18" customHeight="1" x14ac:dyDescent="0.3">
      <c r="A27" s="124"/>
      <c r="B27" s="124"/>
    </row>
    <row r="28" spans="1:18" ht="18" customHeight="1" x14ac:dyDescent="0.3">
      <c r="A28" s="124"/>
      <c r="B28" s="124"/>
    </row>
    <row r="29" spans="1:18" ht="24.95" customHeight="1" x14ac:dyDescent="0.3">
      <c r="A29" s="124"/>
      <c r="B29" s="124"/>
      <c r="E29" s="71"/>
      <c r="F29" s="186" t="s">
        <v>43</v>
      </c>
      <c r="G29" s="186"/>
      <c r="H29" s="186"/>
      <c r="I29" s="187" t="s">
        <v>44</v>
      </c>
      <c r="J29" s="187"/>
      <c r="K29" s="187"/>
      <c r="L29" s="188" t="s">
        <v>45</v>
      </c>
      <c r="M29" s="189"/>
      <c r="N29" s="190"/>
      <c r="O29" s="191" t="s">
        <v>189</v>
      </c>
      <c r="P29" s="192"/>
      <c r="Q29" s="192"/>
      <c r="R29" s="192"/>
    </row>
    <row r="30" spans="1:18" ht="24.95" customHeight="1" x14ac:dyDescent="0.3">
      <c r="A30" s="124"/>
      <c r="B30" s="124"/>
      <c r="E30" s="85" t="s">
        <v>33</v>
      </c>
      <c r="F30" s="72" t="s">
        <v>34</v>
      </c>
      <c r="G30" s="73" t="s">
        <v>35</v>
      </c>
      <c r="H30" s="74" t="s">
        <v>36</v>
      </c>
      <c r="I30" s="72" t="s">
        <v>37</v>
      </c>
      <c r="J30" s="73" t="s">
        <v>38</v>
      </c>
      <c r="K30" s="74" t="s">
        <v>39</v>
      </c>
      <c r="L30" s="72" t="s">
        <v>40</v>
      </c>
      <c r="M30" s="73" t="s">
        <v>41</v>
      </c>
      <c r="N30" s="74" t="s">
        <v>42</v>
      </c>
      <c r="O30" s="86" t="s">
        <v>71</v>
      </c>
      <c r="P30" s="72" t="s">
        <v>190</v>
      </c>
      <c r="Q30" s="73" t="s">
        <v>191</v>
      </c>
      <c r="R30" s="74" t="s">
        <v>192</v>
      </c>
    </row>
    <row r="31" spans="1:18" ht="18" customHeight="1" x14ac:dyDescent="0.3">
      <c r="A31" s="124"/>
      <c r="B31" s="124"/>
      <c r="E31" s="75" cm="1">
        <f t="array" ref="E31:E111">_xlfn.SEQUENCE(81, 1, $F$11, ($F$12-$F$11)/80)</f>
        <v>-4</v>
      </c>
      <c r="F31" s="87" cm="1">
        <f t="array" ref="F31:F111">_xlfn.NORM.DIST(_xlfn.ANCHORARRAY(E31),$F$5,$F$6,FALSE)</f>
        <v>1.3383022576488537E-4</v>
      </c>
      <c r="G31" s="87" cm="1">
        <f t="array" ref="G31">IFERROR(K_STATS_Normal_Density(E31,$F$5,$F$6),"")</f>
        <v>1.3383022576488537E-4</v>
      </c>
      <c r="H31" s="76" cm="1">
        <f t="array" ref="H31:H111">IF(AND(ISNUMBER(F31),ISNUMBER(G31)),ABS(_xlfn.ANCHORARRAY(F31)-G31:G111),"")</f>
        <v>0</v>
      </c>
      <c r="I31" s="87" cm="1">
        <f t="array" ref="I31:I111">_xlfn.NORM.DIST(_xlfn.ANCHORARRAY(E31),$F$5,$F$6,TRUE)</f>
        <v>3.1671241833119857E-5</v>
      </c>
      <c r="J31" s="87" cm="1">
        <f t="array" ref="J31">IFERROR(K_STATS_Normal_Cumulative(E31,$F$5,$F$6),"")</f>
        <v>3.1671241833116008E-5</v>
      </c>
      <c r="K31" s="77" cm="1">
        <f t="array" ref="K31:K111">IF(AND(ISNUMBER(I31),ISNUMBER(J31)),ABS(_xlfn.ANCHORARRAY(I31)-J31:J111),"")</f>
        <v>3.8489177123235407E-18</v>
      </c>
      <c r="L31" s="87" cm="1">
        <f t="array" ref="L31:L111">IF(ISNUMBER(I31),1-_xlfn.ANCHORARRAY(I31),"")</f>
        <v>0.99996832875816688</v>
      </c>
      <c r="M31" s="88" cm="1">
        <f t="array" ref="M31">IFERROR(K_STATS_Normal_Survival(E31,$F$5,$F$6),"")</f>
        <v>0.99996832875816688</v>
      </c>
      <c r="N31" s="79" cm="1">
        <f t="array" ref="N31:N111">IF(AND(ISNUMBER(L31),ISNUMBER(M31)),ABS(_xlfn.ANCHORARRAY(L31)-M31:M111),"")</f>
        <v>0</v>
      </c>
      <c r="O31" s="91" cm="1">
        <f t="array" ref="O31:O111">_xlfn.ANCHORARRAY(I31)</f>
        <v>3.1671241833119857E-5</v>
      </c>
      <c r="P31" s="88" cm="1">
        <f t="array" ref="P31:P111">_xlfn.NORM.INV(_xlfn.ANCHORARRAY(I31), $F$5, $F$6)</f>
        <v>-4</v>
      </c>
      <c r="Q31" s="88" cm="1">
        <f t="array" ref="Q31">K_STATS_Normal_InverseCumulative(J31, $F$5, $F$6)</f>
        <v>-4</v>
      </c>
      <c r="R31" s="90" cm="1">
        <f t="array" ref="R31:R111">ABS(_xlfn.ANCHORARRAY(P31)-Q31:Q111)</f>
        <v>0</v>
      </c>
    </row>
    <row r="32" spans="1:18" ht="18" customHeight="1" x14ac:dyDescent="0.3">
      <c r="A32" s="124"/>
      <c r="B32" s="124"/>
      <c r="E32" s="78">
        <v>-3.9</v>
      </c>
      <c r="F32" s="88">
        <v>1.9865547139277272E-4</v>
      </c>
      <c r="G32" s="88">
        <f t="shared" ref="G32:G63" si="0">IFERROR(K_STATS_Normal_Density(E32,$F$5,$F$6),"")</f>
        <v>1.9865547139277272E-4</v>
      </c>
      <c r="H32" s="67">
        <v>0</v>
      </c>
      <c r="I32" s="88">
        <v>4.8096344017602614E-5</v>
      </c>
      <c r="J32" s="88">
        <f t="shared" ref="J32:J63" si="1">IFERROR(K_STATS_Normal_Cumulative(E32,$F$5,$F$6),"")</f>
        <v>4.809634401759119E-5</v>
      </c>
      <c r="K32" s="79">
        <v>1.1424780392566003E-17</v>
      </c>
      <c r="L32" s="88">
        <v>0.99995190365598241</v>
      </c>
      <c r="M32" s="88" cm="1">
        <f t="array" ref="M32">IFERROR(K_STATS_Normal_Survival(E32,$F$5,$F$6),"")</f>
        <v>0.99995190365598241</v>
      </c>
      <c r="N32" s="79">
        <v>0</v>
      </c>
      <c r="O32" s="91">
        <v>4.8096344017602614E-5</v>
      </c>
      <c r="P32" s="88">
        <v>-3.9000000000000004</v>
      </c>
      <c r="Q32" s="88" cm="1">
        <f t="array" ref="Q32">K_STATS_Normal_InverseCumulative(J32, $F$5, $F$6)</f>
        <v>-3.9</v>
      </c>
      <c r="R32" s="90">
        <v>4.4408920985006262E-16</v>
      </c>
    </row>
    <row r="33" spans="1:18" ht="18" customHeight="1" x14ac:dyDescent="0.3">
      <c r="A33" s="124"/>
      <c r="B33" s="124"/>
      <c r="E33" s="78">
        <v>-3.8</v>
      </c>
      <c r="F33" s="88">
        <v>2.9194692579146027E-4</v>
      </c>
      <c r="G33" s="88">
        <f t="shared" si="0"/>
        <v>2.9194692579146027E-4</v>
      </c>
      <c r="H33" s="67">
        <v>0</v>
      </c>
      <c r="I33" s="88">
        <v>7.234804392511999E-5</v>
      </c>
      <c r="J33" s="88">
        <f t="shared" si="1"/>
        <v>7.234804392510225E-5</v>
      </c>
      <c r="K33" s="79">
        <v>1.7740258047294066E-17</v>
      </c>
      <c r="L33" s="88">
        <v>0.99992765195607491</v>
      </c>
      <c r="M33" s="88" cm="1">
        <f t="array" ref="M33">IFERROR(K_STATS_Normal_Survival(E33,$F$5,$F$6),"")</f>
        <v>0.99992765195607491</v>
      </c>
      <c r="N33" s="79">
        <v>0</v>
      </c>
      <c r="O33" s="91">
        <v>7.234804392511999E-5</v>
      </c>
      <c r="P33" s="88">
        <v>-3.8</v>
      </c>
      <c r="Q33" s="88" cm="1">
        <f t="array" ref="Q33">K_STATS_Normal_InverseCumulative(J33, $F$5, $F$6)</f>
        <v>-3.8</v>
      </c>
      <c r="R33" s="90">
        <v>0</v>
      </c>
    </row>
    <row r="34" spans="1:18" ht="18" customHeight="1" x14ac:dyDescent="0.3">
      <c r="A34" s="124"/>
      <c r="B34" s="124"/>
      <c r="E34" s="78">
        <v>-3.6999999999999997</v>
      </c>
      <c r="F34" s="88">
        <v>4.2478027055075219E-4</v>
      </c>
      <c r="G34" s="88">
        <f t="shared" si="0"/>
        <v>4.2478027055075219E-4</v>
      </c>
      <c r="H34" s="67">
        <v>0</v>
      </c>
      <c r="I34" s="88">
        <v>1.0779973347738824E-4</v>
      </c>
      <c r="J34" s="88">
        <f t="shared" si="1"/>
        <v>1.0779973347736729E-4</v>
      </c>
      <c r="K34" s="79">
        <v>2.0952206983282373E-17</v>
      </c>
      <c r="L34" s="88">
        <v>0.99989220026652259</v>
      </c>
      <c r="M34" s="88" cm="1">
        <f t="array" ref="M34">IFERROR(K_STATS_Normal_Survival(E34,$F$5,$F$6),"")</f>
        <v>0.99989220026652259</v>
      </c>
      <c r="N34" s="79">
        <v>0</v>
      </c>
      <c r="O34" s="91">
        <v>1.0779973347738824E-4</v>
      </c>
      <c r="P34" s="88">
        <v>-3.6999999999999993</v>
      </c>
      <c r="Q34" s="88" cm="1">
        <f t="array" ref="Q34">K_STATS_Normal_InverseCumulative(J34, $F$5, $F$6)</f>
        <v>-3.6999999999999997</v>
      </c>
      <c r="R34" s="90">
        <v>4.4408920985006262E-16</v>
      </c>
    </row>
    <row r="35" spans="1:18" ht="18" customHeight="1" x14ac:dyDescent="0.3">
      <c r="A35" s="124"/>
      <c r="B35" s="124"/>
      <c r="E35" s="78">
        <v>-3.5999999999999996</v>
      </c>
      <c r="F35" s="88">
        <v>6.1190193011377298E-4</v>
      </c>
      <c r="G35" s="88">
        <f t="shared" si="0"/>
        <v>6.1190193011377298E-4</v>
      </c>
      <c r="H35" s="67">
        <v>0</v>
      </c>
      <c r="I35" s="88">
        <v>1.5910859015753396E-4</v>
      </c>
      <c r="J35" s="88">
        <f t="shared" si="1"/>
        <v>1.5910859015751325E-4</v>
      </c>
      <c r="K35" s="79">
        <v>2.0708261494473135E-17</v>
      </c>
      <c r="L35" s="88">
        <v>0.99984089140984245</v>
      </c>
      <c r="M35" s="88" cm="1">
        <f t="array" ref="M35">IFERROR(K_STATS_Normal_Survival(E35,$F$5,$F$6),"")</f>
        <v>0.99984089140984245</v>
      </c>
      <c r="N35" s="79">
        <v>0</v>
      </c>
      <c r="O35" s="91">
        <v>1.5910859015753396E-4</v>
      </c>
      <c r="P35" s="88">
        <v>-3.5999999999999983</v>
      </c>
      <c r="Q35" s="88" cm="1">
        <f t="array" ref="Q35">K_STATS_Normal_InverseCumulative(J35, $F$5, $F$6)</f>
        <v>-3.5999999999999996</v>
      </c>
      <c r="R35" s="90">
        <v>1.3322676295501878E-15</v>
      </c>
    </row>
    <row r="36" spans="1:18" ht="18" customHeight="1" x14ac:dyDescent="0.3">
      <c r="A36" s="124"/>
      <c r="B36" s="124"/>
      <c r="E36" s="78">
        <v>-3.4999999999999996</v>
      </c>
      <c r="F36" s="88">
        <v>8.7268269504576167E-4</v>
      </c>
      <c r="G36" s="88">
        <f t="shared" si="0"/>
        <v>8.7268269504576167E-4</v>
      </c>
      <c r="H36" s="67">
        <v>0</v>
      </c>
      <c r="I36" s="88">
        <v>2.3262907903552504E-4</v>
      </c>
      <c r="J36" s="88">
        <f t="shared" si="1"/>
        <v>2.3262907903550908E-4</v>
      </c>
      <c r="K36" s="79">
        <v>1.5964876989849053E-17</v>
      </c>
      <c r="L36" s="88">
        <v>0.99976737092096446</v>
      </c>
      <c r="M36" s="88" cm="1">
        <f t="array" ref="M36">IFERROR(K_STATS_Normal_Survival(E36,$F$5,$F$6),"")</f>
        <v>0.99976737092096446</v>
      </c>
      <c r="N36" s="79">
        <v>0</v>
      </c>
      <c r="O36" s="91">
        <v>2.3262907903552504E-4</v>
      </c>
      <c r="P36" s="88">
        <v>-3.4999999999999996</v>
      </c>
      <c r="Q36" s="88" cm="1">
        <f t="array" ref="Q36">K_STATS_Normal_InverseCumulative(J36, $F$5, $F$6)</f>
        <v>-3.4999999999999996</v>
      </c>
      <c r="R36" s="90">
        <v>0</v>
      </c>
    </row>
    <row r="37" spans="1:18" ht="18" customHeight="1" x14ac:dyDescent="0.3">
      <c r="A37" s="124"/>
      <c r="B37" s="124"/>
      <c r="E37" s="78">
        <v>-3.3999999999999995</v>
      </c>
      <c r="F37" s="88">
        <v>1.232219168473021E-3</v>
      </c>
      <c r="G37" s="88">
        <f t="shared" si="0"/>
        <v>1.232219168473021E-3</v>
      </c>
      <c r="H37" s="67">
        <v>0</v>
      </c>
      <c r="I37" s="88">
        <v>3.3692926567688151E-4</v>
      </c>
      <c r="J37" s="88">
        <f t="shared" si="1"/>
        <v>3.3692926567687332E-4</v>
      </c>
      <c r="K37" s="79">
        <v>8.1857264022655585E-18</v>
      </c>
      <c r="L37" s="88">
        <v>0.99966307073432314</v>
      </c>
      <c r="M37" s="88" cm="1">
        <f t="array" ref="M37">IFERROR(K_STATS_Normal_Survival(E37,$F$5,$F$6),"")</f>
        <v>0.99966307073432314</v>
      </c>
      <c r="N37" s="79">
        <v>0</v>
      </c>
      <c r="O37" s="91">
        <v>3.3692926567688151E-4</v>
      </c>
      <c r="P37" s="88">
        <v>-3.4</v>
      </c>
      <c r="Q37" s="88" cm="1">
        <f t="array" ref="Q37">K_STATS_Normal_InverseCumulative(J37, $F$5, $F$6)</f>
        <v>-3.3999999999999995</v>
      </c>
      <c r="R37" s="90">
        <v>4.4408920985006262E-16</v>
      </c>
    </row>
    <row r="38" spans="1:18" ht="18" customHeight="1" x14ac:dyDescent="0.3">
      <c r="A38" s="124"/>
      <c r="B38" s="124"/>
      <c r="E38" s="78">
        <v>-3.2999999999999994</v>
      </c>
      <c r="F38" s="88">
        <v>1.7225689390536843E-3</v>
      </c>
      <c r="G38" s="88">
        <f t="shared" si="0"/>
        <v>1.7225689390536843E-3</v>
      </c>
      <c r="H38" s="67">
        <v>0</v>
      </c>
      <c r="I38" s="88">
        <v>4.8342414238377744E-4</v>
      </c>
      <c r="J38" s="88">
        <f t="shared" si="1"/>
        <v>4.8342414238378069E-4</v>
      </c>
      <c r="K38" s="79">
        <v>3.2526065174565133E-18</v>
      </c>
      <c r="L38" s="88">
        <v>0.99951657585761622</v>
      </c>
      <c r="M38" s="88" cm="1">
        <f t="array" ref="M38">IFERROR(K_STATS_Normal_Survival(E38,$F$5,$F$6),"")</f>
        <v>0.99951657585761622</v>
      </c>
      <c r="N38" s="79">
        <v>0</v>
      </c>
      <c r="O38" s="91">
        <v>4.8342414238377744E-4</v>
      </c>
      <c r="P38" s="88">
        <v>-3.2999999999999994</v>
      </c>
      <c r="Q38" s="88" cm="1">
        <f t="array" ref="Q38">K_STATS_Normal_InverseCumulative(J38, $F$5, $F$6)</f>
        <v>-3.2999999999999994</v>
      </c>
      <c r="R38" s="90">
        <v>0</v>
      </c>
    </row>
    <row r="39" spans="1:18" ht="18" customHeight="1" x14ac:dyDescent="0.3">
      <c r="A39" s="124"/>
      <c r="B39" s="124"/>
      <c r="E39" s="78">
        <v>-3.1999999999999993</v>
      </c>
      <c r="F39" s="88">
        <v>2.3840882014648486E-3</v>
      </c>
      <c r="G39" s="88">
        <f t="shared" si="0"/>
        <v>2.3840882014648486E-3</v>
      </c>
      <c r="H39" s="67">
        <v>0</v>
      </c>
      <c r="I39" s="88">
        <v>6.8713793791584969E-4</v>
      </c>
      <c r="J39" s="88">
        <f t="shared" si="1"/>
        <v>6.8713793791586248E-4</v>
      </c>
      <c r="K39" s="79">
        <v>1.2793585635328952E-17</v>
      </c>
      <c r="L39" s="88">
        <v>0.99931286206208414</v>
      </c>
      <c r="M39" s="88" cm="1">
        <f t="array" ref="M39">IFERROR(K_STATS_Normal_Survival(E39,$F$5,$F$6),"")</f>
        <v>0.99931286206208414</v>
      </c>
      <c r="N39" s="79">
        <v>0</v>
      </c>
      <c r="O39" s="91">
        <v>6.8713793791584969E-4</v>
      </c>
      <c r="P39" s="88">
        <v>-3.1999999999999988</v>
      </c>
      <c r="Q39" s="88" cm="1">
        <f t="array" ref="Q39">K_STATS_Normal_InverseCumulative(J39, $F$5, $F$6)</f>
        <v>-3.1999999999999993</v>
      </c>
      <c r="R39" s="90">
        <v>4.4408920985006262E-16</v>
      </c>
    </row>
    <row r="40" spans="1:18" ht="18" customHeight="1" x14ac:dyDescent="0.3">
      <c r="A40" s="124"/>
      <c r="B40" s="124"/>
      <c r="E40" s="78">
        <v>-3.0999999999999992</v>
      </c>
      <c r="F40" s="88">
        <v>3.2668190561999273E-3</v>
      </c>
      <c r="G40" s="88">
        <f t="shared" si="0"/>
        <v>3.2668190561999273E-3</v>
      </c>
      <c r="H40" s="67">
        <v>0</v>
      </c>
      <c r="I40" s="88">
        <v>9.6760321321835816E-4</v>
      </c>
      <c r="J40" s="88">
        <f t="shared" si="1"/>
        <v>9.6760321321837843E-4</v>
      </c>
      <c r="K40" s="79">
        <v>2.0274580625478933E-17</v>
      </c>
      <c r="L40" s="88">
        <v>0.99903239678678168</v>
      </c>
      <c r="M40" s="88" cm="1">
        <f t="array" ref="M40">IFERROR(K_STATS_Normal_Survival(E40,$F$5,$F$6),"")</f>
        <v>0.99903239678678157</v>
      </c>
      <c r="N40" s="79">
        <v>1.1102230246251565E-16</v>
      </c>
      <c r="O40" s="91">
        <v>9.6760321321835816E-4</v>
      </c>
      <c r="P40" s="88">
        <v>-3.1</v>
      </c>
      <c r="Q40" s="88" cm="1">
        <f t="array" ref="Q40">K_STATS_Normal_InverseCumulative(J40, $F$5, $F$6)</f>
        <v>-3.0999999999999992</v>
      </c>
      <c r="R40" s="90">
        <v>8.8817841970012523E-16</v>
      </c>
    </row>
    <row r="41" spans="1:18" ht="18" customHeight="1" x14ac:dyDescent="0.3">
      <c r="A41" s="124"/>
      <c r="B41" s="124"/>
      <c r="E41" s="78">
        <v>-2.9999999999999991</v>
      </c>
      <c r="F41" s="88">
        <v>4.4318484119380188E-3</v>
      </c>
      <c r="G41" s="88">
        <f t="shared" si="0"/>
        <v>4.4318484119380188E-3</v>
      </c>
      <c r="H41" s="67">
        <v>0</v>
      </c>
      <c r="I41" s="88">
        <v>1.3498980316300983E-3</v>
      </c>
      <c r="J41" s="88">
        <f t="shared" si="1"/>
        <v>1.3498980316301193E-3</v>
      </c>
      <c r="K41" s="79">
        <v>2.1033522146218786E-17</v>
      </c>
      <c r="L41" s="88">
        <v>0.9986501019683699</v>
      </c>
      <c r="M41" s="88" cm="1">
        <f t="array" ref="M41">IFERROR(K_STATS_Normal_Survival(E41,$F$5,$F$6),"")</f>
        <v>0.9986501019683699</v>
      </c>
      <c r="N41" s="79">
        <v>0</v>
      </c>
      <c r="O41" s="91">
        <v>1.3498980316300983E-3</v>
      </c>
      <c r="P41" s="88">
        <v>-2.9999999999999982</v>
      </c>
      <c r="Q41" s="88" cm="1">
        <f t="array" ref="Q41">K_STATS_Normal_InverseCumulative(J41, $F$5, $F$6)</f>
        <v>-2.9999999999999991</v>
      </c>
      <c r="R41" s="90">
        <v>8.8817841970012523E-16</v>
      </c>
    </row>
    <row r="42" spans="1:18" ht="18" customHeight="1" x14ac:dyDescent="0.3">
      <c r="A42" s="124"/>
      <c r="B42" s="124"/>
      <c r="E42" s="78">
        <v>-2.899999999999999</v>
      </c>
      <c r="F42" s="88">
        <v>5.9525324197758694E-3</v>
      </c>
      <c r="G42" s="88">
        <f t="shared" si="0"/>
        <v>5.9525324197758694E-3</v>
      </c>
      <c r="H42" s="67">
        <v>0</v>
      </c>
      <c r="I42" s="88">
        <v>1.865813300384041E-3</v>
      </c>
      <c r="J42" s="88">
        <f t="shared" si="1"/>
        <v>1.8658133003840594E-3</v>
      </c>
      <c r="K42" s="79">
        <v>1.8431436932253575E-17</v>
      </c>
      <c r="L42" s="88">
        <v>0.99813418669961596</v>
      </c>
      <c r="M42" s="88" cm="1">
        <f t="array" ref="M42">IFERROR(K_STATS_Normal_Survival(E42,$F$5,$F$6),"")</f>
        <v>0.99813418669961596</v>
      </c>
      <c r="N42" s="79">
        <v>0</v>
      </c>
      <c r="O42" s="91">
        <v>1.865813300384041E-3</v>
      </c>
      <c r="P42" s="88">
        <v>-2.899999999999999</v>
      </c>
      <c r="Q42" s="88" cm="1">
        <f t="array" ref="Q42">K_STATS_Normal_InverseCumulative(J42, $F$5, $F$6)</f>
        <v>-2.899999999999999</v>
      </c>
      <c r="R42" s="90">
        <v>0</v>
      </c>
    </row>
    <row r="43" spans="1:18" ht="18" customHeight="1" x14ac:dyDescent="0.3">
      <c r="A43" s="124"/>
      <c r="B43" s="124"/>
      <c r="E43" s="78">
        <v>-2.7999999999999989</v>
      </c>
      <c r="F43" s="88">
        <v>7.9154515829799894E-3</v>
      </c>
      <c r="G43" s="88">
        <f t="shared" si="0"/>
        <v>7.9154515829799894E-3</v>
      </c>
      <c r="H43" s="67">
        <v>0</v>
      </c>
      <c r="I43" s="88">
        <v>2.555130330427939E-3</v>
      </c>
      <c r="J43" s="88">
        <f t="shared" si="1"/>
        <v>2.5551303304279477E-3</v>
      </c>
      <c r="K43" s="79">
        <v>8.6736173798840355E-18</v>
      </c>
      <c r="L43" s="88">
        <v>0.99744486966957202</v>
      </c>
      <c r="M43" s="88" cm="1">
        <f t="array" ref="M43">IFERROR(K_STATS_Normal_Survival(E43,$F$5,$F$6),"")</f>
        <v>0.99744486966957202</v>
      </c>
      <c r="N43" s="79">
        <v>0</v>
      </c>
      <c r="O43" s="91">
        <v>2.555130330427939E-3</v>
      </c>
      <c r="P43" s="88">
        <v>-2.7999999999999994</v>
      </c>
      <c r="Q43" s="88" cm="1">
        <f t="array" ref="Q43">K_STATS_Normal_InverseCumulative(J43, $F$5, $F$6)</f>
        <v>-2.7999999999999989</v>
      </c>
      <c r="R43" s="90">
        <v>4.4408920985006262E-16</v>
      </c>
    </row>
    <row r="44" spans="1:18" ht="18" customHeight="1" x14ac:dyDescent="0.3">
      <c r="A44" s="124"/>
      <c r="B44" s="124"/>
      <c r="E44" s="78">
        <v>-2.6999999999999988</v>
      </c>
      <c r="F44" s="88">
        <v>1.0420934814422628E-2</v>
      </c>
      <c r="G44" s="88">
        <f t="shared" si="0"/>
        <v>1.0420934814422628E-2</v>
      </c>
      <c r="H44" s="67">
        <v>0</v>
      </c>
      <c r="I44" s="88">
        <v>3.4669738030406777E-3</v>
      </c>
      <c r="J44" s="88">
        <f t="shared" si="1"/>
        <v>3.466973803040673E-3</v>
      </c>
      <c r="K44" s="79">
        <v>4.7704895589362195E-18</v>
      </c>
      <c r="L44" s="88">
        <v>0.99653302619695927</v>
      </c>
      <c r="M44" s="88" cm="1">
        <f t="array" ref="M44">IFERROR(K_STATS_Normal_Survival(E44,$F$5,$F$6),"")</f>
        <v>0.99653302619695938</v>
      </c>
      <c r="N44" s="79">
        <v>1.1102230246251565E-16</v>
      </c>
      <c r="O44" s="91">
        <v>3.4669738030406777E-3</v>
      </c>
      <c r="P44" s="88">
        <v>-2.6999999999999988</v>
      </c>
      <c r="Q44" s="88" cm="1">
        <f t="array" ref="Q44">K_STATS_Normal_InverseCumulative(J44, $F$5, $F$6)</f>
        <v>-2.6999999999999988</v>
      </c>
      <c r="R44" s="90">
        <v>0</v>
      </c>
    </row>
    <row r="45" spans="1:18" ht="18" customHeight="1" x14ac:dyDescent="0.3">
      <c r="A45" s="124"/>
      <c r="B45" s="124"/>
      <c r="E45" s="78">
        <v>-2.5999999999999988</v>
      </c>
      <c r="F45" s="88">
        <v>1.3582969233685661E-2</v>
      </c>
      <c r="G45" s="88">
        <f t="shared" si="0"/>
        <v>1.3582969233685661E-2</v>
      </c>
      <c r="H45" s="67">
        <v>0</v>
      </c>
      <c r="I45" s="88">
        <v>4.6611880237187649E-3</v>
      </c>
      <c r="J45" s="88">
        <f t="shared" si="1"/>
        <v>4.6611880237187476E-3</v>
      </c>
      <c r="K45" s="79">
        <v>1.7347234759768071E-17</v>
      </c>
      <c r="L45" s="88">
        <v>0.99533881197628127</v>
      </c>
      <c r="M45" s="88" cm="1">
        <f t="array" ref="M45">IFERROR(K_STATS_Normal_Survival(E45,$F$5,$F$6),"")</f>
        <v>0.99533881197628127</v>
      </c>
      <c r="N45" s="79">
        <v>0</v>
      </c>
      <c r="O45" s="91">
        <v>4.6611880237187649E-3</v>
      </c>
      <c r="P45" s="88">
        <v>-2.5999999999999983</v>
      </c>
      <c r="Q45" s="88" cm="1">
        <f t="array" ref="Q45">K_STATS_Normal_InverseCumulative(J45, $F$5, $F$6)</f>
        <v>-2.5999999999999988</v>
      </c>
      <c r="R45" s="90">
        <v>4.4408920985006262E-16</v>
      </c>
    </row>
    <row r="46" spans="1:18" ht="18" customHeight="1" x14ac:dyDescent="0.3">
      <c r="A46" s="124"/>
      <c r="B46" s="124"/>
      <c r="E46" s="78">
        <v>-2.4999999999999987</v>
      </c>
      <c r="F46" s="88">
        <v>1.7528300493568599E-2</v>
      </c>
      <c r="G46" s="88">
        <f t="shared" si="0"/>
        <v>1.7528300493568599E-2</v>
      </c>
      <c r="H46" s="67">
        <v>0</v>
      </c>
      <c r="I46" s="88">
        <v>6.2096653257761565E-3</v>
      </c>
      <c r="J46" s="88">
        <f t="shared" si="1"/>
        <v>6.2096653257761366E-3</v>
      </c>
      <c r="K46" s="79">
        <v>1.9949319973733282E-17</v>
      </c>
      <c r="L46" s="88">
        <v>0.99379033467422384</v>
      </c>
      <c r="M46" s="88" cm="1">
        <f t="array" ref="M46">IFERROR(K_STATS_Normal_Survival(E46,$F$5,$F$6),"")</f>
        <v>0.99379033467422384</v>
      </c>
      <c r="N46" s="79">
        <v>0</v>
      </c>
      <c r="O46" s="91">
        <v>6.2096653257761565E-3</v>
      </c>
      <c r="P46" s="88">
        <v>-2.4999999999999982</v>
      </c>
      <c r="Q46" s="88" cm="1">
        <f t="array" ref="Q46">K_STATS_Normal_InverseCumulative(J46, $F$5, $F$6)</f>
        <v>-2.4999999999999987</v>
      </c>
      <c r="R46" s="90">
        <v>4.4408920985006262E-16</v>
      </c>
    </row>
    <row r="47" spans="1:18" ht="18" customHeight="1" x14ac:dyDescent="0.3">
      <c r="A47" s="124"/>
      <c r="B47" s="124"/>
      <c r="E47" s="78">
        <v>-2.3999999999999986</v>
      </c>
      <c r="F47" s="88">
        <v>2.2394530294842969E-2</v>
      </c>
      <c r="G47" s="88">
        <f t="shared" si="0"/>
        <v>2.2394530294842969E-2</v>
      </c>
      <c r="H47" s="67">
        <v>0</v>
      </c>
      <c r="I47" s="88">
        <v>8.1975359245961572E-3</v>
      </c>
      <c r="J47" s="88">
        <f t="shared" si="1"/>
        <v>8.1975359245961398E-3</v>
      </c>
      <c r="K47" s="79">
        <v>1.7347234759768071E-17</v>
      </c>
      <c r="L47" s="88">
        <v>0.99180246407540384</v>
      </c>
      <c r="M47" s="88" cm="1">
        <f t="array" ref="M47">IFERROR(K_STATS_Normal_Survival(E47,$F$5,$F$6),"")</f>
        <v>0.99180246407540384</v>
      </c>
      <c r="N47" s="79">
        <v>0</v>
      </c>
      <c r="O47" s="91">
        <v>8.1975359245961572E-3</v>
      </c>
      <c r="P47" s="88">
        <v>-2.399999999999999</v>
      </c>
      <c r="Q47" s="88" cm="1">
        <f t="array" ref="Q47">K_STATS_Normal_InverseCumulative(J47, $F$5, $F$6)</f>
        <v>-2.3999999999999986</v>
      </c>
      <c r="R47" s="90">
        <v>4.4408920985006262E-16</v>
      </c>
    </row>
    <row r="48" spans="1:18" ht="18" customHeight="1" x14ac:dyDescent="0.3">
      <c r="A48" s="124"/>
      <c r="B48" s="124"/>
      <c r="E48" s="78">
        <v>-2.2999999999999985</v>
      </c>
      <c r="F48" s="88">
        <v>2.8327037741601276E-2</v>
      </c>
      <c r="G48" s="88">
        <f t="shared" si="0"/>
        <v>2.8327037741601276E-2</v>
      </c>
      <c r="H48" s="67">
        <v>0</v>
      </c>
      <c r="I48" s="88">
        <v>1.0724110021675844E-2</v>
      </c>
      <c r="J48" s="88">
        <f t="shared" si="1"/>
        <v>1.0724110021675842E-2</v>
      </c>
      <c r="K48" s="79">
        <v>1.7347234759768071E-18</v>
      </c>
      <c r="L48" s="88">
        <v>0.98927588997832416</v>
      </c>
      <c r="M48" s="88" cm="1">
        <f t="array" ref="M48">IFERROR(K_STATS_Normal_Survival(E48,$F$5,$F$6),"")</f>
        <v>0.98927588997832416</v>
      </c>
      <c r="N48" s="79">
        <v>0</v>
      </c>
      <c r="O48" s="91">
        <v>1.0724110021675844E-2</v>
      </c>
      <c r="P48" s="88">
        <v>-2.2999999999999989</v>
      </c>
      <c r="Q48" s="88" cm="1">
        <f t="array" ref="Q48">K_STATS_Normal_InverseCumulative(J48, $F$5, $F$6)</f>
        <v>-2.2999999999999985</v>
      </c>
      <c r="R48" s="90">
        <v>4.4408920985006262E-16</v>
      </c>
    </row>
    <row r="49" spans="1:18" ht="18" customHeight="1" x14ac:dyDescent="0.3">
      <c r="A49" s="124"/>
      <c r="B49" s="124"/>
      <c r="E49" s="78">
        <v>-2.1999999999999984</v>
      </c>
      <c r="F49" s="88">
        <v>3.547459284623157E-2</v>
      </c>
      <c r="G49" s="88">
        <f t="shared" si="0"/>
        <v>3.547459284623157E-2</v>
      </c>
      <c r="H49" s="67">
        <v>0</v>
      </c>
      <c r="I49" s="88">
        <v>1.3903447513498663E-2</v>
      </c>
      <c r="J49" s="88">
        <f t="shared" si="1"/>
        <v>1.3903447513498675E-2</v>
      </c>
      <c r="K49" s="79">
        <v>1.214306433183765E-17</v>
      </c>
      <c r="L49" s="88">
        <v>0.9860965524865013</v>
      </c>
      <c r="M49" s="88" cm="1">
        <f t="array" ref="M49">IFERROR(K_STATS_Normal_Survival(E49,$F$5,$F$6),"")</f>
        <v>0.9860965524865013</v>
      </c>
      <c r="N49" s="79">
        <v>0</v>
      </c>
      <c r="O49" s="91">
        <v>1.3903447513498663E-2</v>
      </c>
      <c r="P49" s="88">
        <v>-2.1999999999999984</v>
      </c>
      <c r="Q49" s="88" cm="1">
        <f t="array" ref="Q49">K_STATS_Normal_InverseCumulative(J49, $F$5, $F$6)</f>
        <v>-2.1999999999999984</v>
      </c>
      <c r="R49" s="90">
        <v>0</v>
      </c>
    </row>
    <row r="50" spans="1:18" ht="18" customHeight="1" x14ac:dyDescent="0.3">
      <c r="A50" s="124"/>
      <c r="B50" s="124"/>
      <c r="E50" s="78">
        <v>-2.0999999999999983</v>
      </c>
      <c r="F50" s="88">
        <v>4.3983595980427351E-2</v>
      </c>
      <c r="G50" s="88">
        <f t="shared" si="0"/>
        <v>4.3983595980427351E-2</v>
      </c>
      <c r="H50" s="67">
        <v>0</v>
      </c>
      <c r="I50" s="88">
        <v>1.7864420562816629E-2</v>
      </c>
      <c r="J50" s="88">
        <f t="shared" si="1"/>
        <v>1.7864420562816646E-2</v>
      </c>
      <c r="K50" s="79">
        <v>1.7347234759768071E-17</v>
      </c>
      <c r="L50" s="88">
        <v>0.98213557943718333</v>
      </c>
      <c r="M50" s="88" cm="1">
        <f t="array" ref="M50">IFERROR(K_STATS_Normal_Survival(E50,$F$5,$F$6),"")</f>
        <v>0.98213557943718333</v>
      </c>
      <c r="N50" s="79">
        <v>0</v>
      </c>
      <c r="O50" s="91">
        <v>1.7864420562816629E-2</v>
      </c>
      <c r="P50" s="88">
        <v>-2.0999999999999983</v>
      </c>
      <c r="Q50" s="88" cm="1">
        <f t="array" ref="Q50">K_STATS_Normal_InverseCumulative(J50, $F$5, $F$6)</f>
        <v>-2.0999999999999983</v>
      </c>
      <c r="R50" s="90">
        <v>0</v>
      </c>
    </row>
    <row r="51" spans="1:18" ht="18" customHeight="1" x14ac:dyDescent="0.3">
      <c r="A51" s="124"/>
      <c r="B51" s="124"/>
      <c r="E51" s="78">
        <v>-1.9999999999999982</v>
      </c>
      <c r="F51" s="88">
        <v>5.399096651318825E-2</v>
      </c>
      <c r="G51" s="88">
        <f t="shared" si="0"/>
        <v>5.399096651318825E-2</v>
      </c>
      <c r="H51" s="67">
        <v>0</v>
      </c>
      <c r="I51" s="88">
        <v>2.2750131948179302E-2</v>
      </c>
      <c r="J51" s="88">
        <f t="shared" si="1"/>
        <v>2.2750131948179323E-2</v>
      </c>
      <c r="K51" s="79">
        <v>2.0816681711721685E-17</v>
      </c>
      <c r="L51" s="88">
        <v>0.97724986805182068</v>
      </c>
      <c r="M51" s="88" cm="1">
        <f t="array" ref="M51">IFERROR(K_STATS_Normal_Survival(E51,$F$5,$F$6),"")</f>
        <v>0.97724986805182068</v>
      </c>
      <c r="N51" s="79">
        <v>0</v>
      </c>
      <c r="O51" s="91">
        <v>2.2750131948179302E-2</v>
      </c>
      <c r="P51" s="88">
        <v>-1.999999999999998</v>
      </c>
      <c r="Q51" s="88" cm="1">
        <f t="array" ref="Q51">K_STATS_Normal_InverseCumulative(J51, $F$5, $F$6)</f>
        <v>-1.9999999999999982</v>
      </c>
      <c r="R51" s="90">
        <v>2.2204460492503131E-16</v>
      </c>
    </row>
    <row r="52" spans="1:18" ht="18" customHeight="1" x14ac:dyDescent="0.3">
      <c r="A52" s="124"/>
      <c r="B52" s="124"/>
      <c r="E52" s="78">
        <v>-1.8999999999999981</v>
      </c>
      <c r="F52" s="88">
        <v>6.5615814774676831E-2</v>
      </c>
      <c r="G52" s="88">
        <f t="shared" si="0"/>
        <v>6.5615814774676831E-2</v>
      </c>
      <c r="H52" s="67">
        <v>0</v>
      </c>
      <c r="I52" s="88">
        <v>2.8716559816001928E-2</v>
      </c>
      <c r="J52" s="88">
        <f t="shared" si="1"/>
        <v>2.8716559816001928E-2</v>
      </c>
      <c r="K52" s="79">
        <v>0</v>
      </c>
      <c r="L52" s="88">
        <v>0.97128344018399804</v>
      </c>
      <c r="M52" s="88" cm="1">
        <f t="array" ref="M52">IFERROR(K_STATS_Normal_Survival(E52,$F$5,$F$6),"")</f>
        <v>0.97128344018399804</v>
      </c>
      <c r="N52" s="79">
        <v>0</v>
      </c>
      <c r="O52" s="91">
        <v>2.8716559816001928E-2</v>
      </c>
      <c r="P52" s="88">
        <v>-1.8999999999999979</v>
      </c>
      <c r="Q52" s="88" cm="1">
        <f t="array" ref="Q52">K_STATS_Normal_InverseCumulative(J52, $F$5, $F$6)</f>
        <v>-1.8999999999999981</v>
      </c>
      <c r="R52" s="90">
        <v>2.2204460492503131E-16</v>
      </c>
    </row>
    <row r="53" spans="1:18" ht="18" customHeight="1" x14ac:dyDescent="0.3">
      <c r="A53" s="124"/>
      <c r="B53" s="124"/>
      <c r="E53" s="78">
        <v>-1.799999999999998</v>
      </c>
      <c r="F53" s="88">
        <v>7.8950158300894427E-2</v>
      </c>
      <c r="G53" s="88">
        <f t="shared" si="0"/>
        <v>7.8950158300894427E-2</v>
      </c>
      <c r="H53" s="67">
        <v>0</v>
      </c>
      <c r="I53" s="88">
        <v>3.5930319112925969E-2</v>
      </c>
      <c r="J53" s="88">
        <f t="shared" si="1"/>
        <v>3.5930319112925942E-2</v>
      </c>
      <c r="K53" s="79">
        <v>2.7755575615628914E-17</v>
      </c>
      <c r="L53" s="88">
        <v>0.96406968088707401</v>
      </c>
      <c r="M53" s="88" cm="1">
        <f t="array" ref="M53">IFERROR(K_STATS_Normal_Survival(E53,$F$5,$F$6),"")</f>
        <v>0.96406968088707401</v>
      </c>
      <c r="N53" s="79">
        <v>0</v>
      </c>
      <c r="O53" s="91">
        <v>3.5930319112925969E-2</v>
      </c>
      <c r="P53" s="88">
        <v>-1.7999999999999976</v>
      </c>
      <c r="Q53" s="88" cm="1">
        <f t="array" ref="Q53">K_STATS_Normal_InverseCumulative(J53, $F$5, $F$6)</f>
        <v>-1.799999999999998</v>
      </c>
      <c r="R53" s="90">
        <v>4.4408920985006262E-16</v>
      </c>
    </row>
    <row r="54" spans="1:18" ht="18" customHeight="1" x14ac:dyDescent="0.3">
      <c r="A54" s="124"/>
      <c r="B54" s="124"/>
      <c r="E54" s="78">
        <v>-1.699999999999998</v>
      </c>
      <c r="F54" s="88">
        <v>9.4049077376887252E-2</v>
      </c>
      <c r="G54" s="88">
        <f t="shared" si="0"/>
        <v>9.4049077376887252E-2</v>
      </c>
      <c r="H54" s="67">
        <v>0</v>
      </c>
      <c r="I54" s="88">
        <v>4.4565462758543194E-2</v>
      </c>
      <c r="J54" s="88">
        <f t="shared" si="1"/>
        <v>4.4565462758543214E-2</v>
      </c>
      <c r="K54" s="79">
        <v>2.0816681711721685E-17</v>
      </c>
      <c r="L54" s="88">
        <v>0.95543453724145677</v>
      </c>
      <c r="M54" s="88" cm="1">
        <f t="array" ref="M54">IFERROR(K_STATS_Normal_Survival(E54,$F$5,$F$6),"")</f>
        <v>0.95543453724145677</v>
      </c>
      <c r="N54" s="79">
        <v>0</v>
      </c>
      <c r="O54" s="91">
        <v>4.4565462758543194E-2</v>
      </c>
      <c r="P54" s="88">
        <v>-1.699999999999998</v>
      </c>
      <c r="Q54" s="88" cm="1">
        <f t="array" ref="Q54">K_STATS_Normal_InverseCumulative(J54, $F$5, $F$6)</f>
        <v>-1.699999999999998</v>
      </c>
      <c r="R54" s="90">
        <v>0</v>
      </c>
    </row>
    <row r="55" spans="1:18" ht="18" customHeight="1" x14ac:dyDescent="0.3">
      <c r="A55" s="124"/>
      <c r="B55" s="124"/>
      <c r="E55" s="78">
        <v>-1.5999999999999979</v>
      </c>
      <c r="F55" s="88">
        <v>0.11092083467945592</v>
      </c>
      <c r="G55" s="88">
        <f t="shared" si="0"/>
        <v>0.11092083467945592</v>
      </c>
      <c r="H55" s="67">
        <v>0</v>
      </c>
      <c r="I55" s="88">
        <v>5.4799291699558203E-2</v>
      </c>
      <c r="J55" s="88">
        <f t="shared" si="1"/>
        <v>5.4799291699558196E-2</v>
      </c>
      <c r="K55" s="79">
        <v>6.9388939039072284E-18</v>
      </c>
      <c r="L55" s="88">
        <v>0.94520070830044178</v>
      </c>
      <c r="M55" s="88" cm="1">
        <f t="array" ref="M55">IFERROR(K_STATS_Normal_Survival(E55,$F$5,$F$6),"")</f>
        <v>0.94520070830044178</v>
      </c>
      <c r="N55" s="79">
        <v>0</v>
      </c>
      <c r="O55" s="91">
        <v>5.4799291699558203E-2</v>
      </c>
      <c r="P55" s="88">
        <v>-1.5999999999999979</v>
      </c>
      <c r="Q55" s="88" cm="1">
        <f t="array" ref="Q55">K_STATS_Normal_InverseCumulative(J55, $F$5, $F$6)</f>
        <v>-1.5999999999999981</v>
      </c>
      <c r="R55" s="90">
        <v>2.2204460492503131E-16</v>
      </c>
    </row>
    <row r="56" spans="1:18" ht="18" customHeight="1" x14ac:dyDescent="0.3">
      <c r="A56" s="124"/>
      <c r="B56" s="124"/>
      <c r="E56" s="78">
        <v>-1.4999999999999978</v>
      </c>
      <c r="F56" s="88">
        <v>0.12951759566589216</v>
      </c>
      <c r="G56" s="88">
        <f t="shared" si="0"/>
        <v>0.12951759566589216</v>
      </c>
      <c r="H56" s="67">
        <v>0</v>
      </c>
      <c r="I56" s="88">
        <v>6.6807201268858321E-2</v>
      </c>
      <c r="J56" s="88">
        <f t="shared" si="1"/>
        <v>6.6807201268858335E-2</v>
      </c>
      <c r="K56" s="79">
        <v>1.3877787807814457E-17</v>
      </c>
      <c r="L56" s="88">
        <v>0.93319279873114169</v>
      </c>
      <c r="M56" s="88" cm="1">
        <f t="array" ref="M56">IFERROR(K_STATS_Normal_Survival(E56,$F$5,$F$6),"")</f>
        <v>0.93319279873114169</v>
      </c>
      <c r="N56" s="79">
        <v>0</v>
      </c>
      <c r="O56" s="91">
        <v>6.6807201268858321E-2</v>
      </c>
      <c r="P56" s="88">
        <v>-1.4999999999999978</v>
      </c>
      <c r="Q56" s="88" cm="1">
        <f t="array" ref="Q56">K_STATS_Normal_InverseCumulative(J56, $F$5, $F$6)</f>
        <v>-1.4999999999999978</v>
      </c>
      <c r="R56" s="90">
        <v>0</v>
      </c>
    </row>
    <row r="57" spans="1:18" ht="18" customHeight="1" x14ac:dyDescent="0.3">
      <c r="A57" s="124"/>
      <c r="B57" s="124"/>
      <c r="E57" s="78">
        <v>-1.3999999999999977</v>
      </c>
      <c r="F57" s="88">
        <v>0.14972746563574535</v>
      </c>
      <c r="G57" s="88">
        <f t="shared" si="0"/>
        <v>0.14972746563574535</v>
      </c>
      <c r="H57" s="67">
        <v>0</v>
      </c>
      <c r="I57" s="88">
        <v>8.0756659233771386E-2</v>
      </c>
      <c r="J57" s="88">
        <f t="shared" si="1"/>
        <v>8.07566592337714E-2</v>
      </c>
      <c r="K57" s="79">
        <v>1.3877787807814457E-17</v>
      </c>
      <c r="L57" s="88">
        <v>0.9192433407662286</v>
      </c>
      <c r="M57" s="88" cm="1">
        <f t="array" ref="M57">IFERROR(K_STATS_Normal_Survival(E57,$F$5,$F$6),"")</f>
        <v>0.9192433407662286</v>
      </c>
      <c r="N57" s="79">
        <v>0</v>
      </c>
      <c r="O57" s="91">
        <v>8.0756659233771386E-2</v>
      </c>
      <c r="P57" s="88">
        <v>-1.3999999999999995</v>
      </c>
      <c r="Q57" s="88" cm="1">
        <f t="array" ref="Q57">K_STATS_Normal_InverseCumulative(J57, $F$5, $F$6)</f>
        <v>-1.3999999999999977</v>
      </c>
      <c r="R57" s="90">
        <v>1.7763568394002505E-15</v>
      </c>
    </row>
    <row r="58" spans="1:18" ht="18" customHeight="1" x14ac:dyDescent="0.3">
      <c r="A58" s="124"/>
      <c r="B58" s="124"/>
      <c r="E58" s="78">
        <v>-1.2999999999999976</v>
      </c>
      <c r="F58" s="88">
        <v>0.17136859204780791</v>
      </c>
      <c r="G58" s="88">
        <f t="shared" si="0"/>
        <v>0.17136859204780791</v>
      </c>
      <c r="H58" s="67">
        <v>0</v>
      </c>
      <c r="I58" s="88">
        <v>9.6800484585610733E-2</v>
      </c>
      <c r="J58" s="88">
        <f t="shared" si="1"/>
        <v>9.6800484585610774E-2</v>
      </c>
      <c r="K58" s="79">
        <v>4.163336342344337E-17</v>
      </c>
      <c r="L58" s="88">
        <v>0.90319951541438925</v>
      </c>
      <c r="M58" s="88" cm="1">
        <f t="array" ref="M58">IFERROR(K_STATS_Normal_Survival(E58,$F$5,$F$6),"")</f>
        <v>0.90319951541438925</v>
      </c>
      <c r="N58" s="79">
        <v>0</v>
      </c>
      <c r="O58" s="91">
        <v>9.6800484585610733E-2</v>
      </c>
      <c r="P58" s="88">
        <v>-1.2999999999999972</v>
      </c>
      <c r="Q58" s="88" cm="1">
        <f t="array" ref="Q58">K_STATS_Normal_InverseCumulative(J58, $F$5, $F$6)</f>
        <v>-1.2999999999999976</v>
      </c>
      <c r="R58" s="90">
        <v>4.4408920985006262E-16</v>
      </c>
    </row>
    <row r="59" spans="1:18" ht="18" customHeight="1" x14ac:dyDescent="0.3">
      <c r="A59" s="124"/>
      <c r="B59" s="124"/>
      <c r="E59" s="78">
        <v>-1.1999999999999975</v>
      </c>
      <c r="F59" s="88">
        <v>0.19418605498321354</v>
      </c>
      <c r="G59" s="88">
        <f t="shared" si="0"/>
        <v>0.19418605498321354</v>
      </c>
      <c r="H59" s="67">
        <v>0</v>
      </c>
      <c r="I59" s="88">
        <v>0.11506967022170875</v>
      </c>
      <c r="J59" s="88">
        <f t="shared" si="1"/>
        <v>0.11506967022170878</v>
      </c>
      <c r="K59" s="79">
        <v>2.7755575615628914E-17</v>
      </c>
      <c r="L59" s="88">
        <v>0.88493032977829122</v>
      </c>
      <c r="M59" s="88" cm="1">
        <f t="array" ref="M59">IFERROR(K_STATS_Normal_Survival(E59,$F$5,$F$6),"")</f>
        <v>0.88493032977829122</v>
      </c>
      <c r="N59" s="79">
        <v>0</v>
      </c>
      <c r="O59" s="91">
        <v>0.11506967022170875</v>
      </c>
      <c r="P59" s="88">
        <v>-1.199999999999998</v>
      </c>
      <c r="Q59" s="88" cm="1">
        <f t="array" ref="Q59">K_STATS_Normal_InverseCumulative(J59, $F$5, $F$6)</f>
        <v>-1.1999999999999975</v>
      </c>
      <c r="R59" s="90">
        <v>4.4408920985006262E-16</v>
      </c>
    </row>
    <row r="60" spans="1:18" ht="18" customHeight="1" x14ac:dyDescent="0.3">
      <c r="A60" s="124"/>
      <c r="B60" s="124"/>
      <c r="E60" s="78">
        <v>-1.0999999999999974</v>
      </c>
      <c r="F60" s="88">
        <v>0.21785217703255116</v>
      </c>
      <c r="G60" s="88">
        <f t="shared" si="0"/>
        <v>0.21785217703255116</v>
      </c>
      <c r="H60" s="67">
        <v>0</v>
      </c>
      <c r="I60" s="88">
        <v>0.1356660609463832</v>
      </c>
      <c r="J60" s="88">
        <f t="shared" si="1"/>
        <v>0.13566606094638323</v>
      </c>
      <c r="K60" s="79">
        <v>2.7755575615628914E-17</v>
      </c>
      <c r="L60" s="88">
        <v>0.86433393905361677</v>
      </c>
      <c r="M60" s="88" cm="1">
        <f t="array" ref="M60">IFERROR(K_STATS_Normal_Survival(E60,$F$5,$F$6),"")</f>
        <v>0.86433393905361677</v>
      </c>
      <c r="N60" s="79">
        <v>0</v>
      </c>
      <c r="O60" s="91">
        <v>0.1356660609463832</v>
      </c>
      <c r="P60" s="88">
        <v>-1.0999999999999976</v>
      </c>
      <c r="Q60" s="88" cm="1">
        <f t="array" ref="Q60">K_STATS_Normal_InverseCumulative(J60, $F$5, $F$6)</f>
        <v>-1.0999999999999976</v>
      </c>
      <c r="R60" s="90">
        <v>0</v>
      </c>
    </row>
    <row r="61" spans="1:18" ht="18" customHeight="1" x14ac:dyDescent="0.3">
      <c r="A61" s="124"/>
      <c r="B61" s="124"/>
      <c r="E61" s="78">
        <v>-0.99999999999999745</v>
      </c>
      <c r="F61" s="88">
        <v>0.24197072451914398</v>
      </c>
      <c r="G61" s="88">
        <f t="shared" si="0"/>
        <v>0.24197072451914398</v>
      </c>
      <c r="H61" s="67">
        <v>0</v>
      </c>
      <c r="I61" s="88">
        <v>0.1586552539314576</v>
      </c>
      <c r="J61" s="88">
        <f t="shared" si="1"/>
        <v>0.15865525393145766</v>
      </c>
      <c r="K61" s="79">
        <v>5.5511151231257827E-17</v>
      </c>
      <c r="L61" s="88">
        <v>0.84134474606854237</v>
      </c>
      <c r="M61" s="88" cm="1">
        <f t="array" ref="M61">IFERROR(K_STATS_Normal_Survival(E61,$F$5,$F$6),"")</f>
        <v>0.84134474606854237</v>
      </c>
      <c r="N61" s="79">
        <v>0</v>
      </c>
      <c r="O61" s="91">
        <v>0.1586552539314576</v>
      </c>
      <c r="P61" s="88">
        <v>-0.99999999999999822</v>
      </c>
      <c r="Q61" s="88" cm="1">
        <f t="array" ref="Q61">K_STATS_Normal_InverseCumulative(J61, $F$5, $F$6)</f>
        <v>-0.99999999999999745</v>
      </c>
      <c r="R61" s="90">
        <v>7.7715611723760958E-16</v>
      </c>
    </row>
    <row r="62" spans="1:18" ht="18" customHeight="1" x14ac:dyDescent="0.3">
      <c r="A62" s="124"/>
      <c r="B62" s="124"/>
      <c r="E62" s="78">
        <v>-0.89999999999999747</v>
      </c>
      <c r="F62" s="88">
        <v>0.26608524989875543</v>
      </c>
      <c r="G62" s="88">
        <f t="shared" si="0"/>
        <v>0.26608524989875543</v>
      </c>
      <c r="H62" s="67">
        <v>0</v>
      </c>
      <c r="I62" s="88">
        <v>0.18406012534676011</v>
      </c>
      <c r="J62" s="88">
        <f t="shared" si="1"/>
        <v>0.18406012534676017</v>
      </c>
      <c r="K62" s="79">
        <v>5.5511151231257827E-17</v>
      </c>
      <c r="L62" s="88">
        <v>0.81593987465323992</v>
      </c>
      <c r="M62" s="88" cm="1">
        <f t="array" ref="M62">IFERROR(K_STATS_Normal_Survival(E62,$F$5,$F$6),"")</f>
        <v>0.81593987465323981</v>
      </c>
      <c r="N62" s="79">
        <v>1.1102230246251565E-16</v>
      </c>
      <c r="O62" s="91">
        <v>0.18406012534676011</v>
      </c>
      <c r="P62" s="88">
        <v>-0.89999999999999925</v>
      </c>
      <c r="Q62" s="88" cm="1">
        <f t="array" ref="Q62">K_STATS_Normal_InverseCumulative(J62, $F$5, $F$6)</f>
        <v>-0.89999999999999736</v>
      </c>
      <c r="R62" s="90">
        <v>1.8873791418627661E-15</v>
      </c>
    </row>
    <row r="63" spans="1:18" ht="18" customHeight="1" x14ac:dyDescent="0.3">
      <c r="A63" s="124"/>
      <c r="B63" s="124"/>
      <c r="E63" s="78">
        <v>-0.79999999999999749</v>
      </c>
      <c r="F63" s="88">
        <v>0.28969155276148334</v>
      </c>
      <c r="G63" s="88">
        <f t="shared" si="0"/>
        <v>0.28969155276148334</v>
      </c>
      <c r="H63" s="67">
        <v>0</v>
      </c>
      <c r="I63" s="88">
        <v>0.21185539858339739</v>
      </c>
      <c r="J63" s="88">
        <f t="shared" si="1"/>
        <v>0.21185539858339744</v>
      </c>
      <c r="K63" s="79">
        <v>5.5511151231257827E-17</v>
      </c>
      <c r="L63" s="88">
        <v>0.78814460141660259</v>
      </c>
      <c r="M63" s="88" cm="1">
        <f t="array" ref="M63">IFERROR(K_STATS_Normal_Survival(E63,$F$5,$F$6),"")</f>
        <v>0.78814460141660259</v>
      </c>
      <c r="N63" s="79">
        <v>0</v>
      </c>
      <c r="O63" s="91">
        <v>0.21185539858339739</v>
      </c>
      <c r="P63" s="88">
        <v>-0.79999999999999738</v>
      </c>
      <c r="Q63" s="88" cm="1">
        <f t="array" ref="Q63">K_STATS_Normal_InverseCumulative(J63, $F$5, $F$6)</f>
        <v>-0.79999999999999749</v>
      </c>
      <c r="R63" s="90">
        <v>1.1102230246251565E-16</v>
      </c>
    </row>
    <row r="64" spans="1:18" ht="18" customHeight="1" x14ac:dyDescent="0.3">
      <c r="A64" s="124"/>
      <c r="B64" s="124"/>
      <c r="E64" s="78">
        <v>-0.69999999999999751</v>
      </c>
      <c r="F64" s="88">
        <v>0.31225393336676183</v>
      </c>
      <c r="G64" s="88">
        <f t="shared" ref="G64:G95" si="2">IFERROR(K_STATS_Normal_Density(E64,$F$5,$F$6),"")</f>
        <v>0.31225393336676183</v>
      </c>
      <c r="H64" s="67">
        <v>0</v>
      </c>
      <c r="I64" s="88">
        <v>0.24196365222307376</v>
      </c>
      <c r="J64" s="88">
        <f t="shared" ref="J64:J95" si="3">IFERROR(K_STATS_Normal_Cumulative(E64,$F$5,$F$6),"")</f>
        <v>0.24196365222307384</v>
      </c>
      <c r="K64" s="79">
        <v>8.3266726846886741E-17</v>
      </c>
      <c r="L64" s="88">
        <v>0.7580363477769263</v>
      </c>
      <c r="M64" s="88" cm="1">
        <f t="array" ref="M64">IFERROR(K_STATS_Normal_Survival(E64,$F$5,$F$6),"")</f>
        <v>0.75803634777692619</v>
      </c>
      <c r="N64" s="79">
        <v>1.1102230246251565E-16</v>
      </c>
      <c r="O64" s="91">
        <v>0.24196365222307376</v>
      </c>
      <c r="P64" s="88">
        <v>-0.6999999999999974</v>
      </c>
      <c r="Q64" s="88" cm="1">
        <f t="array" ref="Q64">K_STATS_Normal_InverseCumulative(J64, $F$5, $F$6)</f>
        <v>-0.69999999999999751</v>
      </c>
      <c r="R64" s="90">
        <v>1.1102230246251565E-16</v>
      </c>
    </row>
    <row r="65" spans="1:18" ht="18" customHeight="1" x14ac:dyDescent="0.3">
      <c r="A65" s="124"/>
      <c r="B65" s="124"/>
      <c r="E65" s="78">
        <v>-0.59999999999999754</v>
      </c>
      <c r="F65" s="88">
        <v>0.33322460289180011</v>
      </c>
      <c r="G65" s="88">
        <f t="shared" si="2"/>
        <v>0.33322460289180011</v>
      </c>
      <c r="H65" s="67">
        <v>0</v>
      </c>
      <c r="I65" s="88">
        <v>0.27425311775007433</v>
      </c>
      <c r="J65" s="88">
        <f t="shared" si="3"/>
        <v>0.27425311775007438</v>
      </c>
      <c r="K65" s="79">
        <v>5.5511151231257827E-17</v>
      </c>
      <c r="L65" s="88">
        <v>0.72574688224992567</v>
      </c>
      <c r="M65" s="88" cm="1">
        <f t="array" ref="M65">IFERROR(K_STATS_Normal_Survival(E65,$F$5,$F$6),"")</f>
        <v>0.72574688224992556</v>
      </c>
      <c r="N65" s="79">
        <v>1.1102230246251565E-16</v>
      </c>
      <c r="O65" s="91">
        <v>0.27425311775007433</v>
      </c>
      <c r="P65" s="88">
        <v>-0.59999999999999798</v>
      </c>
      <c r="Q65" s="88" cm="1">
        <f t="array" ref="Q65">K_STATS_Normal_InverseCumulative(J65, $F$5, $F$6)</f>
        <v>-0.59999999999999776</v>
      </c>
      <c r="R65" s="90">
        <v>2.2204460492503131E-16</v>
      </c>
    </row>
    <row r="66" spans="1:18" ht="18" customHeight="1" x14ac:dyDescent="0.3">
      <c r="A66" s="124"/>
      <c r="B66" s="124"/>
      <c r="E66" s="78">
        <v>-0.49999999999999756</v>
      </c>
      <c r="F66" s="88">
        <v>0.35206532676429991</v>
      </c>
      <c r="G66" s="88">
        <f t="shared" si="2"/>
        <v>0.35206532676429991</v>
      </c>
      <c r="H66" s="67">
        <v>0</v>
      </c>
      <c r="I66" s="88">
        <v>0.30853753872598771</v>
      </c>
      <c r="J66" s="88">
        <f t="shared" si="3"/>
        <v>0.30853753872598771</v>
      </c>
      <c r="K66" s="79">
        <v>0</v>
      </c>
      <c r="L66" s="88">
        <v>0.69146246127401234</v>
      </c>
      <c r="M66" s="88" cm="1">
        <f t="array" ref="M66">IFERROR(K_STATS_Normal_Survival(E66,$F$5,$F$6),"")</f>
        <v>0.69146246127401234</v>
      </c>
      <c r="N66" s="79">
        <v>0</v>
      </c>
      <c r="O66" s="91">
        <v>0.30853753872598771</v>
      </c>
      <c r="P66" s="88">
        <v>-0.49999999999999789</v>
      </c>
      <c r="Q66" s="88" cm="1">
        <f t="array" ref="Q66">K_STATS_Normal_InverseCumulative(J66, $F$5, $F$6)</f>
        <v>-0.49999999999999772</v>
      </c>
      <c r="R66" s="90">
        <v>1.6653345369377348E-16</v>
      </c>
    </row>
    <row r="67" spans="1:18" ht="18" customHeight="1" x14ac:dyDescent="0.3">
      <c r="A67" s="124"/>
      <c r="B67" s="124"/>
      <c r="E67" s="78">
        <v>-0.39999999999999758</v>
      </c>
      <c r="F67" s="88">
        <v>0.36827014030332367</v>
      </c>
      <c r="G67" s="88">
        <f t="shared" si="2"/>
        <v>0.36827014030332367</v>
      </c>
      <c r="H67" s="67">
        <v>0</v>
      </c>
      <c r="I67" s="88">
        <v>0.34457825838967671</v>
      </c>
      <c r="J67" s="88">
        <f t="shared" si="3"/>
        <v>0.34457825838967671</v>
      </c>
      <c r="K67" s="79">
        <v>0</v>
      </c>
      <c r="L67" s="88">
        <v>0.65542174161032329</v>
      </c>
      <c r="M67" s="88" cm="1">
        <f t="array" ref="M67">IFERROR(K_STATS_Normal_Survival(E67,$F$5,$F$6),"")</f>
        <v>0.65542174161032329</v>
      </c>
      <c r="N67" s="79">
        <v>0</v>
      </c>
      <c r="O67" s="91">
        <v>0.34457825838967671</v>
      </c>
      <c r="P67" s="88">
        <v>-0.39999999999999769</v>
      </c>
      <c r="Q67" s="88" cm="1">
        <f t="array" ref="Q67">K_STATS_Normal_InverseCumulative(J67, $F$5, $F$6)</f>
        <v>-0.39999999999999775</v>
      </c>
      <c r="R67" s="90">
        <v>5.5511151231257827E-17</v>
      </c>
    </row>
    <row r="68" spans="1:18" ht="18" customHeight="1" x14ac:dyDescent="0.3">
      <c r="A68" s="124"/>
      <c r="B68" s="124"/>
      <c r="E68" s="78">
        <v>-0.2999999999999976</v>
      </c>
      <c r="F68" s="88">
        <v>0.38138781546052442</v>
      </c>
      <c r="G68" s="88">
        <f t="shared" si="2"/>
        <v>0.38138781546052442</v>
      </c>
      <c r="H68" s="67">
        <v>0</v>
      </c>
      <c r="I68" s="88">
        <v>0.38208857781104827</v>
      </c>
      <c r="J68" s="88">
        <f t="shared" si="3"/>
        <v>0.38208857781104832</v>
      </c>
      <c r="K68" s="79">
        <v>5.5511151231257827E-17</v>
      </c>
      <c r="L68" s="88">
        <v>0.61791142218895168</v>
      </c>
      <c r="M68" s="88" cm="1">
        <f t="array" ref="M68">IFERROR(K_STATS_Normal_Survival(E68,$F$5,$F$6),"")</f>
        <v>0.61791142218895168</v>
      </c>
      <c r="N68" s="79">
        <v>0</v>
      </c>
      <c r="O68" s="91">
        <v>0.38208857781104827</v>
      </c>
      <c r="P68" s="88">
        <v>-0.29999999999999766</v>
      </c>
      <c r="Q68" s="88" cm="1">
        <f t="array" ref="Q68">K_STATS_Normal_InverseCumulative(J68, $F$5, $F$6)</f>
        <v>-0.29999999999999755</v>
      </c>
      <c r="R68" s="90">
        <v>1.1102230246251565E-16</v>
      </c>
    </row>
    <row r="69" spans="1:18" ht="18" customHeight="1" x14ac:dyDescent="0.3">
      <c r="A69" s="124"/>
      <c r="B69" s="124"/>
      <c r="E69" s="78">
        <v>-0.1999999999999976</v>
      </c>
      <c r="F69" s="88">
        <v>0.3910426939754561</v>
      </c>
      <c r="G69" s="88">
        <f t="shared" si="2"/>
        <v>0.3910426939754561</v>
      </c>
      <c r="H69" s="67">
        <v>0</v>
      </c>
      <c r="I69" s="88">
        <v>0.4207402905608979</v>
      </c>
      <c r="J69" s="88">
        <f t="shared" si="3"/>
        <v>0.4207402905608979</v>
      </c>
      <c r="K69" s="79">
        <v>0</v>
      </c>
      <c r="L69" s="88">
        <v>0.5792597094391021</v>
      </c>
      <c r="M69" s="88" cm="1">
        <f t="array" ref="M69">IFERROR(K_STATS_Normal_Survival(E69,$F$5,$F$6),"")</f>
        <v>0.5792597094391021</v>
      </c>
      <c r="N69" s="79">
        <v>0</v>
      </c>
      <c r="O69" s="91">
        <v>0.4207402905608979</v>
      </c>
      <c r="P69" s="88">
        <v>-0.19999999999999765</v>
      </c>
      <c r="Q69" s="88" cm="1">
        <f t="array" ref="Q69">K_STATS_Normal_InverseCumulative(J69, $F$5, $F$6)</f>
        <v>-0.19999999999999754</v>
      </c>
      <c r="R69" s="90">
        <v>1.1102230246251565E-16</v>
      </c>
    </row>
    <row r="70" spans="1:18" ht="18" customHeight="1" x14ac:dyDescent="0.3">
      <c r="A70" s="124"/>
      <c r="B70" s="124"/>
      <c r="E70" s="78">
        <v>-9.9999999999997591E-2</v>
      </c>
      <c r="F70" s="88">
        <v>0.39695254747701186</v>
      </c>
      <c r="G70" s="88">
        <f t="shared" si="2"/>
        <v>0.39695254747701186</v>
      </c>
      <c r="H70" s="67">
        <v>0</v>
      </c>
      <c r="I70" s="88">
        <v>0.46017216272297196</v>
      </c>
      <c r="J70" s="88">
        <f t="shared" si="3"/>
        <v>0.46017216272297196</v>
      </c>
      <c r="K70" s="79">
        <v>0</v>
      </c>
      <c r="L70" s="88">
        <v>0.53982783727702799</v>
      </c>
      <c r="M70" s="88" cm="1">
        <f t="array" ref="M70">IFERROR(K_STATS_Normal_Survival(E70,$F$5,$F$6),"")</f>
        <v>0.53982783727702799</v>
      </c>
      <c r="N70" s="79">
        <v>0</v>
      </c>
      <c r="O70" s="91">
        <v>0.46017216272297196</v>
      </c>
      <c r="P70" s="88">
        <v>-9.9999999999997646E-2</v>
      </c>
      <c r="Q70" s="88" cm="1">
        <f t="array" ref="Q70">K_STATS_Normal_InverseCumulative(J70, $F$5, $F$6)</f>
        <v>-9.9999999999997521E-2</v>
      </c>
      <c r="R70" s="90">
        <v>1.2490009027033011E-16</v>
      </c>
    </row>
    <row r="71" spans="1:18" ht="18" customHeight="1" x14ac:dyDescent="0.3">
      <c r="A71" s="124"/>
      <c r="B71" s="124"/>
      <c r="E71" s="78">
        <v>2.4147350785597155E-15</v>
      </c>
      <c r="F71" s="88">
        <v>0.3989422804014327</v>
      </c>
      <c r="G71" s="88">
        <f t="shared" si="2"/>
        <v>0.3989422804014327</v>
      </c>
      <c r="H71" s="67">
        <v>0</v>
      </c>
      <c r="I71" s="88">
        <v>0.50000000000000089</v>
      </c>
      <c r="J71" s="88">
        <f t="shared" si="3"/>
        <v>0.50000000000000089</v>
      </c>
      <c r="K71" s="79">
        <v>0</v>
      </c>
      <c r="L71" s="88">
        <v>0.49999999999999911</v>
      </c>
      <c r="M71" s="88" cm="1">
        <f t="array" ref="M71">IFERROR(K_STATS_Normal_Survival(E71,$F$5,$F$6),"")</f>
        <v>0.49999999999999906</v>
      </c>
      <c r="N71" s="79">
        <v>5.5511151231257827E-17</v>
      </c>
      <c r="O71" s="91">
        <v>0.50000000000000089</v>
      </c>
      <c r="P71" s="88">
        <v>2.2263331397374137E-15</v>
      </c>
      <c r="Q71" s="88" cm="1">
        <f t="array" ref="Q71">K_STATS_Normal_InverseCumulative(J71, $F$5, $F$6)</f>
        <v>2.2263331422493949E-15</v>
      </c>
      <c r="R71" s="90">
        <v>2.5119812189783936E-24</v>
      </c>
    </row>
    <row r="72" spans="1:18" ht="18" customHeight="1" x14ac:dyDescent="0.3">
      <c r="A72" s="124"/>
      <c r="B72" s="124"/>
      <c r="E72" s="78">
        <v>0.10000000000000242</v>
      </c>
      <c r="F72" s="88">
        <v>0.3969525474770117</v>
      </c>
      <c r="G72" s="88">
        <f t="shared" si="2"/>
        <v>0.3969525474770117</v>
      </c>
      <c r="H72" s="67">
        <v>0</v>
      </c>
      <c r="I72" s="88">
        <v>0.53982783727702999</v>
      </c>
      <c r="J72" s="88">
        <f t="shared" si="3"/>
        <v>0.53982783727702999</v>
      </c>
      <c r="K72" s="79">
        <v>0</v>
      </c>
      <c r="L72" s="88">
        <v>0.46017216272297001</v>
      </c>
      <c r="M72" s="88" cm="1">
        <f t="array" ref="M72">IFERROR(K_STATS_Normal_Survival(E72,$F$5,$F$6),"")</f>
        <v>0.46017216272297007</v>
      </c>
      <c r="N72" s="79">
        <v>5.5511151231257827E-17</v>
      </c>
      <c r="O72" s="91">
        <v>0.53982783727702999</v>
      </c>
      <c r="P72" s="88">
        <v>0.10000000000000253</v>
      </c>
      <c r="Q72" s="88" cm="1">
        <f t="array" ref="Q72">K_STATS_Normal_InverseCumulative(J72, $F$5, $F$6)</f>
        <v>0.10000000000000255</v>
      </c>
      <c r="R72" s="90">
        <v>1.3877787807814457E-17</v>
      </c>
    </row>
    <row r="73" spans="1:18" ht="18" customHeight="1" x14ac:dyDescent="0.3">
      <c r="A73" s="124"/>
      <c r="B73" s="124"/>
      <c r="E73" s="78">
        <v>0.20000000000000243</v>
      </c>
      <c r="F73" s="88">
        <v>0.39104269397545571</v>
      </c>
      <c r="G73" s="88">
        <f t="shared" si="2"/>
        <v>0.39104269397545571</v>
      </c>
      <c r="H73" s="67">
        <v>0</v>
      </c>
      <c r="I73" s="88">
        <v>0.57925970943910399</v>
      </c>
      <c r="J73" s="88">
        <f t="shared" si="3"/>
        <v>0.57925970943910399</v>
      </c>
      <c r="K73" s="79">
        <v>0</v>
      </c>
      <c r="L73" s="88">
        <v>0.42074029056089601</v>
      </c>
      <c r="M73" s="88" cm="1">
        <f t="array" ref="M73">IFERROR(K_STATS_Normal_Survival(E73,$F$5,$F$6),"")</f>
        <v>0.42074029056089601</v>
      </c>
      <c r="N73" s="79">
        <v>0</v>
      </c>
      <c r="O73" s="91">
        <v>0.57925970943910399</v>
      </c>
      <c r="P73" s="88">
        <v>0.20000000000000248</v>
      </c>
      <c r="Q73" s="88" cm="1">
        <f t="array" ref="Q73">K_STATS_Normal_InverseCumulative(J73, $F$5, $F$6)</f>
        <v>0.20000000000000237</v>
      </c>
      <c r="R73" s="90">
        <v>1.1102230246251565E-16</v>
      </c>
    </row>
    <row r="74" spans="1:18" ht="18" customHeight="1" x14ac:dyDescent="0.3">
      <c r="A74" s="124"/>
      <c r="B74" s="124"/>
      <c r="E74" s="78">
        <v>0.30000000000000243</v>
      </c>
      <c r="F74" s="88">
        <v>0.3813878154605238</v>
      </c>
      <c r="G74" s="88">
        <f t="shared" si="2"/>
        <v>0.3813878154605238</v>
      </c>
      <c r="H74" s="67">
        <v>0</v>
      </c>
      <c r="I74" s="88">
        <v>0.61791142218895356</v>
      </c>
      <c r="J74" s="88">
        <f t="shared" si="3"/>
        <v>0.61791142218895356</v>
      </c>
      <c r="K74" s="79">
        <v>0</v>
      </c>
      <c r="L74" s="88">
        <v>0.38208857781104644</v>
      </c>
      <c r="M74" s="88" cm="1">
        <f t="array" ref="M74">IFERROR(K_STATS_Normal_Survival(E74,$F$5,$F$6),"")</f>
        <v>0.38208857781104644</v>
      </c>
      <c r="N74" s="79">
        <v>0</v>
      </c>
      <c r="O74" s="91">
        <v>0.61791142218895356</v>
      </c>
      <c r="P74" s="88">
        <v>0.30000000000000243</v>
      </c>
      <c r="Q74" s="88" cm="1">
        <f t="array" ref="Q74">K_STATS_Normal_InverseCumulative(J74, $F$5, $F$6)</f>
        <v>0.30000000000000249</v>
      </c>
      <c r="R74" s="90">
        <v>5.5511151231257827E-17</v>
      </c>
    </row>
    <row r="75" spans="1:18" ht="18" customHeight="1" x14ac:dyDescent="0.3">
      <c r="A75" s="124"/>
      <c r="B75" s="124"/>
      <c r="E75" s="78">
        <v>0.40000000000000246</v>
      </c>
      <c r="F75" s="88">
        <v>0.36827014030332295</v>
      </c>
      <c r="G75" s="88">
        <f t="shared" si="2"/>
        <v>0.36827014030332295</v>
      </c>
      <c r="H75" s="67">
        <v>0</v>
      </c>
      <c r="I75" s="88">
        <v>0.65542174161032518</v>
      </c>
      <c r="J75" s="88">
        <f t="shared" si="3"/>
        <v>0.65542174161032518</v>
      </c>
      <c r="K75" s="79">
        <v>0</v>
      </c>
      <c r="L75" s="88">
        <v>0.34457825838967482</v>
      </c>
      <c r="M75" s="88" cm="1">
        <f t="array" ref="M75">IFERROR(K_STATS_Normal_Survival(E75,$F$5,$F$6),"")</f>
        <v>0.34457825838967487</v>
      </c>
      <c r="N75" s="79">
        <v>5.5511151231257827E-17</v>
      </c>
      <c r="O75" s="91">
        <v>0.65542174161032518</v>
      </c>
      <c r="P75" s="88">
        <v>0.4000000000000028</v>
      </c>
      <c r="Q75" s="88" cm="1">
        <f t="array" ref="Q75">K_STATS_Normal_InverseCumulative(J75, $F$5, $F$6)</f>
        <v>0.40000000000000302</v>
      </c>
      <c r="R75" s="90">
        <v>2.2204460492503131E-16</v>
      </c>
    </row>
    <row r="76" spans="1:18" ht="18" customHeight="1" x14ac:dyDescent="0.3">
      <c r="A76" s="124"/>
      <c r="B76" s="124"/>
      <c r="E76" s="78">
        <v>0.50000000000000244</v>
      </c>
      <c r="F76" s="88">
        <v>0.35206532676429908</v>
      </c>
      <c r="G76" s="88">
        <f t="shared" si="2"/>
        <v>0.35206532676429908</v>
      </c>
      <c r="H76" s="67">
        <v>0</v>
      </c>
      <c r="I76" s="88">
        <v>0.69146246127401401</v>
      </c>
      <c r="J76" s="88">
        <f t="shared" si="3"/>
        <v>0.69146246127401401</v>
      </c>
      <c r="K76" s="79">
        <v>0</v>
      </c>
      <c r="L76" s="88">
        <v>0.30853753872598599</v>
      </c>
      <c r="M76" s="88" cm="1">
        <f t="array" ref="M76">IFERROR(K_STATS_Normal_Survival(E76,$F$5,$F$6),"")</f>
        <v>0.30853753872598599</v>
      </c>
      <c r="N76" s="79">
        <v>0</v>
      </c>
      <c r="O76" s="91">
        <v>0.69146246127401401</v>
      </c>
      <c r="P76" s="88">
        <v>0.50000000000000266</v>
      </c>
      <c r="Q76" s="88" cm="1">
        <f t="array" ref="Q76">K_STATS_Normal_InverseCumulative(J76, $F$5, $F$6)</f>
        <v>0.50000000000000244</v>
      </c>
      <c r="R76" s="90">
        <v>2.2204460492503131E-16</v>
      </c>
    </row>
    <row r="77" spans="1:18" ht="18" customHeight="1" x14ac:dyDescent="0.3">
      <c r="A77" s="124"/>
      <c r="B77" s="124"/>
      <c r="E77" s="78">
        <v>0.60000000000000242</v>
      </c>
      <c r="F77" s="88">
        <v>0.33322460289179917</v>
      </c>
      <c r="G77" s="88">
        <f t="shared" si="2"/>
        <v>0.33322460289179917</v>
      </c>
      <c r="H77" s="67">
        <v>0</v>
      </c>
      <c r="I77" s="88">
        <v>0.72574688224992723</v>
      </c>
      <c r="J77" s="88">
        <f t="shared" si="3"/>
        <v>0.72574688224992712</v>
      </c>
      <c r="K77" s="79">
        <v>1.1102230246251565E-16</v>
      </c>
      <c r="L77" s="88">
        <v>0.27425311775007277</v>
      </c>
      <c r="M77" s="88" cm="1">
        <f t="array" ref="M77">IFERROR(K_STATS_Normal_Survival(E77,$F$5,$F$6),"")</f>
        <v>0.27425311775007283</v>
      </c>
      <c r="N77" s="79">
        <v>5.5511151231257827E-17</v>
      </c>
      <c r="O77" s="91">
        <v>0.72574688224992723</v>
      </c>
      <c r="P77" s="88">
        <v>0.60000000000000242</v>
      </c>
      <c r="Q77" s="88" cm="1">
        <f t="array" ref="Q77">K_STATS_Normal_InverseCumulative(J77, $F$5, $F$6)</f>
        <v>0.6000000000000022</v>
      </c>
      <c r="R77" s="90">
        <v>2.2204460492503131E-16</v>
      </c>
    </row>
    <row r="78" spans="1:18" ht="18" customHeight="1" x14ac:dyDescent="0.3">
      <c r="A78" s="124"/>
      <c r="B78" s="124"/>
      <c r="E78" s="78">
        <v>0.7000000000000024</v>
      </c>
      <c r="F78" s="88">
        <v>0.31225393336676072</v>
      </c>
      <c r="G78" s="88">
        <f t="shared" si="2"/>
        <v>0.31225393336676072</v>
      </c>
      <c r="H78" s="67">
        <v>0</v>
      </c>
      <c r="I78" s="88">
        <v>0.75803634777692785</v>
      </c>
      <c r="J78" s="88">
        <f t="shared" si="3"/>
        <v>0.75803634777692774</v>
      </c>
      <c r="K78" s="79">
        <v>1.1102230246251565E-16</v>
      </c>
      <c r="L78" s="88">
        <v>0.24196365222307215</v>
      </c>
      <c r="M78" s="88" cm="1">
        <f t="array" ref="M78">IFERROR(K_STATS_Normal_Survival(E78,$F$5,$F$6),"")</f>
        <v>0.24196365222307228</v>
      </c>
      <c r="N78" s="79">
        <v>1.3877787807814457E-16</v>
      </c>
      <c r="O78" s="91">
        <v>0.75803634777692785</v>
      </c>
      <c r="P78" s="88">
        <v>0.70000000000000284</v>
      </c>
      <c r="Q78" s="88" cm="1">
        <f t="array" ref="Q78">K_STATS_Normal_InverseCumulative(J78, $F$5, $F$6)</f>
        <v>0.70000000000000262</v>
      </c>
      <c r="R78" s="90">
        <v>2.2204460492503131E-16</v>
      </c>
    </row>
    <row r="79" spans="1:18" ht="18" customHeight="1" x14ac:dyDescent="0.3">
      <c r="A79" s="124"/>
      <c r="B79" s="124"/>
      <c r="E79" s="78">
        <v>0.80000000000000238</v>
      </c>
      <c r="F79" s="88">
        <v>0.28969155276148217</v>
      </c>
      <c r="G79" s="88">
        <f t="shared" si="2"/>
        <v>0.28969155276148217</v>
      </c>
      <c r="H79" s="67">
        <v>0</v>
      </c>
      <c r="I79" s="88">
        <v>0.78814460141660403</v>
      </c>
      <c r="J79" s="88">
        <f t="shared" si="3"/>
        <v>0.78814460141660403</v>
      </c>
      <c r="K79" s="79">
        <v>0</v>
      </c>
      <c r="L79" s="88">
        <v>0.21185539858339597</v>
      </c>
      <c r="M79" s="88" cm="1">
        <f t="array" ref="M79">IFERROR(K_STATS_Normal_Survival(E79,$F$5,$F$6),"")</f>
        <v>0.211855398583396</v>
      </c>
      <c r="N79" s="79">
        <v>2.7755575615628914E-17</v>
      </c>
      <c r="O79" s="91">
        <v>0.78814460141660403</v>
      </c>
      <c r="P79" s="88">
        <v>0.80000000000000238</v>
      </c>
      <c r="Q79" s="88" cm="1">
        <f t="array" ref="Q79">K_STATS_Normal_InverseCumulative(J79, $F$5, $F$6)</f>
        <v>0.80000000000000249</v>
      </c>
      <c r="R79" s="90">
        <v>1.1102230246251565E-16</v>
      </c>
    </row>
    <row r="80" spans="1:18" ht="18" customHeight="1" x14ac:dyDescent="0.3">
      <c r="A80" s="124"/>
      <c r="B80" s="124"/>
      <c r="E80" s="78">
        <v>0.90000000000000235</v>
      </c>
      <c r="F80" s="88">
        <v>0.26608524989875426</v>
      </c>
      <c r="G80" s="88">
        <f t="shared" si="2"/>
        <v>0.26608524989875426</v>
      </c>
      <c r="H80" s="67">
        <v>0</v>
      </c>
      <c r="I80" s="88">
        <v>0.81593987465324114</v>
      </c>
      <c r="J80" s="88">
        <f t="shared" si="3"/>
        <v>0.81593987465324114</v>
      </c>
      <c r="K80" s="79">
        <v>0</v>
      </c>
      <c r="L80" s="88">
        <v>0.18406012534675886</v>
      </c>
      <c r="M80" s="88" cm="1">
        <f t="array" ref="M80">IFERROR(K_STATS_Normal_Survival(E80,$F$5,$F$6),"")</f>
        <v>0.18406012534675883</v>
      </c>
      <c r="N80" s="79">
        <v>2.7755575615628914E-17</v>
      </c>
      <c r="O80" s="91">
        <v>0.81593987465324114</v>
      </c>
      <c r="P80" s="88">
        <v>0.90000000000000302</v>
      </c>
      <c r="Q80" s="88" cm="1">
        <f t="array" ref="Q80">K_STATS_Normal_InverseCumulative(J80, $F$5, $F$6)</f>
        <v>0.90000000000000235</v>
      </c>
      <c r="R80" s="90">
        <v>6.6613381477509392E-16</v>
      </c>
    </row>
    <row r="81" spans="1:18" ht="18" customHeight="1" x14ac:dyDescent="0.3">
      <c r="A81" s="124"/>
      <c r="B81" s="124"/>
      <c r="E81" s="78">
        <v>1.0000000000000024</v>
      </c>
      <c r="F81" s="88">
        <v>0.24197072451914278</v>
      </c>
      <c r="G81" s="88">
        <f t="shared" si="2"/>
        <v>0.24197072451914278</v>
      </c>
      <c r="H81" s="67">
        <v>0</v>
      </c>
      <c r="I81" s="88">
        <v>0.84134474606854359</v>
      </c>
      <c r="J81" s="88">
        <f t="shared" si="3"/>
        <v>0.84134474606854348</v>
      </c>
      <c r="K81" s="79">
        <v>1.1102230246251565E-16</v>
      </c>
      <c r="L81" s="88">
        <v>0.15865525393145641</v>
      </c>
      <c r="M81" s="88" cm="1">
        <f t="array" ref="M81">IFERROR(K_STATS_Normal_Survival(E81,$F$5,$F$6),"")</f>
        <v>0.15865525393145649</v>
      </c>
      <c r="N81" s="79">
        <v>8.3266726846886741E-17</v>
      </c>
      <c r="O81" s="91">
        <v>0.84134474606854359</v>
      </c>
      <c r="P81" s="88">
        <v>1.0000000000000013</v>
      </c>
      <c r="Q81" s="88" cm="1">
        <f t="array" ref="Q81">K_STATS_Normal_InverseCumulative(J81, $F$5, $F$6)</f>
        <v>1.0000000000000027</v>
      </c>
      <c r="R81" s="90">
        <v>1.3322676295501878E-15</v>
      </c>
    </row>
    <row r="82" spans="1:18" ht="18" customHeight="1" x14ac:dyDescent="0.3">
      <c r="A82" s="124"/>
      <c r="B82" s="124"/>
      <c r="E82" s="78">
        <v>1.1000000000000025</v>
      </c>
      <c r="F82" s="88">
        <v>0.21785217703254997</v>
      </c>
      <c r="G82" s="88">
        <f t="shared" si="2"/>
        <v>0.21785217703254997</v>
      </c>
      <c r="H82" s="67">
        <v>0</v>
      </c>
      <c r="I82" s="88">
        <v>0.86433393905361788</v>
      </c>
      <c r="J82" s="88">
        <f t="shared" si="3"/>
        <v>0.86433393905361777</v>
      </c>
      <c r="K82" s="79">
        <v>1.1102230246251565E-16</v>
      </c>
      <c r="L82" s="88">
        <v>0.13566606094638212</v>
      </c>
      <c r="M82" s="88" cm="1">
        <f t="array" ref="M82">IFERROR(K_STATS_Normal_Survival(E82,$F$5,$F$6),"")</f>
        <v>0.13566606094638217</v>
      </c>
      <c r="N82" s="79">
        <v>5.5511151231257827E-17</v>
      </c>
      <c r="O82" s="91">
        <v>0.86433393905361788</v>
      </c>
      <c r="P82" s="88">
        <v>1.100000000000003</v>
      </c>
      <c r="Q82" s="88" cm="1">
        <f t="array" ref="Q82">K_STATS_Normal_InverseCumulative(J82, $F$5, $F$6)</f>
        <v>1.1000000000000021</v>
      </c>
      <c r="R82" s="90">
        <v>8.8817841970012523E-16</v>
      </c>
    </row>
    <row r="83" spans="1:18" ht="18" customHeight="1" x14ac:dyDescent="0.3">
      <c r="A83" s="124"/>
      <c r="B83" s="124"/>
      <c r="E83" s="78">
        <v>1.2000000000000026</v>
      </c>
      <c r="F83" s="88">
        <v>0.19418605498321231</v>
      </c>
      <c r="G83" s="88">
        <f t="shared" si="2"/>
        <v>0.19418605498321231</v>
      </c>
      <c r="H83" s="67">
        <v>0</v>
      </c>
      <c r="I83" s="88">
        <v>0.88493032977829222</v>
      </c>
      <c r="J83" s="88">
        <f t="shared" si="3"/>
        <v>0.88493032977829222</v>
      </c>
      <c r="K83" s="79">
        <v>0</v>
      </c>
      <c r="L83" s="88">
        <v>0.11506967022170778</v>
      </c>
      <c r="M83" s="88" cm="1">
        <f t="array" ref="M83">IFERROR(K_STATS_Normal_Survival(E83,$F$5,$F$6),"")</f>
        <v>0.11506967022170778</v>
      </c>
      <c r="N83" s="79">
        <v>0</v>
      </c>
      <c r="O83" s="91">
        <v>0.88493032977829222</v>
      </c>
      <c r="P83" s="88">
        <v>1.2000000000000028</v>
      </c>
      <c r="Q83" s="88" cm="1">
        <f t="array" ref="Q83">K_STATS_Normal_InverseCumulative(J83, $F$5, $F$6)</f>
        <v>1.2000000000000028</v>
      </c>
      <c r="R83" s="90">
        <v>0</v>
      </c>
    </row>
    <row r="84" spans="1:18" ht="18" customHeight="1" x14ac:dyDescent="0.3">
      <c r="A84" s="124"/>
      <c r="B84" s="124"/>
      <c r="E84" s="78">
        <v>1.3000000000000027</v>
      </c>
      <c r="F84" s="88">
        <v>0.17136859204780677</v>
      </c>
      <c r="G84" s="88">
        <f t="shared" si="2"/>
        <v>0.17136859204780677</v>
      </c>
      <c r="H84" s="67">
        <v>0</v>
      </c>
      <c r="I84" s="88">
        <v>0.90319951541439014</v>
      </c>
      <c r="J84" s="88">
        <f t="shared" si="3"/>
        <v>0.90319951541439014</v>
      </c>
      <c r="K84" s="79">
        <v>0</v>
      </c>
      <c r="L84" s="88">
        <v>9.6800484585609858E-2</v>
      </c>
      <c r="M84" s="88" cm="1">
        <f t="array" ref="M84">IFERROR(K_STATS_Normal_Survival(E84,$F$5,$F$6),"")</f>
        <v>9.6800484585609886E-2</v>
      </c>
      <c r="N84" s="79">
        <v>2.7755575615628914E-17</v>
      </c>
      <c r="O84" s="91">
        <v>0.90319951541439014</v>
      </c>
      <c r="P84" s="88">
        <v>1.3000000000000025</v>
      </c>
      <c r="Q84" s="88" cm="1">
        <f t="array" ref="Q84">K_STATS_Normal_InverseCumulative(J84, $F$5, $F$6)</f>
        <v>1.3000000000000027</v>
      </c>
      <c r="R84" s="90">
        <v>2.2204460492503131E-16</v>
      </c>
    </row>
    <row r="85" spans="1:18" ht="18" customHeight="1" x14ac:dyDescent="0.3">
      <c r="A85" s="124"/>
      <c r="B85" s="124"/>
      <c r="E85" s="78">
        <v>1.4000000000000028</v>
      </c>
      <c r="F85" s="88">
        <v>0.14972746563574427</v>
      </c>
      <c r="G85" s="88">
        <f t="shared" si="2"/>
        <v>0.14972746563574427</v>
      </c>
      <c r="H85" s="67">
        <v>0</v>
      </c>
      <c r="I85" s="88">
        <v>0.91924334076622938</v>
      </c>
      <c r="J85" s="88">
        <f t="shared" si="3"/>
        <v>0.91924334076622938</v>
      </c>
      <c r="K85" s="79">
        <v>0</v>
      </c>
      <c r="L85" s="88">
        <v>8.0756659233770622E-2</v>
      </c>
      <c r="M85" s="88" cm="1">
        <f t="array" ref="M85">IFERROR(K_STATS_Normal_Survival(E85,$F$5,$F$6),"")</f>
        <v>8.075665923377065E-2</v>
      </c>
      <c r="N85" s="79">
        <v>2.7755575615628914E-17</v>
      </c>
      <c r="O85" s="91">
        <v>0.91924334076622938</v>
      </c>
      <c r="P85" s="88">
        <v>1.4000000000000041</v>
      </c>
      <c r="Q85" s="88" cm="1">
        <f t="array" ref="Q85">K_STATS_Normal_InverseCumulative(J85, $F$5, $F$6)</f>
        <v>1.4000000000000026</v>
      </c>
      <c r="R85" s="90">
        <v>1.5543122344752192E-15</v>
      </c>
    </row>
    <row r="86" spans="1:18" ht="18" customHeight="1" x14ac:dyDescent="0.3">
      <c r="A86" s="124"/>
      <c r="B86" s="124"/>
      <c r="E86" s="78">
        <v>1.5000000000000029</v>
      </c>
      <c r="F86" s="88">
        <v>0.12951759566589116</v>
      </c>
      <c r="G86" s="88">
        <f t="shared" si="2"/>
        <v>0.12951759566589116</v>
      </c>
      <c r="H86" s="67">
        <v>0</v>
      </c>
      <c r="I86" s="88">
        <v>0.93319279873114236</v>
      </c>
      <c r="J86" s="88">
        <f t="shared" si="3"/>
        <v>0.93319279873114236</v>
      </c>
      <c r="K86" s="79">
        <v>0</v>
      </c>
      <c r="L86" s="88">
        <v>6.6807201268857641E-2</v>
      </c>
      <c r="M86" s="88" cm="1">
        <f t="array" ref="M86">IFERROR(K_STATS_Normal_Survival(E86,$F$5,$F$6),"")</f>
        <v>6.6807201268857697E-2</v>
      </c>
      <c r="N86" s="79">
        <v>5.5511151231257827E-17</v>
      </c>
      <c r="O86" s="91">
        <v>0.93319279873114236</v>
      </c>
      <c r="P86" s="88">
        <v>1.5000000000000033</v>
      </c>
      <c r="Q86" s="88" cm="1">
        <f t="array" ref="Q86">K_STATS_Normal_InverseCumulative(J86, $F$5, $F$6)</f>
        <v>1.5000000000000029</v>
      </c>
      <c r="R86" s="90">
        <v>4.4408920985006262E-16</v>
      </c>
    </row>
    <row r="87" spans="1:18" ht="18" customHeight="1" x14ac:dyDescent="0.3">
      <c r="A87" s="124"/>
      <c r="B87" s="124"/>
      <c r="E87" s="78">
        <v>1.600000000000003</v>
      </c>
      <c r="F87" s="88">
        <v>0.11092083467945503</v>
      </c>
      <c r="G87" s="88">
        <f t="shared" si="2"/>
        <v>0.11092083467945503</v>
      </c>
      <c r="H87" s="67">
        <v>0</v>
      </c>
      <c r="I87" s="88">
        <v>0.94520070830044234</v>
      </c>
      <c r="J87" s="88">
        <f t="shared" si="3"/>
        <v>0.94520070830044234</v>
      </c>
      <c r="K87" s="79">
        <v>0</v>
      </c>
      <c r="L87" s="88">
        <v>5.4799291699557662E-2</v>
      </c>
      <c r="M87" s="88" cm="1">
        <f t="array" ref="M87">IFERROR(K_STATS_Normal_Survival(E87,$F$5,$F$6),"")</f>
        <v>5.4799291699557634E-2</v>
      </c>
      <c r="N87" s="79">
        <v>2.7755575615628914E-17</v>
      </c>
      <c r="O87" s="91">
        <v>0.94520070830044234</v>
      </c>
      <c r="P87" s="88">
        <v>1.6000000000000028</v>
      </c>
      <c r="Q87" s="88" cm="1">
        <f t="array" ref="Q87">K_STATS_Normal_InverseCumulative(J87, $F$5, $F$6)</f>
        <v>1.6000000000000025</v>
      </c>
      <c r="R87" s="90">
        <v>2.2204460492503131E-16</v>
      </c>
    </row>
    <row r="88" spans="1:18" ht="18" customHeight="1" x14ac:dyDescent="0.3">
      <c r="A88" s="124"/>
      <c r="B88" s="124"/>
      <c r="E88" s="78">
        <v>1.7000000000000031</v>
      </c>
      <c r="F88" s="88">
        <v>9.4049077376886434E-2</v>
      </c>
      <c r="G88" s="88">
        <f t="shared" si="2"/>
        <v>9.4049077376886434E-2</v>
      </c>
      <c r="H88" s="67">
        <v>0</v>
      </c>
      <c r="I88" s="88">
        <v>0.95543453724145722</v>
      </c>
      <c r="J88" s="88">
        <f t="shared" si="3"/>
        <v>0.95543453724145722</v>
      </c>
      <c r="K88" s="79">
        <v>0</v>
      </c>
      <c r="L88" s="88">
        <v>4.4565462758542784E-2</v>
      </c>
      <c r="M88" s="88" cm="1">
        <f t="array" ref="M88">IFERROR(K_STATS_Normal_Survival(E88,$F$5,$F$6),"")</f>
        <v>4.4565462758542729E-2</v>
      </c>
      <c r="N88" s="79">
        <v>5.5511151231257827E-17</v>
      </c>
      <c r="O88" s="91">
        <v>0.95543453724145722</v>
      </c>
      <c r="P88" s="88">
        <v>1.7000000000000024</v>
      </c>
      <c r="Q88" s="88" cm="1">
        <f t="array" ref="Q88">K_STATS_Normal_InverseCumulative(J88, $F$5, $F$6)</f>
        <v>1.7000000000000028</v>
      </c>
      <c r="R88" s="90">
        <v>4.4408920985006262E-16</v>
      </c>
    </row>
    <row r="89" spans="1:18" ht="18" customHeight="1" x14ac:dyDescent="0.3">
      <c r="A89" s="124"/>
      <c r="B89" s="124"/>
      <c r="E89" s="78">
        <v>1.8000000000000032</v>
      </c>
      <c r="F89" s="88">
        <v>7.8950158300893719E-2</v>
      </c>
      <c r="G89" s="88">
        <f t="shared" si="2"/>
        <v>7.8950158300893719E-2</v>
      </c>
      <c r="H89" s="67">
        <v>0</v>
      </c>
      <c r="I89" s="88">
        <v>0.96406968088707445</v>
      </c>
      <c r="J89" s="88">
        <f t="shared" si="3"/>
        <v>0.96406968088707445</v>
      </c>
      <c r="K89" s="79">
        <v>0</v>
      </c>
      <c r="L89" s="88">
        <v>3.5930319112925546E-2</v>
      </c>
      <c r="M89" s="88" cm="1">
        <f t="array" ref="M89">IFERROR(K_STATS_Normal_Survival(E89,$F$5,$F$6),"")</f>
        <v>3.5930319112925553E-2</v>
      </c>
      <c r="N89" s="79">
        <v>6.9388939039072284E-18</v>
      </c>
      <c r="O89" s="91">
        <v>0.96406968088707445</v>
      </c>
      <c r="P89" s="88">
        <v>1.8000000000000034</v>
      </c>
      <c r="Q89" s="88" cm="1">
        <f t="array" ref="Q89">K_STATS_Normal_InverseCumulative(J89, $F$5, $F$6)</f>
        <v>1.8000000000000038</v>
      </c>
      <c r="R89" s="90">
        <v>4.4408920985006262E-16</v>
      </c>
    </row>
    <row r="90" spans="1:18" ht="18" customHeight="1" x14ac:dyDescent="0.3">
      <c r="A90" s="124"/>
      <c r="B90" s="124"/>
      <c r="E90" s="78">
        <v>1.9000000000000032</v>
      </c>
      <c r="F90" s="88">
        <v>6.5615814774676193E-2</v>
      </c>
      <c r="G90" s="88">
        <f t="shared" si="2"/>
        <v>6.5615814774676193E-2</v>
      </c>
      <c r="H90" s="67">
        <v>0</v>
      </c>
      <c r="I90" s="88">
        <v>0.97128344018399848</v>
      </c>
      <c r="J90" s="88">
        <f t="shared" si="3"/>
        <v>0.97128344018399837</v>
      </c>
      <c r="K90" s="79">
        <v>1.1102230246251565E-16</v>
      </c>
      <c r="L90" s="88">
        <v>2.8716559816001519E-2</v>
      </c>
      <c r="M90" s="88" cm="1">
        <f t="array" ref="M90">IFERROR(K_STATS_Normal_Survival(E90,$F$5,$F$6),"")</f>
        <v>2.8716559816001592E-2</v>
      </c>
      <c r="N90" s="79">
        <v>7.2858385991025898E-17</v>
      </c>
      <c r="O90" s="91">
        <v>0.97128344018399848</v>
      </c>
      <c r="P90" s="88">
        <v>1.9000000000000039</v>
      </c>
      <c r="Q90" s="88" cm="1">
        <f t="array" ref="Q90">K_STATS_Normal_InverseCumulative(J90, $F$5, $F$6)</f>
        <v>1.9000000000000028</v>
      </c>
      <c r="R90" s="90">
        <v>1.1102230246251565E-15</v>
      </c>
    </row>
    <row r="91" spans="1:18" ht="18" customHeight="1" x14ac:dyDescent="0.3">
      <c r="A91" s="124"/>
      <c r="B91" s="124"/>
      <c r="E91" s="78">
        <v>2.0000000000000031</v>
      </c>
      <c r="F91" s="88">
        <v>5.3990966513187716E-2</v>
      </c>
      <c r="G91" s="88">
        <f t="shared" si="2"/>
        <v>5.3990966513187716E-2</v>
      </c>
      <c r="H91" s="67">
        <v>0</v>
      </c>
      <c r="I91" s="88">
        <v>0.97724986805182101</v>
      </c>
      <c r="J91" s="88">
        <f t="shared" si="3"/>
        <v>0.9772498680518209</v>
      </c>
      <c r="K91" s="79">
        <v>1.1102230246251565E-16</v>
      </c>
      <c r="L91" s="88">
        <v>2.2750131948178987E-2</v>
      </c>
      <c r="M91" s="88" cm="1">
        <f t="array" ref="M91">IFERROR(K_STATS_Normal_Survival(E91,$F$5,$F$6),"")</f>
        <v>2.2750131948179059E-2</v>
      </c>
      <c r="N91" s="79">
        <v>7.2858385991025898E-17</v>
      </c>
      <c r="O91" s="91">
        <v>0.97724986805182101</v>
      </c>
      <c r="P91" s="88">
        <v>2.0000000000000036</v>
      </c>
      <c r="Q91" s="88" cm="1">
        <f t="array" ref="Q91">K_STATS_Normal_InverseCumulative(J91, $F$5, $F$6)</f>
        <v>2.0000000000000027</v>
      </c>
      <c r="R91" s="90">
        <v>8.8817841970012523E-16</v>
      </c>
    </row>
    <row r="92" spans="1:18" ht="18" customHeight="1" x14ac:dyDescent="0.3">
      <c r="A92" s="124"/>
      <c r="B92" s="124"/>
      <c r="E92" s="78">
        <v>2.1000000000000032</v>
      </c>
      <c r="F92" s="88">
        <v>4.39835959804269E-2</v>
      </c>
      <c r="G92" s="88">
        <f t="shared" si="2"/>
        <v>4.39835959804269E-2</v>
      </c>
      <c r="H92" s="67">
        <v>0</v>
      </c>
      <c r="I92" s="88">
        <v>0.98213557943718355</v>
      </c>
      <c r="J92" s="88">
        <f t="shared" si="3"/>
        <v>0.98213557943718355</v>
      </c>
      <c r="K92" s="79">
        <v>0</v>
      </c>
      <c r="L92" s="88">
        <v>1.7864420562816452E-2</v>
      </c>
      <c r="M92" s="88" cm="1">
        <f t="array" ref="M92">IFERROR(K_STATS_Normal_Survival(E92,$F$5,$F$6),"")</f>
        <v>1.7864420562816431E-2</v>
      </c>
      <c r="N92" s="79">
        <v>2.0816681711721685E-17</v>
      </c>
      <c r="O92" s="91">
        <v>0.98213557943718355</v>
      </c>
      <c r="P92" s="88">
        <v>2.1000000000000023</v>
      </c>
      <c r="Q92" s="88" cm="1">
        <f t="array" ref="Q92">K_STATS_Normal_InverseCumulative(J92, $F$5, $F$6)</f>
        <v>2.1000000000000023</v>
      </c>
      <c r="R92" s="90">
        <v>0</v>
      </c>
    </row>
    <row r="93" spans="1:18" ht="18" customHeight="1" x14ac:dyDescent="0.3">
      <c r="A93" s="124"/>
      <c r="B93" s="124"/>
      <c r="E93" s="78">
        <v>2.2000000000000033</v>
      </c>
      <c r="F93" s="88">
        <v>3.5474592846231189E-2</v>
      </c>
      <c r="G93" s="88">
        <f t="shared" si="2"/>
        <v>3.5474592846231189E-2</v>
      </c>
      <c r="H93" s="67">
        <v>0</v>
      </c>
      <c r="I93" s="88">
        <v>0.98609655248650152</v>
      </c>
      <c r="J93" s="88">
        <f t="shared" si="3"/>
        <v>0.98609655248650152</v>
      </c>
      <c r="K93" s="79">
        <v>0</v>
      </c>
      <c r="L93" s="88">
        <v>1.3903447513498479E-2</v>
      </c>
      <c r="M93" s="88" cm="1">
        <f t="array" ref="M93">IFERROR(K_STATS_Normal_Survival(E93,$F$5,$F$6),"")</f>
        <v>1.3903447513498503E-2</v>
      </c>
      <c r="N93" s="79">
        <v>2.4286128663675299E-17</v>
      </c>
      <c r="O93" s="91">
        <v>0.98609655248650152</v>
      </c>
      <c r="P93" s="88">
        <v>2.2000000000000033</v>
      </c>
      <c r="Q93" s="88" cm="1">
        <f t="array" ref="Q93">K_STATS_Normal_InverseCumulative(J93, $F$5, $F$6)</f>
        <v>2.2000000000000046</v>
      </c>
      <c r="R93" s="90">
        <v>1.3322676295501878E-15</v>
      </c>
    </row>
    <row r="94" spans="1:18" ht="18" customHeight="1" x14ac:dyDescent="0.3">
      <c r="A94" s="124"/>
      <c r="B94" s="124"/>
      <c r="E94" s="78">
        <v>2.3000000000000034</v>
      </c>
      <c r="F94" s="88">
        <v>2.8327037741600961E-2</v>
      </c>
      <c r="G94" s="88">
        <f t="shared" si="2"/>
        <v>2.8327037741600961E-2</v>
      </c>
      <c r="H94" s="67">
        <v>0</v>
      </c>
      <c r="I94" s="88">
        <v>0.98927588997832427</v>
      </c>
      <c r="J94" s="88">
        <f t="shared" si="3"/>
        <v>0.98927588997832427</v>
      </c>
      <c r="K94" s="79">
        <v>0</v>
      </c>
      <c r="L94" s="88">
        <v>1.0724110021675726E-2</v>
      </c>
      <c r="M94" s="88" cm="1">
        <f t="array" ref="M94">IFERROR(K_STATS_Normal_Survival(E94,$F$5,$F$6),"")</f>
        <v>1.0724110021675705E-2</v>
      </c>
      <c r="N94" s="79">
        <v>2.0816681711721685E-17</v>
      </c>
      <c r="O94" s="91">
        <v>0.98927588997832427</v>
      </c>
      <c r="P94" s="88">
        <v>2.3000000000000029</v>
      </c>
      <c r="Q94" s="88" cm="1">
        <f t="array" ref="Q94">K_STATS_Normal_InverseCumulative(J94, $F$5, $F$6)</f>
        <v>2.3000000000000007</v>
      </c>
      <c r="R94" s="90">
        <v>2.2204460492503131E-15</v>
      </c>
    </row>
    <row r="95" spans="1:18" ht="18" customHeight="1" x14ac:dyDescent="0.3">
      <c r="A95" s="124"/>
      <c r="B95" s="124"/>
      <c r="E95" s="78">
        <v>2.4000000000000035</v>
      </c>
      <c r="F95" s="88">
        <v>2.2394530294842712E-2</v>
      </c>
      <c r="G95" s="88">
        <f t="shared" si="2"/>
        <v>2.2394530294842712E-2</v>
      </c>
      <c r="H95" s="67">
        <v>0</v>
      </c>
      <c r="I95" s="88">
        <v>0.99180246407540396</v>
      </c>
      <c r="J95" s="88">
        <f t="shared" si="3"/>
        <v>0.99180246407540396</v>
      </c>
      <c r="K95" s="79">
        <v>0</v>
      </c>
      <c r="L95" s="88">
        <v>8.1975359245960444E-3</v>
      </c>
      <c r="M95" s="88" cm="1">
        <f t="array" ref="M95">IFERROR(K_STATS_Normal_Survival(E95,$F$5,$F$6),"")</f>
        <v>8.1975359245960323E-3</v>
      </c>
      <c r="N95" s="79">
        <v>1.214306433183765E-17</v>
      </c>
      <c r="O95" s="91">
        <v>0.99180246407540396</v>
      </c>
      <c r="P95" s="88">
        <v>2.4000000000000035</v>
      </c>
      <c r="Q95" s="88" cm="1">
        <f t="array" ref="Q95">K_STATS_Normal_InverseCumulative(J95, $F$5, $F$6)</f>
        <v>2.400000000000003</v>
      </c>
      <c r="R95" s="90">
        <v>4.4408920985006262E-16</v>
      </c>
    </row>
    <row r="96" spans="1:18" ht="18" customHeight="1" x14ac:dyDescent="0.3">
      <c r="A96" s="124"/>
      <c r="B96" s="124"/>
      <c r="E96" s="78">
        <v>2.5000000000000036</v>
      </c>
      <c r="F96" s="88">
        <v>1.7528300493568381E-2</v>
      </c>
      <c r="G96" s="88">
        <f t="shared" ref="G96:G111" si="4">IFERROR(K_STATS_Normal_Density(E96,$F$5,$F$6),"")</f>
        <v>1.7528300493568381E-2</v>
      </c>
      <c r="H96" s="67">
        <v>0</v>
      </c>
      <c r="I96" s="88">
        <v>0.99379033467422395</v>
      </c>
      <c r="J96" s="88">
        <f t="shared" ref="J96:J111" si="5">IFERROR(K_STATS_Normal_Cumulative(E96,$F$5,$F$6),"")</f>
        <v>0.99379033467422395</v>
      </c>
      <c r="K96" s="79">
        <v>0</v>
      </c>
      <c r="L96" s="88">
        <v>6.2096653257760481E-3</v>
      </c>
      <c r="M96" s="88" cm="1">
        <f t="array" ref="M96">IFERROR(K_STATS_Normal_Survival(E96,$F$5,$F$6),"")</f>
        <v>6.209665325776049E-3</v>
      </c>
      <c r="N96" s="79">
        <v>8.6736173798840355E-19</v>
      </c>
      <c r="O96" s="91">
        <v>0.99379033467422395</v>
      </c>
      <c r="P96" s="88">
        <v>2.500000000000004</v>
      </c>
      <c r="Q96" s="88" cm="1">
        <f t="array" ref="Q96">K_STATS_Normal_InverseCumulative(J96, $F$5, $F$6)</f>
        <v>2.5000000000000009</v>
      </c>
      <c r="R96" s="90">
        <v>3.1086244689504383E-15</v>
      </c>
    </row>
    <row r="97" spans="1:18" ht="18" customHeight="1" x14ac:dyDescent="0.3">
      <c r="A97" s="124"/>
      <c r="B97" s="124"/>
      <c r="E97" s="78">
        <v>2.6000000000000036</v>
      </c>
      <c r="F97" s="88">
        <v>1.3582969233685486E-2</v>
      </c>
      <c r="G97" s="88">
        <f t="shared" si="4"/>
        <v>1.3582969233685486E-2</v>
      </c>
      <c r="H97" s="67">
        <v>0</v>
      </c>
      <c r="I97" s="88">
        <v>0.99533881197628127</v>
      </c>
      <c r="J97" s="88">
        <f t="shared" si="5"/>
        <v>0.99533881197628127</v>
      </c>
      <c r="K97" s="79">
        <v>0</v>
      </c>
      <c r="L97" s="88">
        <v>4.661188023718732E-3</v>
      </c>
      <c r="M97" s="88" cm="1">
        <f t="array" ref="M97">IFERROR(K_STATS_Normal_Survival(E97,$F$5,$F$6),"")</f>
        <v>4.6611880237186817E-3</v>
      </c>
      <c r="N97" s="79">
        <v>5.0306980803327406E-17</v>
      </c>
      <c r="O97" s="91">
        <v>0.99533881197628127</v>
      </c>
      <c r="P97" s="88">
        <v>2.600000000000001</v>
      </c>
      <c r="Q97" s="88" cm="1">
        <f t="array" ref="Q97">K_STATS_Normal_InverseCumulative(J97, $F$5, $F$6)</f>
        <v>2.5999999999999974</v>
      </c>
      <c r="R97" s="90">
        <v>3.5527136788005009E-15</v>
      </c>
    </row>
    <row r="98" spans="1:18" ht="18" customHeight="1" x14ac:dyDescent="0.3">
      <c r="A98" s="124"/>
      <c r="B98" s="124"/>
      <c r="E98" s="78">
        <v>2.7000000000000037</v>
      </c>
      <c r="F98" s="88">
        <v>1.0420934814422488E-2</v>
      </c>
      <c r="G98" s="88">
        <f t="shared" si="4"/>
        <v>1.0420934814422488E-2</v>
      </c>
      <c r="H98" s="67">
        <v>0</v>
      </c>
      <c r="I98" s="88">
        <v>0.99653302619695938</v>
      </c>
      <c r="J98" s="88">
        <f t="shared" si="5"/>
        <v>0.99653302619695938</v>
      </c>
      <c r="K98" s="79">
        <v>0</v>
      </c>
      <c r="L98" s="88">
        <v>3.4669738030406183E-3</v>
      </c>
      <c r="M98" s="88" cm="1">
        <f t="array" ref="M98">IFERROR(K_STATS_Normal_Survival(E98,$F$5,$F$6),"")</f>
        <v>3.4669738030406218E-3</v>
      </c>
      <c r="N98" s="79">
        <v>3.4694469519536142E-18</v>
      </c>
      <c r="O98" s="91">
        <v>0.99653302619695938</v>
      </c>
      <c r="P98" s="88">
        <v>2.7000000000000042</v>
      </c>
      <c r="Q98" s="88" cm="1">
        <f t="array" ref="Q98">K_STATS_Normal_InverseCumulative(J98, $F$5, $F$6)</f>
        <v>2.7000000000000064</v>
      </c>
      <c r="R98" s="90">
        <v>2.2204460492503131E-15</v>
      </c>
    </row>
    <row r="99" spans="1:18" ht="18" customHeight="1" x14ac:dyDescent="0.3">
      <c r="A99" s="124"/>
      <c r="B99" s="124"/>
      <c r="E99" s="78">
        <v>2.8000000000000038</v>
      </c>
      <c r="F99" s="88">
        <v>7.9154515829798801E-3</v>
      </c>
      <c r="G99" s="88">
        <f t="shared" si="4"/>
        <v>7.9154515829798801E-3</v>
      </c>
      <c r="H99" s="67">
        <v>0</v>
      </c>
      <c r="I99" s="88">
        <v>0.99744486966957213</v>
      </c>
      <c r="J99" s="88">
        <f t="shared" si="5"/>
        <v>0.99744486966957213</v>
      </c>
      <c r="K99" s="79">
        <v>0</v>
      </c>
      <c r="L99" s="88">
        <v>2.5551303304278683E-3</v>
      </c>
      <c r="M99" s="88" cm="1">
        <f t="array" ref="M99">IFERROR(K_STATS_Normal_Survival(E99,$F$5,$F$6),"")</f>
        <v>2.5551303304279086E-3</v>
      </c>
      <c r="N99" s="79">
        <v>4.0332320816460765E-17</v>
      </c>
      <c r="O99" s="91">
        <v>0.99744486966957213</v>
      </c>
      <c r="P99" s="88">
        <v>2.8000000000000069</v>
      </c>
      <c r="Q99" s="88" cm="1">
        <f t="array" ref="Q99">K_STATS_Normal_InverseCumulative(J99, $F$5, $F$6)</f>
        <v>2.8000000000000074</v>
      </c>
      <c r="R99" s="90">
        <v>4.4408920985006262E-16</v>
      </c>
    </row>
    <row r="100" spans="1:18" ht="18" customHeight="1" x14ac:dyDescent="0.3">
      <c r="A100" s="124"/>
      <c r="B100" s="124"/>
      <c r="E100" s="78">
        <v>2.9000000000000039</v>
      </c>
      <c r="F100" s="88">
        <v>5.9525324197757853E-3</v>
      </c>
      <c r="G100" s="88">
        <f t="shared" si="4"/>
        <v>5.9525324197757853E-3</v>
      </c>
      <c r="H100" s="67">
        <v>0</v>
      </c>
      <c r="I100" s="88">
        <v>0.99813418669961596</v>
      </c>
      <c r="J100" s="88">
        <f t="shared" si="5"/>
        <v>0.99813418669961596</v>
      </c>
      <c r="K100" s="79">
        <v>0</v>
      </c>
      <c r="L100" s="88">
        <v>1.8658133003840449E-3</v>
      </c>
      <c r="M100" s="88" cm="1">
        <f t="array" ref="M100">IFERROR(K_STATS_Normal_Survival(E100,$F$5,$F$6),"")</f>
        <v>1.8658133003840304E-3</v>
      </c>
      <c r="N100" s="79">
        <v>1.4528309111305759E-17</v>
      </c>
      <c r="O100" s="91">
        <v>0.99813418669961596</v>
      </c>
      <c r="P100" s="88">
        <v>2.8999999999999986</v>
      </c>
      <c r="Q100" s="88" cm="1">
        <f t="array" ref="Q100">K_STATS_Normal_InverseCumulative(J100, $F$5, $F$6)</f>
        <v>2.9000000000000026</v>
      </c>
      <c r="R100" s="90">
        <v>3.9968028886505635E-15</v>
      </c>
    </row>
    <row r="101" spans="1:18" ht="18" customHeight="1" x14ac:dyDescent="0.3">
      <c r="A101" s="124"/>
      <c r="B101" s="124"/>
      <c r="E101" s="78">
        <v>3.000000000000004</v>
      </c>
      <c r="F101" s="88">
        <v>4.4318484119379529E-3</v>
      </c>
      <c r="G101" s="88">
        <f t="shared" si="4"/>
        <v>4.4318484119379529E-3</v>
      </c>
      <c r="H101" s="67">
        <v>0</v>
      </c>
      <c r="I101" s="88">
        <v>0.9986501019683699</v>
      </c>
      <c r="J101" s="88">
        <f t="shared" si="5"/>
        <v>0.9986501019683699</v>
      </c>
      <c r="K101" s="79">
        <v>0</v>
      </c>
      <c r="L101" s="88">
        <v>1.3498980316301035E-3</v>
      </c>
      <c r="M101" s="88" cm="1">
        <f t="array" ref="M101">IFERROR(K_STATS_Normal_Survival(E101,$F$5,$F$6),"")</f>
        <v>1.3498980316300972E-3</v>
      </c>
      <c r="N101" s="79">
        <v>6.2883726004159257E-18</v>
      </c>
      <c r="O101" s="91">
        <v>0.9986501019683699</v>
      </c>
      <c r="P101" s="88">
        <v>2.9999999999999969</v>
      </c>
      <c r="Q101" s="88" cm="1">
        <f t="array" ref="Q101">K_STATS_Normal_InverseCumulative(J101, $F$5, $F$6)</f>
        <v>3.0000000000000115</v>
      </c>
      <c r="R101" s="90">
        <v>1.4654943925052066E-14</v>
      </c>
    </row>
    <row r="102" spans="1:18" ht="18" customHeight="1" x14ac:dyDescent="0.3">
      <c r="A102" s="124"/>
      <c r="B102" s="124"/>
      <c r="E102" s="78">
        <v>3.1000000000000041</v>
      </c>
      <c r="F102" s="88">
        <v>3.2668190561998783E-3</v>
      </c>
      <c r="G102" s="88">
        <f t="shared" si="4"/>
        <v>3.2668190561998783E-3</v>
      </c>
      <c r="H102" s="67">
        <v>0</v>
      </c>
      <c r="I102" s="88">
        <v>0.99903239678678168</v>
      </c>
      <c r="J102" s="88">
        <f t="shared" si="5"/>
        <v>0.99903239678678168</v>
      </c>
      <c r="K102" s="79">
        <v>0</v>
      </c>
      <c r="L102" s="88">
        <v>9.6760321321831544E-4</v>
      </c>
      <c r="M102" s="88" cm="1">
        <f t="array" ref="M102">IFERROR(K_STATS_Normal_Survival(E102,$F$5,$F$6),"")</f>
        <v>9.6760321321836249E-4</v>
      </c>
      <c r="N102" s="79">
        <v>4.7054374285870892E-17</v>
      </c>
      <c r="O102" s="91">
        <v>0.99903239678678168</v>
      </c>
      <c r="P102" s="88">
        <v>3.100000000000013</v>
      </c>
      <c r="Q102" s="88" cm="1">
        <f t="array" ref="Q102">K_STATS_Normal_InverseCumulative(J102, $F$5, $F$6)</f>
        <v>3.1000000000000068</v>
      </c>
      <c r="R102" s="90">
        <v>6.2172489379008766E-15</v>
      </c>
    </row>
    <row r="103" spans="1:18" ht="18" customHeight="1" x14ac:dyDescent="0.3">
      <c r="A103" s="124"/>
      <c r="B103" s="124"/>
      <c r="E103" s="78">
        <v>3.2000000000000042</v>
      </c>
      <c r="F103" s="88">
        <v>2.3840882014648105E-3</v>
      </c>
      <c r="G103" s="88">
        <f t="shared" si="4"/>
        <v>2.3840882014648105E-3</v>
      </c>
      <c r="H103" s="67">
        <v>0</v>
      </c>
      <c r="I103" s="88">
        <v>0.99931286206208414</v>
      </c>
      <c r="J103" s="88">
        <f t="shared" si="5"/>
        <v>0.99931286206208414</v>
      </c>
      <c r="K103" s="79">
        <v>0</v>
      </c>
      <c r="L103" s="88">
        <v>6.8713793791586042E-4</v>
      </c>
      <c r="M103" s="88" cm="1">
        <f t="array" ref="M103">IFERROR(K_STATS_Normal_Survival(E103,$F$5,$F$6),"")</f>
        <v>6.8713793791585077E-4</v>
      </c>
      <c r="N103" s="79">
        <v>9.6493993351209895E-18</v>
      </c>
      <c r="O103" s="91">
        <v>0.99931286206208414</v>
      </c>
      <c r="P103" s="88">
        <v>3.1999999999999944</v>
      </c>
      <c r="Q103" s="88" cm="1">
        <f t="array" ref="Q103">K_STATS_Normal_InverseCumulative(J103, $F$5, $F$6)</f>
        <v>3.1999999999999913</v>
      </c>
      <c r="R103" s="90">
        <v>3.1086244689504383E-15</v>
      </c>
    </row>
    <row r="104" spans="1:18" ht="18" customHeight="1" x14ac:dyDescent="0.3">
      <c r="A104" s="124"/>
      <c r="B104" s="124"/>
      <c r="E104" s="78">
        <v>3.3000000000000043</v>
      </c>
      <c r="F104" s="88">
        <v>1.7225689390536552E-3</v>
      </c>
      <c r="G104" s="88">
        <f t="shared" si="4"/>
        <v>1.7225689390536552E-3</v>
      </c>
      <c r="H104" s="67">
        <v>0</v>
      </c>
      <c r="I104" s="88">
        <v>0.99951657585761622</v>
      </c>
      <c r="J104" s="88">
        <f t="shared" si="5"/>
        <v>0.99951657585761622</v>
      </c>
      <c r="K104" s="79">
        <v>0</v>
      </c>
      <c r="L104" s="88">
        <v>4.8342414238378151E-4</v>
      </c>
      <c r="M104" s="88" cm="1">
        <f t="array" ref="M104">IFERROR(K_STATS_Normal_Survival(E104,$F$5,$F$6),"")</f>
        <v>4.834241423837718E-4</v>
      </c>
      <c r="N104" s="79">
        <v>9.7036094437452647E-18</v>
      </c>
      <c r="O104" s="91">
        <v>0.99951657585761622</v>
      </c>
      <c r="P104" s="88">
        <v>3.2999999999999972</v>
      </c>
      <c r="Q104" s="88" cm="1">
        <f t="array" ref="Q104">K_STATS_Normal_InverseCumulative(J104, $F$5, $F$6)</f>
        <v>3.3000000000000305</v>
      </c>
      <c r="R104" s="90">
        <v>3.3306690738754696E-14</v>
      </c>
    </row>
    <row r="105" spans="1:18" ht="18" customHeight="1" x14ac:dyDescent="0.3">
      <c r="A105" s="124"/>
      <c r="B105" s="124"/>
      <c r="E105" s="78">
        <v>3.4000000000000044</v>
      </c>
      <c r="F105" s="88">
        <v>1.2322191684730013E-3</v>
      </c>
      <c r="G105" s="88">
        <f t="shared" si="4"/>
        <v>1.2322191684730013E-3</v>
      </c>
      <c r="H105" s="67">
        <v>0</v>
      </c>
      <c r="I105" s="88">
        <v>0.99966307073432314</v>
      </c>
      <c r="J105" s="88">
        <f t="shared" si="5"/>
        <v>0.99966307073432314</v>
      </c>
      <c r="K105" s="79">
        <v>0</v>
      </c>
      <c r="L105" s="88">
        <v>3.3692926567685522E-4</v>
      </c>
      <c r="M105" s="88" cm="1">
        <f t="array" ref="M105">IFERROR(K_STATS_Normal_Survival(E105,$F$5,$F$6),"")</f>
        <v>3.3692926567686752E-4</v>
      </c>
      <c r="N105" s="79">
        <v>1.2305694657710475E-17</v>
      </c>
      <c r="O105" s="91">
        <v>0.99966307073432314</v>
      </c>
      <c r="P105" s="88">
        <v>3.4000000000000203</v>
      </c>
      <c r="Q105" s="88" cm="1">
        <f t="array" ref="Q105">K_STATS_Normal_InverseCumulative(J105, $F$5, $F$6)</f>
        <v>3.399999999999971</v>
      </c>
      <c r="R105" s="90">
        <v>4.929390229335695E-14</v>
      </c>
    </row>
    <row r="106" spans="1:18" ht="18" customHeight="1" x14ac:dyDescent="0.3">
      <c r="A106" s="124"/>
      <c r="B106" s="124"/>
      <c r="E106" s="78">
        <v>3.5000000000000044</v>
      </c>
      <c r="F106" s="88">
        <v>8.7268269504574606E-4</v>
      </c>
      <c r="G106" s="88">
        <f t="shared" si="4"/>
        <v>8.7268269504574606E-4</v>
      </c>
      <c r="H106" s="67">
        <v>0</v>
      </c>
      <c r="I106" s="88">
        <v>0.99976737092096446</v>
      </c>
      <c r="J106" s="88">
        <f t="shared" si="5"/>
        <v>0.99976737092096446</v>
      </c>
      <c r="K106" s="79">
        <v>0</v>
      </c>
      <c r="L106" s="88">
        <v>2.3262907903554009E-4</v>
      </c>
      <c r="M106" s="88" cm="1">
        <f t="array" ref="M106">IFERROR(K_STATS_Normal_Survival(E106,$F$5,$F$6),"")</f>
        <v>2.3262907903550469E-4</v>
      </c>
      <c r="N106" s="79">
        <v>3.539920093165172E-17</v>
      </c>
      <c r="O106" s="91">
        <v>0.99976737092096446</v>
      </c>
      <c r="P106" s="88">
        <v>3.4999999999999831</v>
      </c>
      <c r="Q106" s="88" cm="1">
        <f t="array" ref="Q106">K_STATS_Normal_InverseCumulative(J106, $F$5, $F$6)</f>
        <v>3.5000000000000107</v>
      </c>
      <c r="R106" s="90">
        <v>2.7533531010703882E-14</v>
      </c>
    </row>
    <row r="107" spans="1:18" ht="18" customHeight="1" x14ac:dyDescent="0.3">
      <c r="A107" s="124"/>
      <c r="B107" s="124"/>
      <c r="E107" s="78">
        <v>3.6000000000000045</v>
      </c>
      <c r="F107" s="88">
        <v>6.1190193011376214E-4</v>
      </c>
      <c r="G107" s="88">
        <f t="shared" si="4"/>
        <v>6.1190193011376214E-4</v>
      </c>
      <c r="H107" s="67">
        <v>0</v>
      </c>
      <c r="I107" s="88">
        <v>0.99984089140984245</v>
      </c>
      <c r="J107" s="88">
        <f t="shared" si="5"/>
        <v>0.99984089140984245</v>
      </c>
      <c r="K107" s="79">
        <v>0</v>
      </c>
      <c r="L107" s="88">
        <v>1.5910859015755285E-4</v>
      </c>
      <c r="M107" s="88" cm="1">
        <f t="array" ref="M107">IFERROR(K_STATS_Normal_Survival(E107,$F$5,$F$6),"")</f>
        <v>1.5910859015751022E-4</v>
      </c>
      <c r="N107" s="79">
        <v>4.2636250432992462E-17</v>
      </c>
      <c r="O107" s="91">
        <v>0.99984089140984245</v>
      </c>
      <c r="P107" s="88">
        <v>3.599999999999969</v>
      </c>
      <c r="Q107" s="88" cm="1">
        <f t="array" ref="Q107">K_STATS_Normal_InverseCumulative(J107, $F$5, $F$6)</f>
        <v>3.5999999999999046</v>
      </c>
      <c r="R107" s="90">
        <v>6.4392935428259079E-14</v>
      </c>
    </row>
    <row r="108" spans="1:18" ht="18" customHeight="1" x14ac:dyDescent="0.3">
      <c r="A108" s="124"/>
      <c r="B108" s="124"/>
      <c r="E108" s="78">
        <v>3.7000000000000046</v>
      </c>
      <c r="F108" s="88">
        <v>4.2478027055074428E-4</v>
      </c>
      <c r="G108" s="88">
        <f t="shared" si="4"/>
        <v>4.2478027055074428E-4</v>
      </c>
      <c r="H108" s="67">
        <v>0</v>
      </c>
      <c r="I108" s="88">
        <v>0.99989220026652259</v>
      </c>
      <c r="J108" s="88">
        <f t="shared" si="5"/>
        <v>0.99989220026652259</v>
      </c>
      <c r="K108" s="79">
        <v>0</v>
      </c>
      <c r="L108" s="88">
        <v>1.0779973347740945E-4</v>
      </c>
      <c r="M108" s="88" cm="1">
        <f t="array" ref="M108">IFERROR(K_STATS_Normal_Survival(E108,$F$5,$F$6),"")</f>
        <v>1.0779973347736512E-4</v>
      </c>
      <c r="N108" s="79">
        <v>4.4330316327501063E-17</v>
      </c>
      <c r="O108" s="91">
        <v>0.99989220026652259</v>
      </c>
      <c r="P108" s="88">
        <v>3.6999999999999496</v>
      </c>
      <c r="Q108" s="88" cm="1">
        <f t="array" ref="Q108">K_STATS_Normal_InverseCumulative(J108, $F$5, $F$6)</f>
        <v>3.6999999999998603</v>
      </c>
      <c r="R108" s="90">
        <v>8.9261931179862586E-14</v>
      </c>
    </row>
    <row r="109" spans="1:18" ht="18" customHeight="1" x14ac:dyDescent="0.3">
      <c r="A109" s="124"/>
      <c r="B109" s="124"/>
      <c r="E109" s="78">
        <v>3.8000000000000047</v>
      </c>
      <c r="F109" s="88">
        <v>2.9194692579145507E-4</v>
      </c>
      <c r="G109" s="88">
        <f t="shared" si="4"/>
        <v>2.9194692579145507E-4</v>
      </c>
      <c r="H109" s="67">
        <v>0</v>
      </c>
      <c r="I109" s="88">
        <v>0.99992765195607491</v>
      </c>
      <c r="J109" s="88">
        <f t="shared" si="5"/>
        <v>0.99992765195607491</v>
      </c>
      <c r="K109" s="79">
        <v>0</v>
      </c>
      <c r="L109" s="88">
        <v>7.2348043925085648E-5</v>
      </c>
      <c r="M109" s="88" cm="1">
        <f t="array" ref="M109">IFERROR(K_STATS_Normal_Survival(E109,$F$5,$F$6),"")</f>
        <v>7.2348043925100867E-5</v>
      </c>
      <c r="N109" s="79">
        <v>1.5219487996265268E-17</v>
      </c>
      <c r="O109" s="91">
        <v>0.99992765195607491</v>
      </c>
      <c r="P109" s="88">
        <v>3.8000000000001175</v>
      </c>
      <c r="Q109" s="88" cm="1">
        <f t="array" ref="Q109">K_STATS_Normal_InverseCumulative(J109, $F$5, $F$6)</f>
        <v>3.800000000000165</v>
      </c>
      <c r="R109" s="90">
        <v>4.75175454539567E-14</v>
      </c>
    </row>
    <row r="110" spans="1:18" ht="18" customHeight="1" x14ac:dyDescent="0.3">
      <c r="A110" s="124"/>
      <c r="B110" s="124"/>
      <c r="E110" s="78">
        <v>3.9000000000000048</v>
      </c>
      <c r="F110" s="88">
        <v>1.9865547139276881E-4</v>
      </c>
      <c r="G110" s="88">
        <f t="shared" si="4"/>
        <v>1.9865547139276881E-4</v>
      </c>
      <c r="H110" s="67">
        <v>0</v>
      </c>
      <c r="I110" s="88">
        <v>0.99995190365598241</v>
      </c>
      <c r="J110" s="88">
        <f t="shared" si="5"/>
        <v>0.99995190365598241</v>
      </c>
      <c r="K110" s="79">
        <v>0</v>
      </c>
      <c r="L110" s="88">
        <v>4.8096344017589665E-5</v>
      </c>
      <c r="M110" s="88" cm="1">
        <f t="array" ref="M110">IFERROR(K_STATS_Normal_Survival(E110,$F$5,$F$6),"")</f>
        <v>4.8096344017590187E-5</v>
      </c>
      <c r="N110" s="79">
        <v>5.2177229550864901E-19</v>
      </c>
      <c r="O110" s="91">
        <v>0.99995190365598241</v>
      </c>
      <c r="P110" s="88">
        <v>3.9000000000000643</v>
      </c>
      <c r="Q110" s="88" cm="1">
        <f t="array" ref="Q110">K_STATS_Normal_InverseCumulative(J110, $F$5, $F$6)</f>
        <v>3.9000000000000998</v>
      </c>
      <c r="R110" s="90">
        <v>3.5527136788005009E-14</v>
      </c>
    </row>
    <row r="111" spans="1:18" ht="18" customHeight="1" x14ac:dyDescent="0.3">
      <c r="A111" s="124"/>
      <c r="B111" s="124"/>
      <c r="E111" s="80">
        <v>4.0000000000000044</v>
      </c>
      <c r="F111" s="89">
        <v>1.3383022576488298E-4</v>
      </c>
      <c r="G111" s="89">
        <f t="shared" si="4"/>
        <v>1.3383022576488298E-4</v>
      </c>
      <c r="H111" s="70">
        <v>0</v>
      </c>
      <c r="I111" s="89">
        <v>0.99996832875816688</v>
      </c>
      <c r="J111" s="89">
        <f t="shared" si="5"/>
        <v>0.99996832875816688</v>
      </c>
      <c r="K111" s="81">
        <v>0</v>
      </c>
      <c r="L111" s="89">
        <v>3.1671241833119979E-5</v>
      </c>
      <c r="M111" s="88" cm="1">
        <f t="array" ref="M111">IFERROR(K_STATS_Normal_Survival(E111,$F$5,$F$6),"")</f>
        <v>3.1671241833115418E-5</v>
      </c>
      <c r="N111" s="79">
        <v>4.560425388017153E-18</v>
      </c>
      <c r="O111" s="91">
        <v>0.99996832875816688</v>
      </c>
      <c r="P111" s="88">
        <v>3.9999999999999996</v>
      </c>
      <c r="Q111" s="88" cm="1">
        <f t="array" ref="Q111">K_STATS_Normal_InverseCumulative(J111, $F$5, $F$6)</f>
        <v>3.9999999999998579</v>
      </c>
      <c r="R111" s="90">
        <v>1.4166445794216997E-13</v>
      </c>
    </row>
    <row r="112" spans="1:18" ht="18" customHeight="1" x14ac:dyDescent="0.3">
      <c r="A112" s="124"/>
      <c r="B112" s="124"/>
    </row>
    <row r="113" spans="1:17" ht="24.95" customHeight="1" x14ac:dyDescent="0.3">
      <c r="A113" s="124"/>
      <c r="B113" s="124"/>
      <c r="E113" s="96" t="s">
        <v>194</v>
      </c>
      <c r="F113" s="92"/>
      <c r="G113" s="92"/>
      <c r="H113" s="126" t="str">
        <f>HYPERLINK("#A3","▲ Back to top")</f>
        <v>▲ Back to top</v>
      </c>
    </row>
    <row r="114" spans="1:17" ht="24.95" customHeight="1" x14ac:dyDescent="0.3">
      <c r="A114" s="124"/>
      <c r="B114" s="124"/>
      <c r="E114" s="93" t="s">
        <v>33</v>
      </c>
      <c r="I114" s="72" t="s">
        <v>37</v>
      </c>
      <c r="J114" s="73" t="s">
        <v>38</v>
      </c>
      <c r="K114" s="74" t="s">
        <v>39</v>
      </c>
      <c r="L114" s="72" t="s">
        <v>40</v>
      </c>
      <c r="M114" s="73" t="s">
        <v>41</v>
      </c>
      <c r="N114" s="74" t="s">
        <v>42</v>
      </c>
      <c r="O114" s="109" t="s">
        <v>195</v>
      </c>
      <c r="P114" s="73" t="s">
        <v>196</v>
      </c>
      <c r="Q114" s="74" t="s">
        <v>197</v>
      </c>
    </row>
    <row r="115" spans="1:17" x14ac:dyDescent="0.3">
      <c r="A115" s="124"/>
      <c r="B115" s="124"/>
      <c r="E115" s="97">
        <v>6</v>
      </c>
      <c r="I115" s="99">
        <f>_xlfn.NORM.DIST(E115,$F$5,$F$6,TRUE)</f>
        <v>0.9999999990134123</v>
      </c>
      <c r="J115" s="94" cm="1">
        <f t="array" ref="J115">IFERROR(K_STATS_Normal_Cumulative(E115,$F$5,$F$6),"")</f>
        <v>0.9999999990134123</v>
      </c>
      <c r="K115" s="95">
        <f>IF(AND(ISNUMBER(I115),ISNUMBER(J115)),ABS(I115-J115),"")</f>
        <v>0</v>
      </c>
      <c r="L115" s="94">
        <f>IF(ISNUMBER(I115),1-I115,"")</f>
        <v>9.8658770042447941E-10</v>
      </c>
      <c r="M115" s="94" cm="1">
        <f t="array" ref="M115">IFERROR(K_STATS_Normal_Survival(E115,$F$5,$F$6),"")</f>
        <v>9.8658764556559814E-10</v>
      </c>
      <c r="N115" s="100">
        <f>IF(AND(ISNUMBER(L115),ISNUMBER(M115)),ABS(L115-M115),"")</f>
        <v>5.4858881267951587E-17</v>
      </c>
      <c r="O115" s="112" cm="1">
        <f t="array" ref="O115:Q119">_xlfn._xlws.PY(5,0,E115:E119,F5,F6,L115:L119,M115:M119)</f>
        <v>9.8658764503769458E-10</v>
      </c>
      <c r="P115" s="112">
        <v>5.6139751102234278E-8</v>
      </c>
      <c r="Q115" s="111">
        <v>5.3508025126736266E-10</v>
      </c>
    </row>
    <row r="116" spans="1:17" x14ac:dyDescent="0.3">
      <c r="A116" s="124"/>
      <c r="B116" s="124"/>
      <c r="E116" s="97">
        <v>7</v>
      </c>
      <c r="I116" s="99">
        <f t="shared" ref="I116:I119" si="6">_xlfn.NORM.DIST(E116,$F$5,$F$6,TRUE)</f>
        <v>0.99999999999872013</v>
      </c>
      <c r="J116" s="94" cm="1">
        <f t="array" ref="J116">IFERROR(K_STATS_Normal_Cumulative(E116,$F$5,$F$6),"")</f>
        <v>0.99999999999872013</v>
      </c>
      <c r="K116" s="95">
        <f t="shared" ref="K116:K119" si="7">IF(AND(ISNUMBER(I116),ISNUMBER(J116)),ABS(I116-J116),"")</f>
        <v>0</v>
      </c>
      <c r="L116" s="94">
        <f t="shared" ref="L116:L119" si="8">IF(ISNUMBER(I116),1-I116,"")</f>
        <v>1.2798651027878805E-12</v>
      </c>
      <c r="M116" s="94" cm="1">
        <f t="array" ref="M116">IFERROR(K_STATS_Normal_Survival(E116,$F$5,$F$6),"")</f>
        <v>1.2798125472538991E-12</v>
      </c>
      <c r="N116" s="100">
        <f t="shared" ref="N116:N119" si="9">IF(AND(ISNUMBER(L116),ISNUMBER(M116)),ABS(L116-M116),"")</f>
        <v>5.2555533981320469E-17</v>
      </c>
      <c r="O116" s="94">
        <v>1.279812543885835E-12</v>
      </c>
      <c r="P116" s="112">
        <v>4.1067656585014912E-5</v>
      </c>
      <c r="Q116" s="111">
        <v>2.631685549122719E-9</v>
      </c>
    </row>
    <row r="117" spans="1:17" x14ac:dyDescent="0.3">
      <c r="A117" s="124"/>
      <c r="B117" s="124"/>
      <c r="E117" s="97">
        <v>8</v>
      </c>
      <c r="I117" s="99">
        <f t="shared" si="6"/>
        <v>0.99999999999999933</v>
      </c>
      <c r="J117" s="94" cm="1">
        <f t="array" ref="J117">IFERROR(K_STATS_Normal_Cumulative(E117,$F$5,$F$6),"")</f>
        <v>0.99999999999999933</v>
      </c>
      <c r="K117" s="95">
        <f t="shared" si="7"/>
        <v>0</v>
      </c>
      <c r="L117" s="94">
        <f t="shared" si="8"/>
        <v>6.6613381477509392E-16</v>
      </c>
      <c r="M117" s="94" cm="1">
        <f t="array" ref="M117">IFERROR(K_STATS_Normal_Survival(E117,$F$5,$F$6),"")</f>
        <v>6.2209605742717849E-16</v>
      </c>
      <c r="N117" s="100">
        <f t="shared" si="9"/>
        <v>4.4037757347915438E-17</v>
      </c>
      <c r="O117" s="94">
        <v>6.2209605742717405E-16</v>
      </c>
      <c r="P117" s="112">
        <v>7.0789320752246004E-2</v>
      </c>
      <c r="Q117" s="111">
        <v>7.1328897505312527E-15</v>
      </c>
    </row>
    <row r="118" spans="1:17" x14ac:dyDescent="0.3">
      <c r="A118" s="124"/>
      <c r="B118" s="124"/>
      <c r="E118" s="108">
        <v>9</v>
      </c>
      <c r="I118" s="99">
        <f t="shared" ref="I118" si="10">_xlfn.NORM.DIST(E118,$F$5,$F$6,TRUE)</f>
        <v>1</v>
      </c>
      <c r="J118" s="94" cm="1">
        <f t="array" ref="J118">IFERROR(K_STATS_Normal_Cumulative(E118,$F$5,$F$6),"")</f>
        <v>1</v>
      </c>
      <c r="K118" s="95">
        <f t="shared" ref="K118" si="11">IF(AND(ISNUMBER(I118),ISNUMBER(J118)),ABS(I118-J118),"")</f>
        <v>0</v>
      </c>
      <c r="L118" s="110">
        <f t="shared" ref="L118" si="12">IF(ISNUMBER(I118),1-I118,"")</f>
        <v>0</v>
      </c>
      <c r="M118" s="94" cm="1">
        <f t="array" ref="M118">IFERROR(K_STATS_Normal_Survival(E118,$F$5,$F$6),"")</f>
        <v>1.1285884059538408E-19</v>
      </c>
      <c r="N118" s="100">
        <f t="shared" ref="N118" si="13">IF(AND(ISNUMBER(L118),ISNUMBER(M118)),ABS(L118-M118),"")</f>
        <v>1.1285884059538408E-19</v>
      </c>
      <c r="O118" s="94">
        <v>1.1285884059538324E-19</v>
      </c>
      <c r="P118" s="143">
        <v>1</v>
      </c>
      <c r="Q118" s="111">
        <v>7.4659135804012865E-15</v>
      </c>
    </row>
    <row r="119" spans="1:17" x14ac:dyDescent="0.3">
      <c r="A119" s="124"/>
      <c r="B119" s="124"/>
      <c r="E119" s="98">
        <v>10</v>
      </c>
      <c r="I119" s="101">
        <f t="shared" si="6"/>
        <v>1</v>
      </c>
      <c r="J119" s="102" cm="1">
        <f t="array" ref="J119">IFERROR(K_STATS_Normal_Cumulative(E119,$F$5,$F$6),"")</f>
        <v>1</v>
      </c>
      <c r="K119" s="103">
        <f t="shared" si="7"/>
        <v>0</v>
      </c>
      <c r="L119" s="104">
        <f t="shared" si="8"/>
        <v>0</v>
      </c>
      <c r="M119" s="102" cm="1">
        <f t="array" ref="M119">IFERROR(K_STATS_Normal_Survival(E119,$F$5,$F$6),"")</f>
        <v>7.6198530241605269E-24</v>
      </c>
      <c r="N119" s="105">
        <f t="shared" si="9"/>
        <v>7.6198530241605269E-24</v>
      </c>
      <c r="O119" s="102">
        <v>7.6198530241604696E-24</v>
      </c>
      <c r="P119" s="144">
        <v>1</v>
      </c>
      <c r="Q119" s="113">
        <v>7.5205321442404377E-15</v>
      </c>
    </row>
    <row r="120" spans="1:17" x14ac:dyDescent="0.3">
      <c r="A120" s="124"/>
      <c r="B120" s="124"/>
    </row>
    <row r="121" spans="1:17" x14ac:dyDescent="0.3">
      <c r="A121" s="124"/>
      <c r="B121" s="124"/>
    </row>
    <row r="122" spans="1:17" x14ac:dyDescent="0.3">
      <c r="A122" s="124"/>
      <c r="B122" s="124"/>
    </row>
    <row r="123" spans="1:17" x14ac:dyDescent="0.3">
      <c r="A123" s="124"/>
      <c r="B123" s="124"/>
    </row>
    <row r="124" spans="1:17" x14ac:dyDescent="0.3">
      <c r="A124" s="124"/>
      <c r="B124" s="124"/>
    </row>
    <row r="125" spans="1:17" x14ac:dyDescent="0.3">
      <c r="A125" s="124"/>
      <c r="B125" s="124"/>
    </row>
    <row r="126" spans="1:17" x14ac:dyDescent="0.3">
      <c r="A126" s="124"/>
      <c r="B126" s="124"/>
    </row>
    <row r="127" spans="1:17" x14ac:dyDescent="0.3">
      <c r="A127" s="124"/>
      <c r="B127" s="124"/>
    </row>
    <row r="128" spans="1:17" x14ac:dyDescent="0.3">
      <c r="A128" s="124"/>
      <c r="B128" s="124"/>
    </row>
    <row r="129" spans="1:2" x14ac:dyDescent="0.3">
      <c r="A129" s="124"/>
      <c r="B129" s="124"/>
    </row>
    <row r="130" spans="1:2" x14ac:dyDescent="0.3">
      <c r="A130" s="124"/>
      <c r="B130" s="124"/>
    </row>
    <row r="131" spans="1:2" x14ac:dyDescent="0.3">
      <c r="A131" s="124"/>
      <c r="B131" s="124"/>
    </row>
    <row r="132" spans="1:2" x14ac:dyDescent="0.3">
      <c r="A132" s="124"/>
      <c r="B132" s="124"/>
    </row>
    <row r="133" spans="1:2" x14ac:dyDescent="0.3">
      <c r="A133" s="124"/>
      <c r="B133" s="124"/>
    </row>
    <row r="134" spans="1:2" x14ac:dyDescent="0.3">
      <c r="A134" s="124"/>
      <c r="B134" s="124"/>
    </row>
    <row r="135" spans="1:2" x14ac:dyDescent="0.3">
      <c r="A135" s="124"/>
      <c r="B135" s="124"/>
    </row>
    <row r="136" spans="1:2" x14ac:dyDescent="0.3">
      <c r="A136" s="124"/>
      <c r="B136" s="124"/>
    </row>
    <row r="137" spans="1:2" x14ac:dyDescent="0.3">
      <c r="A137" s="124"/>
      <c r="B137" s="124"/>
    </row>
    <row r="138" spans="1:2" x14ac:dyDescent="0.3">
      <c r="A138" s="124"/>
      <c r="B138" s="124"/>
    </row>
    <row r="139" spans="1:2" x14ac:dyDescent="0.3">
      <c r="A139" s="124"/>
      <c r="B139" s="124"/>
    </row>
    <row r="140" spans="1:2" x14ac:dyDescent="0.3">
      <c r="A140" s="124"/>
      <c r="B140" s="124"/>
    </row>
    <row r="141" spans="1:2" x14ac:dyDescent="0.3">
      <c r="A141" s="124"/>
      <c r="B141" s="124"/>
    </row>
    <row r="142" spans="1:2" x14ac:dyDescent="0.3">
      <c r="A142" s="124"/>
      <c r="B142" s="124"/>
    </row>
    <row r="143" spans="1:2" x14ac:dyDescent="0.3">
      <c r="A143" s="124"/>
      <c r="B143" s="124"/>
    </row>
    <row r="144" spans="1:2" x14ac:dyDescent="0.3">
      <c r="A144" s="124"/>
      <c r="B144" s="124"/>
    </row>
    <row r="145" spans="1:2" x14ac:dyDescent="0.3">
      <c r="A145" s="124"/>
      <c r="B145" s="124"/>
    </row>
    <row r="146" spans="1:2" x14ac:dyDescent="0.3">
      <c r="A146" s="124"/>
      <c r="B146" s="124"/>
    </row>
    <row r="147" spans="1:2" x14ac:dyDescent="0.3">
      <c r="A147" s="124"/>
      <c r="B147" s="124"/>
    </row>
    <row r="148" spans="1:2" x14ac:dyDescent="0.3">
      <c r="A148" s="124"/>
      <c r="B148" s="124"/>
    </row>
    <row r="149" spans="1:2" x14ac:dyDescent="0.3">
      <c r="A149" s="124"/>
      <c r="B149" s="124"/>
    </row>
    <row r="150" spans="1:2" x14ac:dyDescent="0.3">
      <c r="A150" s="124"/>
      <c r="B150" s="124"/>
    </row>
    <row r="151" spans="1:2" x14ac:dyDescent="0.3">
      <c r="A151" s="124"/>
      <c r="B151" s="124"/>
    </row>
    <row r="152" spans="1:2" x14ac:dyDescent="0.3">
      <c r="A152" s="124"/>
      <c r="B152" s="124"/>
    </row>
    <row r="153" spans="1:2" x14ac:dyDescent="0.3">
      <c r="A153" s="124"/>
      <c r="B153" s="124"/>
    </row>
    <row r="154" spans="1:2" x14ac:dyDescent="0.3">
      <c r="A154" s="124"/>
      <c r="B154" s="124"/>
    </row>
    <row r="155" spans="1:2" x14ac:dyDescent="0.3">
      <c r="A155" s="124"/>
      <c r="B155" s="124"/>
    </row>
    <row r="156" spans="1:2" x14ac:dyDescent="0.3">
      <c r="A156" s="124"/>
      <c r="B156" s="124"/>
    </row>
    <row r="157" spans="1:2" x14ac:dyDescent="0.3">
      <c r="A157" s="124"/>
      <c r="B157" s="124"/>
    </row>
    <row r="158" spans="1:2" x14ac:dyDescent="0.3">
      <c r="A158" s="124"/>
      <c r="B158" s="124"/>
    </row>
    <row r="159" spans="1:2" x14ac:dyDescent="0.3">
      <c r="A159" s="124"/>
      <c r="B159" s="124"/>
    </row>
    <row r="160" spans="1:2" x14ac:dyDescent="0.3">
      <c r="A160" s="124"/>
      <c r="B160" s="124"/>
    </row>
    <row r="161" spans="1:2" x14ac:dyDescent="0.3">
      <c r="A161" s="124"/>
      <c r="B161" s="124"/>
    </row>
    <row r="162" spans="1:2" x14ac:dyDescent="0.3">
      <c r="A162" s="124"/>
      <c r="B162" s="124"/>
    </row>
    <row r="163" spans="1:2" x14ac:dyDescent="0.3">
      <c r="A163" s="124"/>
      <c r="B163" s="124"/>
    </row>
    <row r="164" spans="1:2" x14ac:dyDescent="0.3">
      <c r="A164" s="124"/>
      <c r="B164" s="124"/>
    </row>
    <row r="165" spans="1:2" x14ac:dyDescent="0.3">
      <c r="A165" s="124"/>
      <c r="B165" s="124"/>
    </row>
    <row r="166" spans="1:2" x14ac:dyDescent="0.3">
      <c r="A166" s="124"/>
      <c r="B166" s="124"/>
    </row>
    <row r="167" spans="1:2" x14ac:dyDescent="0.3">
      <c r="A167" s="124"/>
      <c r="B167" s="124"/>
    </row>
    <row r="168" spans="1:2" x14ac:dyDescent="0.3">
      <c r="A168" s="124"/>
      <c r="B168" s="124"/>
    </row>
    <row r="169" spans="1:2" x14ac:dyDescent="0.3">
      <c r="A169" s="124"/>
      <c r="B169" s="124"/>
    </row>
    <row r="170" spans="1:2" x14ac:dyDescent="0.3">
      <c r="A170" s="124"/>
      <c r="B170" s="124"/>
    </row>
    <row r="171" spans="1:2" x14ac:dyDescent="0.3">
      <c r="A171" s="124"/>
      <c r="B171" s="124"/>
    </row>
    <row r="172" spans="1:2" x14ac:dyDescent="0.3">
      <c r="A172" s="124"/>
      <c r="B172" s="124"/>
    </row>
    <row r="173" spans="1:2" x14ac:dyDescent="0.3">
      <c r="A173" s="124"/>
      <c r="B173" s="124"/>
    </row>
    <row r="174" spans="1:2" x14ac:dyDescent="0.3">
      <c r="A174" s="124"/>
      <c r="B174" s="124"/>
    </row>
    <row r="175" spans="1:2" x14ac:dyDescent="0.3">
      <c r="A175" s="124"/>
      <c r="B175" s="124"/>
    </row>
    <row r="176" spans="1:2" x14ac:dyDescent="0.3">
      <c r="A176" s="124"/>
      <c r="B176" s="124"/>
    </row>
    <row r="177" spans="1:2" x14ac:dyDescent="0.3">
      <c r="A177" s="124"/>
      <c r="B177" s="124"/>
    </row>
    <row r="178" spans="1:2" x14ac:dyDescent="0.3">
      <c r="A178" s="124"/>
      <c r="B178" s="124"/>
    </row>
    <row r="179" spans="1:2" x14ac:dyDescent="0.3">
      <c r="A179" s="124"/>
      <c r="B179" s="124"/>
    </row>
    <row r="180" spans="1:2" x14ac:dyDescent="0.3">
      <c r="A180" s="124"/>
      <c r="B180" s="124"/>
    </row>
    <row r="181" spans="1:2" x14ac:dyDescent="0.3">
      <c r="A181" s="124"/>
      <c r="B181" s="124"/>
    </row>
    <row r="182" spans="1:2" x14ac:dyDescent="0.3">
      <c r="A182" s="124"/>
      <c r="B182" s="124"/>
    </row>
    <row r="183" spans="1:2" x14ac:dyDescent="0.3">
      <c r="A183" s="124"/>
      <c r="B183" s="124"/>
    </row>
    <row r="184" spans="1:2" x14ac:dyDescent="0.3">
      <c r="A184" s="124"/>
      <c r="B184" s="124"/>
    </row>
    <row r="185" spans="1:2" x14ac:dyDescent="0.3">
      <c r="A185" s="124"/>
      <c r="B185" s="124"/>
    </row>
    <row r="186" spans="1:2" x14ac:dyDescent="0.3">
      <c r="A186" s="124"/>
      <c r="B186" s="124"/>
    </row>
    <row r="187" spans="1:2" x14ac:dyDescent="0.3">
      <c r="A187" s="124"/>
      <c r="B187" s="124"/>
    </row>
    <row r="188" spans="1:2" x14ac:dyDescent="0.3">
      <c r="A188" s="124"/>
      <c r="B188" s="124"/>
    </row>
    <row r="189" spans="1:2" x14ac:dyDescent="0.3">
      <c r="A189" s="124"/>
      <c r="B189" s="124"/>
    </row>
    <row r="190" spans="1:2" x14ac:dyDescent="0.3">
      <c r="A190" s="124"/>
      <c r="B190" s="124"/>
    </row>
    <row r="191" spans="1:2" x14ac:dyDescent="0.3">
      <c r="A191" s="124"/>
      <c r="B191" s="124"/>
    </row>
    <row r="192" spans="1:2" x14ac:dyDescent="0.3">
      <c r="A192" s="124"/>
      <c r="B192" s="124"/>
    </row>
    <row r="193" spans="1:2" x14ac:dyDescent="0.3">
      <c r="A193" s="124"/>
      <c r="B193" s="124"/>
    </row>
    <row r="194" spans="1:2" x14ac:dyDescent="0.3">
      <c r="A194" s="124"/>
      <c r="B194" s="124"/>
    </row>
    <row r="195" spans="1:2" x14ac:dyDescent="0.3">
      <c r="A195" s="124"/>
      <c r="B195" s="124"/>
    </row>
    <row r="196" spans="1:2" x14ac:dyDescent="0.3">
      <c r="A196" s="124"/>
      <c r="B196" s="124"/>
    </row>
    <row r="197" spans="1:2" x14ac:dyDescent="0.3">
      <c r="A197" s="124"/>
      <c r="B197" s="124"/>
    </row>
    <row r="198" spans="1:2" x14ac:dyDescent="0.3">
      <c r="A198" s="124"/>
      <c r="B198" s="124"/>
    </row>
    <row r="199" spans="1:2" x14ac:dyDescent="0.3">
      <c r="A199" s="124"/>
      <c r="B199" s="124"/>
    </row>
    <row r="200" spans="1:2" x14ac:dyDescent="0.3">
      <c r="A200" s="124"/>
      <c r="B200" s="124"/>
    </row>
  </sheetData>
  <mergeCells count="22">
    <mergeCell ref="E4:H4"/>
    <mergeCell ref="G5:H5"/>
    <mergeCell ref="G6:H6"/>
    <mergeCell ref="A1:B1"/>
    <mergeCell ref="A2:B2"/>
    <mergeCell ref="K9:L9"/>
    <mergeCell ref="G7:H7"/>
    <mergeCell ref="G8:H8"/>
    <mergeCell ref="G9:H9"/>
    <mergeCell ref="G10:H10"/>
    <mergeCell ref="K10:L10"/>
    <mergeCell ref="K5:L5"/>
    <mergeCell ref="K6:L6"/>
    <mergeCell ref="K7:L7"/>
    <mergeCell ref="K8:L8"/>
    <mergeCell ref="J4:Q4"/>
    <mergeCell ref="F29:H29"/>
    <mergeCell ref="I29:K29"/>
    <mergeCell ref="L29:N29"/>
    <mergeCell ref="O29:R29"/>
    <mergeCell ref="G11:H11"/>
    <mergeCell ref="G12:H12"/>
  </mergeCells>
  <conditionalFormatting sqref="K31:K111">
    <cfRule type="expression" dxfId="23" priority="22">
      <formula>AND(ISNUMBER(K31),K31&gt;0.00000001)</formula>
    </cfRule>
    <cfRule type="expression" dxfId="22" priority="23">
      <formula>AND(ISNUMBER(K31),K31&lt;=0.0000000001)</formula>
    </cfRule>
  </conditionalFormatting>
  <conditionalFormatting sqref="N31:N111">
    <cfRule type="expression" dxfId="21" priority="15">
      <formula>AND(ISNUMBER(N31),N31&gt;0.00000001)</formula>
    </cfRule>
    <cfRule type="expression" dxfId="20" priority="16">
      <formula>AND(ISNUMBER(N31),N31&lt;=0.0000000001)</formula>
    </cfRule>
  </conditionalFormatting>
  <conditionalFormatting sqref="R31:R111">
    <cfRule type="expression" dxfId="19" priority="13">
      <formula>AND(ISNUMBER(R31),R31&gt;0.00000001)</formula>
    </cfRule>
    <cfRule type="expression" dxfId="18" priority="14">
      <formula>AND(ISNUMBER(R31),R31&lt;=0.0000000001)</formula>
    </cfRule>
  </conditionalFormatting>
  <conditionalFormatting sqref="K115:K119">
    <cfRule type="expression" dxfId="17" priority="5">
      <formula>AND(ISNUMBER(K115),K115&gt;0.00000001)</formula>
    </cfRule>
    <cfRule type="expression" dxfId="16" priority="6">
      <formula>AND(ISNUMBER(K115),K115&lt;=0.0000000001)</formula>
    </cfRule>
  </conditionalFormatting>
  <conditionalFormatting sqref="N115:N119">
    <cfRule type="expression" dxfId="15" priority="3">
      <formula>AND(ISNUMBER(N115),N115&gt;0.00000001)</formula>
    </cfRule>
    <cfRule type="expression" dxfId="14" priority="4">
      <formula>AND(ISNUMBER(N115),N115&lt;=0.0000000001)</formula>
    </cfRule>
  </conditionalFormatting>
  <dataValidations count="2">
    <dataValidation type="decimal" allowBlank="1" showInputMessage="1" showErrorMessage="1" sqref="F8" xr:uid="{D14D744E-1657-4A1D-B441-BFFF05FD0B29}">
      <formula1>0</formula1>
      <formula2>1</formula2>
    </dataValidation>
    <dataValidation type="decimal" operator="greaterThan" allowBlank="1" showInputMessage="1" showErrorMessage="1" sqref="F6" xr:uid="{66F8A700-CC5F-4334-AAF0-3D15D85155DC}">
      <formula1>0</formula1>
    </dataValidation>
  </dataValidations>
  <hyperlinks>
    <hyperlink ref="B3" location="'HOME'!D1" display="HOME" xr:uid="{F3B4992A-FD15-4428-9A51-320E92618D77}"/>
    <hyperlink ref="B4" location="'NORMAL'!D1" display="NORMAL" xr:uid="{615EEB3A-4BA7-4A88-87CB-2D127EECAC23}"/>
    <hyperlink ref="B5" location="'LOGNORMAL'!D1" display="LOGNORMAL" xr:uid="{8B9EE2E2-CB94-4A43-B981-C461907C6D72}"/>
    <hyperlink ref="B6" location="'BENCHMARK_NORMALFAMILY'!D1" display="BENCHMARK_NORMALFAMILY" xr:uid="{08BC8EA3-F249-4530-9CD5-82C81910057D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DF07A-1E76-4C13-8E7C-386B6F044235}">
  <sheetPr codeName="Sheet4">
    <tabColor rgb="FF00B050"/>
    <pageSetUpPr autoPageBreaks="0"/>
  </sheetPr>
  <dimension ref="A1:S200"/>
  <sheetViews>
    <sheetView showGridLines="0" zoomScaleNormal="100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B4" sqref="B4"/>
    </sheetView>
  </sheetViews>
  <sheetFormatPr defaultRowHeight="16.5" x14ac:dyDescent="0.3"/>
  <cols>
    <col min="1" max="1" width="5.625" style="1" customWidth="1"/>
    <col min="2" max="2" width="20.625" style="1" customWidth="1"/>
    <col min="3" max="4" width="3.625" style="1" customWidth="1"/>
    <col min="5" max="18" width="20.625" style="1" customWidth="1"/>
    <col min="19" max="20" width="14.75" style="1" customWidth="1"/>
    <col min="21" max="25" width="13" style="1" customWidth="1"/>
    <col min="26" max="16384" width="9" style="1"/>
  </cols>
  <sheetData>
    <row r="1" spans="1:19" ht="32.1" customHeight="1" x14ac:dyDescent="0.3">
      <c r="A1" s="159" t="s">
        <v>198</v>
      </c>
      <c r="B1" s="159"/>
      <c r="D1" s="117" t="s">
        <v>46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4" customHeight="1" x14ac:dyDescent="0.3">
      <c r="A2" s="160" t="s">
        <v>199</v>
      </c>
      <c r="B2" s="160"/>
      <c r="D2" s="116" t="s">
        <v>47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21.95" customHeight="1" x14ac:dyDescent="0.3">
      <c r="A3" s="122" t="s">
        <v>208</v>
      </c>
      <c r="B3" s="121" t="s">
        <v>209</v>
      </c>
    </row>
    <row r="4" spans="1:19" ht="21.95" customHeight="1" x14ac:dyDescent="0.3">
      <c r="A4" s="122" t="s">
        <v>204</v>
      </c>
      <c r="B4" s="121" t="s">
        <v>205</v>
      </c>
      <c r="E4" s="207" t="s">
        <v>1</v>
      </c>
      <c r="F4" s="208"/>
      <c r="G4" s="208"/>
      <c r="H4" s="209"/>
      <c r="J4" s="25" t="s">
        <v>2</v>
      </c>
      <c r="K4" s="26"/>
      <c r="L4" s="26"/>
      <c r="M4" s="26"/>
      <c r="N4" s="26"/>
      <c r="O4" s="26"/>
      <c r="P4" s="26"/>
      <c r="Q4" s="27"/>
    </row>
    <row r="5" spans="1:19" ht="21.95" customHeight="1" x14ac:dyDescent="0.3">
      <c r="A5" s="123" t="s">
        <v>206</v>
      </c>
      <c r="B5" s="119" t="s">
        <v>207</v>
      </c>
      <c r="E5" s="41" t="s">
        <v>48</v>
      </c>
      <c r="F5" s="64">
        <v>0</v>
      </c>
      <c r="G5" s="212" t="s">
        <v>49</v>
      </c>
      <c r="H5" s="213"/>
      <c r="J5" s="93" t="s">
        <v>5</v>
      </c>
      <c r="K5" s="197" t="s">
        <v>8</v>
      </c>
      <c r="L5" s="197"/>
      <c r="M5" s="93" t="s">
        <v>6</v>
      </c>
      <c r="N5" s="93" t="s">
        <v>7</v>
      </c>
      <c r="O5" s="93" t="s">
        <v>212</v>
      </c>
      <c r="P5" s="93" t="s">
        <v>211</v>
      </c>
      <c r="Q5" s="93" t="s">
        <v>213</v>
      </c>
    </row>
    <row r="6" spans="1:19" ht="21.95" customHeight="1" x14ac:dyDescent="0.3">
      <c r="A6" s="122" t="s">
        <v>214</v>
      </c>
      <c r="B6" s="121" t="s">
        <v>335</v>
      </c>
      <c r="E6" s="41" t="s">
        <v>210</v>
      </c>
      <c r="F6" s="65">
        <v>0.5</v>
      </c>
      <c r="G6" s="214" t="s">
        <v>50</v>
      </c>
      <c r="H6" s="215"/>
      <c r="J6" s="129" t="s">
        <v>11</v>
      </c>
      <c r="K6" s="216" t="s">
        <v>51</v>
      </c>
      <c r="L6" s="217"/>
      <c r="M6" s="130" cm="1">
        <f t="array" ref="M6">IFERROR(K_STATS_Lognormal_Density($F$7,$F$5,$F$6),"IMPORT MODULES")</f>
        <v>0.38286977198859279</v>
      </c>
      <c r="N6" s="130">
        <f>_xlfn.LOGNORM.DIST($F$7,$F$5,$F$6,FALSE)</f>
        <v>0.38286977198859273</v>
      </c>
      <c r="O6" s="130"/>
      <c r="P6" s="131">
        <f>IF(AND(ISNUMBER(M6),ISNUMBER(N6)),ABS(M6-N6),"")</f>
        <v>5.5511151231257827E-17</v>
      </c>
      <c r="Q6" s="131" t="str">
        <f>IF(AND(ISNUMBER(M6),ISNUMBER(O6)),ABS(N6-O6),"")</f>
        <v/>
      </c>
    </row>
    <row r="7" spans="1:19" ht="18" customHeight="1" x14ac:dyDescent="0.3">
      <c r="A7" s="115"/>
      <c r="B7" s="115"/>
      <c r="E7" s="41" t="s">
        <v>13</v>
      </c>
      <c r="F7" s="65">
        <v>1.5</v>
      </c>
      <c r="G7" s="214" t="s">
        <v>52</v>
      </c>
      <c r="H7" s="215"/>
      <c r="J7" s="68" t="s">
        <v>15</v>
      </c>
      <c r="K7" s="218" t="s">
        <v>53</v>
      </c>
      <c r="L7" s="219"/>
      <c r="M7" s="127" cm="1">
        <f t="array" ref="M7">IFERROR(K_STATS_Lognormal_Cumulative($F$7,$F$5,$F$6),"IMPORT MODULES")</f>
        <v>0.79129712661552865</v>
      </c>
      <c r="N7" s="127">
        <f>_xlfn.LOGNORM.DIST($F$7,$F$5,$F$6,TRUE)</f>
        <v>0.79129712661552865</v>
      </c>
      <c r="O7" s="127"/>
      <c r="P7" s="132">
        <f>IF(AND(ISNUMBER(M7),ISNUMBER(N7)),ABS(M7-N7),"")</f>
        <v>0</v>
      </c>
      <c r="Q7" s="132" t="str">
        <f>IF(AND(ISNUMBER(M7),ISNUMBER(O7)),ABS(N7-O7),"")</f>
        <v/>
      </c>
    </row>
    <row r="8" spans="1:19" ht="18" customHeight="1" x14ac:dyDescent="0.3">
      <c r="A8" s="115"/>
      <c r="B8" s="115"/>
      <c r="E8" s="41" t="s">
        <v>17</v>
      </c>
      <c r="F8" s="65">
        <v>0.95</v>
      </c>
      <c r="G8" s="214" t="s">
        <v>18</v>
      </c>
      <c r="H8" s="215"/>
      <c r="J8" s="68" t="s">
        <v>19</v>
      </c>
      <c r="K8" s="218" t="s">
        <v>20</v>
      </c>
      <c r="L8" s="219"/>
      <c r="M8" s="127" cm="1">
        <f t="array" ref="M8">IFERROR(K_STATS_Lognormal_InverseCumulative($F$8,$F$5,$F$6),"IMPORT MODULES")</f>
        <v>2.276016608514317</v>
      </c>
      <c r="N8" s="127">
        <f>_xlfn.LOGNORM.INV($F$8,$F$5,$F$6)</f>
        <v>2.2760166085143161</v>
      </c>
      <c r="O8" s="127"/>
      <c r="P8" s="132">
        <f>IF(AND(ISNUMBER(M8),ISNUMBER(N8)),ABS(M8-N8),"")</f>
        <v>8.8817841970012523E-16</v>
      </c>
      <c r="Q8" s="132" t="str">
        <f>IF(AND(ISNUMBER(M8),ISNUMBER(O8)),ABS(N8-O8),"")</f>
        <v/>
      </c>
    </row>
    <row r="9" spans="1:19" ht="18" customHeight="1" x14ac:dyDescent="0.3">
      <c r="A9" s="115"/>
      <c r="B9" s="115"/>
      <c r="E9" s="41" t="s">
        <v>54</v>
      </c>
      <c r="F9" s="65">
        <v>2</v>
      </c>
      <c r="G9" s="214" t="s">
        <v>55</v>
      </c>
      <c r="H9" s="215"/>
      <c r="J9" s="68" t="s">
        <v>54</v>
      </c>
      <c r="K9" s="218" t="s">
        <v>56</v>
      </c>
      <c r="L9" s="219"/>
      <c r="M9" s="127" cm="1">
        <f t="array" ref="M9">IFERROR(K_STATS_Lognormal_Mean($F$5,$F$6),"IMPORT MODULES")</f>
        <v>1.1331484530668263</v>
      </c>
      <c r="N9" s="127">
        <f>EXP($F$5+0.5*$F$6^2)</f>
        <v>1.1331484530668263</v>
      </c>
      <c r="O9" s="127"/>
      <c r="P9" s="132">
        <f>IF(AND(ISNUMBER(M9),ISNUMBER(N9)),ABS(M9-N9),"")</f>
        <v>0</v>
      </c>
      <c r="Q9" s="132" t="str">
        <f>IF(AND(ISNUMBER(M9),ISNUMBER(O9)),ABS(N9-O9),"")</f>
        <v/>
      </c>
    </row>
    <row r="10" spans="1:19" ht="18" customHeight="1" x14ac:dyDescent="0.3">
      <c r="A10" s="115"/>
      <c r="B10" s="115"/>
      <c r="E10" s="41" t="s">
        <v>57</v>
      </c>
      <c r="F10" s="65">
        <v>0.75</v>
      </c>
      <c r="G10" s="214" t="s">
        <v>58</v>
      </c>
      <c r="H10" s="215"/>
      <c r="J10" s="68" t="s">
        <v>59</v>
      </c>
      <c r="K10" s="218" t="s">
        <v>60</v>
      </c>
      <c r="L10" s="219"/>
      <c r="M10" s="127" cm="1">
        <f t="array" ref="M10">IFERROR(K_STATS_Lognormal_Variance($F$5,$F$6),"IMPORT MODULES")</f>
        <v>0.36469585401238669</v>
      </c>
      <c r="N10" s="127">
        <f>EXP(2*$F$5+$F$6^2)*(EXP($F$6^2)-1)</f>
        <v>0.36469585401238652</v>
      </c>
      <c r="O10" s="127"/>
      <c r="P10" s="132">
        <f>IF(AND(ISNUMBER(M10),ISNUMBER(N10)),ABS(M10-N10),"")</f>
        <v>1.6653345369377348E-16</v>
      </c>
      <c r="Q10" s="132" t="str">
        <f>IF(AND(ISNUMBER(M10),ISNUMBER(O10)),ABS(N10-O10),"")</f>
        <v/>
      </c>
    </row>
    <row r="11" spans="1:19" ht="18" customHeight="1" x14ac:dyDescent="0.3">
      <c r="A11" s="115"/>
      <c r="B11" s="115"/>
      <c r="E11" s="41" t="s">
        <v>29</v>
      </c>
      <c r="F11" s="65">
        <v>0.01</v>
      </c>
      <c r="G11" s="214" t="s">
        <v>30</v>
      </c>
      <c r="H11" s="215"/>
      <c r="J11" s="68" t="s">
        <v>57</v>
      </c>
      <c r="K11" s="218" t="s">
        <v>56</v>
      </c>
      <c r="L11" s="219"/>
      <c r="M11" s="127" cm="1">
        <f t="array" ref="M11">IFERROR(K_STATS_Lognormal_StdDev($F$5,$F$6),"IMPORT MODULES")</f>
        <v>0.60390053321088122</v>
      </c>
      <c r="N11" s="127">
        <f>SQRT(N10)</f>
        <v>0.60390053321088111</v>
      </c>
      <c r="O11" s="127"/>
      <c r="P11" s="132">
        <f t="shared" ref="P11:P13" si="0">IF(AND(ISNUMBER(M11),ISNUMBER(N11)),ABS(M11-N11),"")</f>
        <v>1.1102230246251565E-16</v>
      </c>
      <c r="Q11" s="132" t="str">
        <f t="shared" ref="Q11:Q13" si="1">IF(AND(ISNUMBER(M11),ISNUMBER(O11)),ABS(N11-O11),"")</f>
        <v/>
      </c>
    </row>
    <row r="12" spans="1:19" ht="18" customHeight="1" x14ac:dyDescent="0.3">
      <c r="A12" s="124"/>
      <c r="B12" s="124"/>
      <c r="E12" s="43" t="s">
        <v>31</v>
      </c>
      <c r="F12" s="66">
        <v>5</v>
      </c>
      <c r="G12" s="222" t="s">
        <v>32</v>
      </c>
      <c r="H12" s="223"/>
      <c r="I12"/>
      <c r="J12" s="68" t="s">
        <v>61</v>
      </c>
      <c r="K12" s="218" t="s">
        <v>62</v>
      </c>
      <c r="L12" s="219"/>
      <c r="M12" s="127">
        <f>IFERROR(INDEX(K_STATS_Lognormal_ParametersFromMeanStdDev($F$9,$F$10),1,1),"IMPORT MODULES")</f>
        <v>0.62735900166558567</v>
      </c>
      <c r="N12" s="127">
        <f>LN($F$9)-0.5*LN(1+($F$10/$F$9)^2)</f>
        <v>0.62735900166558567</v>
      </c>
      <c r="O12" s="127"/>
      <c r="P12" s="132">
        <f t="shared" si="0"/>
        <v>0</v>
      </c>
      <c r="Q12" s="132" t="str">
        <f t="shared" si="1"/>
        <v/>
      </c>
    </row>
    <row r="13" spans="1:19" ht="18" customHeight="1" x14ac:dyDescent="0.3">
      <c r="A13" s="124"/>
      <c r="B13" s="124"/>
      <c r="J13" s="69" t="s">
        <v>63</v>
      </c>
      <c r="K13" s="220" t="s">
        <v>62</v>
      </c>
      <c r="L13" s="221"/>
      <c r="M13" s="128">
        <f>IFERROR(INDEX(K_STATS_Lognormal_ParametersFromMeanStdDev($F$9,$F$10),1,2),"IMPORT MODULES")</f>
        <v>0.36273455554815737</v>
      </c>
      <c r="N13" s="128">
        <f>SQRT(LN(1+($F$10/$F$9)^2))</f>
        <v>0.36273455554815737</v>
      </c>
      <c r="O13" s="128"/>
      <c r="P13" s="133">
        <f t="shared" si="0"/>
        <v>0</v>
      </c>
      <c r="Q13" s="133" t="str">
        <f t="shared" si="1"/>
        <v/>
      </c>
    </row>
    <row r="14" spans="1:19" ht="18" customHeight="1" x14ac:dyDescent="0.3">
      <c r="A14" s="124"/>
      <c r="B14"/>
      <c r="C14"/>
      <c r="D14"/>
    </row>
    <row r="15" spans="1:19" ht="18" customHeight="1" x14ac:dyDescent="0.3">
      <c r="A15" s="124"/>
      <c r="B15"/>
      <c r="C15"/>
      <c r="D15"/>
    </row>
    <row r="16" spans="1:19" ht="18" customHeight="1" x14ac:dyDescent="0.3">
      <c r="A16" s="124"/>
      <c r="B16"/>
      <c r="C16"/>
      <c r="D16"/>
    </row>
    <row r="17" spans="1:18" ht="18" customHeight="1" x14ac:dyDescent="0.3">
      <c r="A17" s="124"/>
      <c r="B17"/>
      <c r="C17"/>
      <c r="D17"/>
    </row>
    <row r="18" spans="1:18" ht="18" customHeight="1" x14ac:dyDescent="0.3">
      <c r="A18" s="124"/>
      <c r="B18"/>
      <c r="C18"/>
      <c r="D18"/>
    </row>
    <row r="19" spans="1:18" ht="18" customHeight="1" x14ac:dyDescent="0.3">
      <c r="A19" s="124"/>
      <c r="B19"/>
      <c r="C19"/>
      <c r="D19"/>
    </row>
    <row r="20" spans="1:18" ht="18" customHeight="1" x14ac:dyDescent="0.3">
      <c r="A20" s="124"/>
      <c r="B20"/>
      <c r="C20"/>
      <c r="D20"/>
    </row>
    <row r="21" spans="1:18" ht="18" customHeight="1" x14ac:dyDescent="0.3">
      <c r="A21" s="124"/>
      <c r="B21"/>
      <c r="C21"/>
      <c r="D21"/>
    </row>
    <row r="22" spans="1:18" ht="18" customHeight="1" x14ac:dyDescent="0.3">
      <c r="A22" s="124"/>
      <c r="B22" s="124"/>
    </row>
    <row r="23" spans="1:18" ht="18" customHeight="1" x14ac:dyDescent="0.3">
      <c r="A23" s="124"/>
      <c r="B23" s="124"/>
    </row>
    <row r="24" spans="1:18" ht="18" customHeight="1" x14ac:dyDescent="0.3">
      <c r="A24" s="124"/>
      <c r="B24" s="124"/>
    </row>
    <row r="25" spans="1:18" ht="18" customHeight="1" x14ac:dyDescent="0.3">
      <c r="A25" s="124"/>
      <c r="B25" s="124"/>
    </row>
    <row r="26" spans="1:18" ht="18" customHeight="1" x14ac:dyDescent="0.3">
      <c r="A26" s="124"/>
      <c r="B26" s="124"/>
    </row>
    <row r="27" spans="1:18" ht="18" customHeight="1" x14ac:dyDescent="0.3">
      <c r="A27" s="124"/>
      <c r="B27" s="124"/>
    </row>
    <row r="28" spans="1:18" ht="18" customHeight="1" x14ac:dyDescent="0.3">
      <c r="A28" s="124"/>
      <c r="B28" s="124"/>
    </row>
    <row r="29" spans="1:18" ht="24.95" customHeight="1" x14ac:dyDescent="0.3">
      <c r="A29" s="124"/>
      <c r="B29" s="124"/>
      <c r="E29" s="71"/>
      <c r="F29" s="186" t="s">
        <v>43</v>
      </c>
      <c r="G29" s="186"/>
      <c r="H29" s="186"/>
      <c r="I29" s="187" t="s">
        <v>44</v>
      </c>
      <c r="J29" s="187"/>
      <c r="K29" s="187"/>
      <c r="L29" s="188" t="s">
        <v>45</v>
      </c>
      <c r="M29" s="189"/>
      <c r="N29" s="190"/>
      <c r="O29" s="191" t="s">
        <v>189</v>
      </c>
      <c r="P29" s="192"/>
      <c r="Q29" s="192"/>
      <c r="R29" s="192"/>
    </row>
    <row r="30" spans="1:18" ht="24.95" customHeight="1" x14ac:dyDescent="0.3">
      <c r="A30" s="124"/>
      <c r="B30" s="124"/>
      <c r="E30" s="85" t="s">
        <v>33</v>
      </c>
      <c r="F30" s="72" t="s">
        <v>34</v>
      </c>
      <c r="G30" s="158" t="s">
        <v>35</v>
      </c>
      <c r="H30" s="74" t="s">
        <v>36</v>
      </c>
      <c r="I30" s="72" t="s">
        <v>37</v>
      </c>
      <c r="J30" s="73" t="s">
        <v>38</v>
      </c>
      <c r="K30" s="74" t="s">
        <v>39</v>
      </c>
      <c r="L30" s="72" t="s">
        <v>40</v>
      </c>
      <c r="M30" s="73" t="s">
        <v>41</v>
      </c>
      <c r="N30" s="74" t="s">
        <v>42</v>
      </c>
      <c r="O30" s="86" t="s">
        <v>71</v>
      </c>
      <c r="P30" s="72" t="s">
        <v>190</v>
      </c>
      <c r="Q30" s="73" t="s">
        <v>191</v>
      </c>
      <c r="R30" s="74" t="s">
        <v>192</v>
      </c>
    </row>
    <row r="31" spans="1:18" ht="18" customHeight="1" x14ac:dyDescent="0.3">
      <c r="A31" s="124"/>
      <c r="B31" s="124"/>
      <c r="E31" s="75" cm="1">
        <f t="array" ref="E31:E111">_xlfn.SEQUENCE(81, 1, $F$11, ($F$12-$F$11)/80)</f>
        <v>0.01</v>
      </c>
      <c r="F31" s="87" cm="1">
        <f t="array" ref="F31:F111">_xlfn.LOGNORM.DIST(_xlfn.ANCHORARRAY(E31),$F$5,$F$6,FALSE)</f>
        <v>3.028721339881135E-17</v>
      </c>
      <c r="G31" s="157" cm="1">
        <f t="array" ref="G31">IFERROR(K_STATS_Lognormal_Density(E31,$F$5,$F$6),"")</f>
        <v>3.0287213398811165E-17</v>
      </c>
      <c r="H31" s="76" cm="1">
        <f t="array" ref="H31:H111">IF(AND(ISNUMBER(F31),ISNUMBER(G31)),ABS(_xlfn.ANCHORARRAY(F31)-G31:G111),"")</f>
        <v>1.8488927466117464E-31</v>
      </c>
      <c r="I31" s="87" cm="1">
        <f t="array" ref="I31:I111">_xlfn.LOGNORM.DIST(_xlfn.ANCHORARRAY(E31),$F$5,$F$6,TRUE)</f>
        <v>1.6254621050168867E-20</v>
      </c>
      <c r="J31" s="157" cm="1">
        <f t="array" ref="J31">IFERROR(K_STATS_Lognormal_Cumulative(E31,$F$5,$F$6),"")</f>
        <v>1.6254621050168976E-20</v>
      </c>
      <c r="K31" s="77" cm="1">
        <f t="array" ref="K31:K111">IF(AND(ISNUMBER(I31),ISNUMBER(J31)),ABS(_xlfn.ANCHORARRAY(I31)-J31:J111),"")</f>
        <v>1.0833355937178202E-34</v>
      </c>
      <c r="L31" s="87" cm="1">
        <f t="array" ref="L31:L111">IF(ISNUMBER(I31),1-_xlfn.ANCHORARRAY(I31),"")</f>
        <v>1</v>
      </c>
      <c r="M31" s="88" cm="1">
        <f t="array" ref="M31">IFERROR(K_STATS_Normal_Survival(E31,$F$5,$F$6),"")</f>
        <v>0.49202168628309795</v>
      </c>
      <c r="N31" s="79" cm="1">
        <f t="array" ref="N31:N111">IF(AND(ISNUMBER(L31),ISNUMBER(M31)),ABS(_xlfn.ANCHORARRAY(L31)-M31:M111),"")</f>
        <v>0.50797831371690205</v>
      </c>
      <c r="O31" s="91" cm="1">
        <f t="array" ref="O31:O111">_xlfn.ANCHORARRAY(I31)</f>
        <v>1.6254621050168867E-20</v>
      </c>
      <c r="P31" s="88" cm="1">
        <f t="array" ref="P31:P111">_xlfn.NORM.INV(_xlfn.ANCHORARRAY(I31), $F$5, $F$6)</f>
        <v>-4.60517018598809</v>
      </c>
      <c r="Q31" s="88" cm="1">
        <f t="array" ref="Q31">K_STATS_Normal_InverseCumulative(J31, $F$5, $F$6)</f>
        <v>-4.6051701859880909</v>
      </c>
      <c r="R31" s="90" cm="1">
        <f t="array" ref="R31:R111">ABS(_xlfn.ANCHORARRAY(P31)-Q31:Q111)</f>
        <v>8.8817841970012523E-16</v>
      </c>
    </row>
    <row r="32" spans="1:18" ht="18" customHeight="1" x14ac:dyDescent="0.3">
      <c r="A32" s="124"/>
      <c r="B32" s="124"/>
      <c r="E32" s="78">
        <v>7.2374999999999995E-2</v>
      </c>
      <c r="F32" s="88">
        <v>1.1301905572947192E-5</v>
      </c>
      <c r="G32" s="157" cm="1">
        <f t="array" ref="G32">IFERROR(K_STATS_Lognormal_Density(E32,$F$5,$F$6),"")</f>
        <v>1.1301905572947166E-5</v>
      </c>
      <c r="H32" s="67">
        <v>2.541098841762901E-20</v>
      </c>
      <c r="I32" s="88">
        <v>7.5314608092239787E-8</v>
      </c>
      <c r="J32" s="157" cm="1">
        <f t="array" ref="J32">IFERROR(K_STATS_Lognormal_Cumulative(E32,$F$5,$F$6),"")</f>
        <v>7.531460809953245E-8</v>
      </c>
      <c r="K32" s="79">
        <v>7.2926625082839073E-18</v>
      </c>
      <c r="L32" s="88">
        <v>0.99999992468539189</v>
      </c>
      <c r="M32" s="88" cm="1">
        <f t="array" ref="M32">IFERROR(K_STATS_Normal_Survival(E32,$F$5,$F$6),"")</f>
        <v>0.44245413027455338</v>
      </c>
      <c r="N32" s="79">
        <v>0.55754579441083851</v>
      </c>
      <c r="O32" s="91">
        <v>7.5314608092239787E-8</v>
      </c>
      <c r="P32" s="88">
        <v>-2.6258943430889783</v>
      </c>
      <c r="Q32" s="88" cm="1">
        <f t="array" ref="Q32">K_STATS_Normal_InverseCumulative(J32, $F$5, $F$6)</f>
        <v>-2.6258943430889778</v>
      </c>
      <c r="R32" s="90">
        <v>4.4408920985006262E-16</v>
      </c>
    </row>
    <row r="33" spans="1:18" ht="18" customHeight="1" x14ac:dyDescent="0.3">
      <c r="A33" s="124"/>
      <c r="B33" s="124"/>
      <c r="E33" s="78">
        <v>0.13474999999999998</v>
      </c>
      <c r="F33" s="88">
        <v>1.9185848820152365E-3</v>
      </c>
      <c r="G33" s="157" cm="1">
        <f t="array" ref="G33">IFERROR(K_STATS_Lognormal_Density(E33,$F$5,$F$6),"")</f>
        <v>1.9185848820152363E-3</v>
      </c>
      <c r="H33" s="67">
        <v>2.1684043449710089E-19</v>
      </c>
      <c r="I33" s="88">
        <v>3.0531077739280707E-5</v>
      </c>
      <c r="J33" s="157" cm="1">
        <f t="array" ref="J33">IFERROR(K_STATS_Lognormal_Cumulative(E33,$F$5,$F$6),"")</f>
        <v>3.0531077739277522E-5</v>
      </c>
      <c r="K33" s="79">
        <v>3.1848438816761693E-18</v>
      </c>
      <c r="L33" s="88">
        <v>0.99996946892226068</v>
      </c>
      <c r="M33" s="88" cm="1">
        <f t="array" ref="M33">IFERROR(K_STATS_Normal_Survival(E33,$F$5,$F$6),"")</f>
        <v>0.39377247110754432</v>
      </c>
      <c r="N33" s="79">
        <v>0.60619699781471637</v>
      </c>
      <c r="O33" s="91">
        <v>3.0531077739280707E-5</v>
      </c>
      <c r="P33" s="88">
        <v>-2.0043340691930309</v>
      </c>
      <c r="Q33" s="88" cm="1">
        <f t="array" ref="Q33">K_STATS_Normal_InverseCumulative(J33, $F$5, $F$6)</f>
        <v>-2.0043340691930305</v>
      </c>
      <c r="R33" s="90">
        <v>4.4408920985006262E-16</v>
      </c>
    </row>
    <row r="34" spans="1:18" ht="18" customHeight="1" x14ac:dyDescent="0.3">
      <c r="A34" s="124"/>
      <c r="B34" s="124"/>
      <c r="E34" s="78">
        <v>0.19712499999999999</v>
      </c>
      <c r="F34" s="88">
        <v>2.0731759425196342E-2</v>
      </c>
      <c r="G34" s="157" cm="1">
        <f t="array" ref="G34">IFERROR(K_STATS_Lognormal_Density(E34,$F$5,$F$6),"")</f>
        <v>2.0731759425196363E-2</v>
      </c>
      <c r="H34" s="67">
        <v>2.0816681711721685E-17</v>
      </c>
      <c r="I34" s="88">
        <v>5.8143450733375186E-4</v>
      </c>
      <c r="J34" s="157" cm="1">
        <f t="array" ref="J34">IFERROR(K_STATS_Lognormal_Cumulative(E34,$F$5,$F$6),"")</f>
        <v>5.814345073337601E-4</v>
      </c>
      <c r="K34" s="79">
        <v>8.2399365108898337E-18</v>
      </c>
      <c r="L34" s="88">
        <v>0.99941856549266628</v>
      </c>
      <c r="M34" s="88" cm="1">
        <f t="array" ref="M34">IFERROR(K_STATS_Normal_Survival(E34,$F$5,$F$6),"")</f>
        <v>0.34669823706208297</v>
      </c>
      <c r="N34" s="79">
        <v>0.65272032843058336</v>
      </c>
      <c r="O34" s="91">
        <v>5.8143450733375186E-4</v>
      </c>
      <c r="P34" s="88">
        <v>-1.6239172336989347</v>
      </c>
      <c r="Q34" s="88" cm="1">
        <f t="array" ref="Q34">K_STATS_Normal_InverseCumulative(J34, $F$5, $F$6)</f>
        <v>-1.6239172336989347</v>
      </c>
      <c r="R34" s="90">
        <v>0</v>
      </c>
    </row>
    <row r="35" spans="1:18" ht="18" customHeight="1" x14ac:dyDescent="0.3">
      <c r="A35" s="124"/>
      <c r="B35" s="124"/>
      <c r="E35" s="78">
        <v>0.25950000000000001</v>
      </c>
      <c r="F35" s="88">
        <v>8.0750825469547247E-2</v>
      </c>
      <c r="G35" s="157" cm="1">
        <f t="array" ref="G35">IFERROR(K_STATS_Lognormal_Density(E35,$F$5,$F$6),"")</f>
        <v>8.075082546954726E-2</v>
      </c>
      <c r="H35" s="67">
        <v>1.3877787807814457E-17</v>
      </c>
      <c r="I35" s="88">
        <v>3.487901864888298E-3</v>
      </c>
      <c r="J35" s="157" cm="1">
        <f t="array" ref="J35">IFERROR(K_STATS_Lognormal_Cumulative(E35,$F$5,$F$6),"")</f>
        <v>3.487901864888291E-3</v>
      </c>
      <c r="K35" s="79">
        <v>6.9388939039072284E-18</v>
      </c>
      <c r="L35" s="88">
        <v>0.99651209813511166</v>
      </c>
      <c r="M35" s="88" cm="1">
        <f t="array" ref="M35">IFERROR(K_STATS_Normal_Survival(E35,$F$5,$F$6),"")</f>
        <v>0.3018803706253812</v>
      </c>
      <c r="N35" s="79">
        <v>0.69463172750973046</v>
      </c>
      <c r="O35" s="91">
        <v>3.487901864888298E-3</v>
      </c>
      <c r="P35" s="88">
        <v>-1.3489985763761936</v>
      </c>
      <c r="Q35" s="88" cm="1">
        <f t="array" ref="Q35">K_STATS_Normal_InverseCumulative(J35, $F$5, $F$6)</f>
        <v>-1.3489985763761936</v>
      </c>
      <c r="R35" s="90">
        <v>0</v>
      </c>
    </row>
    <row r="36" spans="1:18" ht="18" customHeight="1" x14ac:dyDescent="0.3">
      <c r="A36" s="124"/>
      <c r="B36" s="124"/>
      <c r="E36" s="78">
        <v>0.32187500000000002</v>
      </c>
      <c r="F36" s="88">
        <v>0.18970955689686517</v>
      </c>
      <c r="G36" s="157" cm="1">
        <f t="array" ref="G36">IFERROR(K_STATS_Lognormal_Density(E36,$F$5,$F$6),"")</f>
        <v>0.18970955689686511</v>
      </c>
      <c r="H36" s="67">
        <v>5.5511151231257827E-17</v>
      </c>
      <c r="I36" s="88">
        <v>1.1689493450847351E-2</v>
      </c>
      <c r="J36" s="157" cm="1">
        <f t="array" ref="J36">IFERROR(K_STATS_Lognormal_Cumulative(E36,$F$5,$F$6),"")</f>
        <v>1.1689493450847346E-2</v>
      </c>
      <c r="K36" s="79">
        <v>5.2041704279304213E-18</v>
      </c>
      <c r="L36" s="88">
        <v>0.98831050654915265</v>
      </c>
      <c r="M36" s="88" cm="1">
        <f t="array" ref="M36">IFERROR(K_STATS_Normal_Survival(E36,$F$5,$F$6),"")</f>
        <v>0.25986878066506125</v>
      </c>
      <c r="N36" s="79">
        <v>0.7284417258840914</v>
      </c>
      <c r="O36" s="91">
        <v>1.1689493450847351E-2</v>
      </c>
      <c r="P36" s="88">
        <v>-1.1335920075641361</v>
      </c>
      <c r="Q36" s="88" cm="1">
        <f t="array" ref="Q36">K_STATS_Normal_InverseCumulative(J36, $F$5, $F$6)</f>
        <v>-1.1335920075641364</v>
      </c>
      <c r="R36" s="90">
        <v>2.2204460492503131E-16</v>
      </c>
    </row>
    <row r="37" spans="1:18" ht="18" customHeight="1" x14ac:dyDescent="0.3">
      <c r="A37" s="124"/>
      <c r="B37" s="124"/>
      <c r="E37" s="78">
        <v>0.38425000000000004</v>
      </c>
      <c r="F37" s="88">
        <v>0.33321472558383125</v>
      </c>
      <c r="G37" s="157" cm="1">
        <f t="array" ref="G37">IFERROR(K_STATS_Lognormal_Density(E37,$F$5,$F$6),"")</f>
        <v>0.33321472558383119</v>
      </c>
      <c r="H37" s="67">
        <v>5.5511151231257827E-17</v>
      </c>
      <c r="I37" s="88">
        <v>2.7878904548936604E-2</v>
      </c>
      <c r="J37" s="157" cm="1">
        <f t="array" ref="J37">IFERROR(K_STATS_Lognormal_Cumulative(E37,$F$5,$F$6),"")</f>
        <v>2.7878904548936628E-2</v>
      </c>
      <c r="K37" s="79">
        <v>2.4286128663675299E-17</v>
      </c>
      <c r="L37" s="88">
        <v>0.9721210954510634</v>
      </c>
      <c r="M37" s="88" cm="1">
        <f t="array" ref="M37">IFERROR(K_STATS_Normal_Survival(E37,$F$5,$F$6),"")</f>
        <v>0.22109509533231253</v>
      </c>
      <c r="N37" s="79">
        <v>0.75102600011875087</v>
      </c>
      <c r="O37" s="91">
        <v>2.7878904548936604E-2</v>
      </c>
      <c r="P37" s="88">
        <v>-0.95646189656343183</v>
      </c>
      <c r="Q37" s="88" cm="1">
        <f t="array" ref="Q37">K_STATS_Normal_InverseCumulative(J37, $F$5, $F$6)</f>
        <v>-0.95646189656343172</v>
      </c>
      <c r="R37" s="90">
        <v>1.1102230246251565E-16</v>
      </c>
    </row>
    <row r="38" spans="1:18" ht="18" customHeight="1" x14ac:dyDescent="0.3">
      <c r="A38" s="124"/>
      <c r="B38" s="124"/>
      <c r="E38" s="78">
        <v>0.44662500000000005</v>
      </c>
      <c r="F38" s="88">
        <v>0.48716941768483724</v>
      </c>
      <c r="G38" s="157" cm="1">
        <f t="array" ref="G38">IFERROR(K_STATS_Lognormal_Density(E38,$F$5,$F$6),"")</f>
        <v>0.48716941768483735</v>
      </c>
      <c r="H38" s="67">
        <v>1.1102230246251565E-16</v>
      </c>
      <c r="I38" s="88">
        <v>5.3473144584956743E-2</v>
      </c>
      <c r="J38" s="157" cm="1">
        <f t="array" ref="J38">IFERROR(K_STATS_Lognormal_Cumulative(E38,$F$5,$F$6),"")</f>
        <v>5.3473144584956736E-2</v>
      </c>
      <c r="K38" s="79">
        <v>6.9388939039072284E-18</v>
      </c>
      <c r="L38" s="88">
        <v>0.94652685541504322</v>
      </c>
      <c r="M38" s="88" cm="1">
        <f t="array" ref="M38">IFERROR(K_STATS_Normal_Survival(E38,$F$5,$F$6),"")</f>
        <v>0.18586165372591412</v>
      </c>
      <c r="N38" s="79">
        <v>0.7606652016891291</v>
      </c>
      <c r="O38" s="91">
        <v>5.3473144584956743E-2</v>
      </c>
      <c r="P38" s="88">
        <v>-0.80603596263856281</v>
      </c>
      <c r="Q38" s="88" cm="1">
        <f t="array" ref="Q38">K_STATS_Normal_InverseCumulative(J38, $F$5, $F$6)</f>
        <v>-0.80603596263856292</v>
      </c>
      <c r="R38" s="90">
        <v>1.1102230246251565E-16</v>
      </c>
    </row>
    <row r="39" spans="1:18" ht="18" customHeight="1" x14ac:dyDescent="0.3">
      <c r="A39" s="124"/>
      <c r="B39" s="124"/>
      <c r="E39" s="78">
        <v>0.50900000000000001</v>
      </c>
      <c r="F39" s="88">
        <v>0.62966717830243735</v>
      </c>
      <c r="G39" s="157" cm="1">
        <f t="array" ref="G39">IFERROR(K_STATS_Lognormal_Density(E39,$F$5,$F$6),"")</f>
        <v>0.62966717830243746</v>
      </c>
      <c r="H39" s="67">
        <v>1.1102230246251565E-16</v>
      </c>
      <c r="I39" s="88">
        <v>8.8409472772919523E-2</v>
      </c>
      <c r="J39" s="157" cm="1">
        <f t="array" ref="J39">IFERROR(K_STATS_Lognormal_Cumulative(E39,$F$5,$F$6),"")</f>
        <v>8.8409472772919592E-2</v>
      </c>
      <c r="K39" s="79">
        <v>6.9388939039072284E-17</v>
      </c>
      <c r="L39" s="88">
        <v>0.91159052722708045</v>
      </c>
      <c r="M39" s="88" cm="1">
        <f t="array" ref="M39">IFERROR(K_STATS_Normal_Survival(E39,$F$5,$F$6),"")</f>
        <v>0.15433897803841309</v>
      </c>
      <c r="N39" s="79">
        <v>0.75725154918866733</v>
      </c>
      <c r="O39" s="91">
        <v>8.8409472772919523E-2</v>
      </c>
      <c r="P39" s="88">
        <v>-0.67530726243161388</v>
      </c>
      <c r="Q39" s="88" cm="1">
        <f t="array" ref="Q39">K_STATS_Normal_InverseCumulative(J39, $F$5, $F$6)</f>
        <v>-0.67530726243161432</v>
      </c>
      <c r="R39" s="90">
        <v>4.4408920985006262E-16</v>
      </c>
    </row>
    <row r="40" spans="1:18" ht="18" customHeight="1" x14ac:dyDescent="0.3">
      <c r="A40" s="124"/>
      <c r="B40" s="124"/>
      <c r="E40" s="78">
        <v>0.57137499999999997</v>
      </c>
      <c r="F40" s="88">
        <v>0.74629720957404477</v>
      </c>
      <c r="G40" s="157" cm="1">
        <f t="array" ref="G40">IFERROR(K_STATS_Lognormal_Density(E40,$F$5,$F$6),"")</f>
        <v>0.746297209574045</v>
      </c>
      <c r="H40" s="67">
        <v>2.2204460492503131E-16</v>
      </c>
      <c r="I40" s="88">
        <v>0.13148069644585506</v>
      </c>
      <c r="J40" s="157" cm="1">
        <f t="array" ref="J40">IFERROR(K_STATS_Lognormal_Cumulative(E40,$F$5,$F$6),"")</f>
        <v>0.13148069644585508</v>
      </c>
      <c r="K40" s="79">
        <v>2.7755575615628914E-17</v>
      </c>
      <c r="L40" s="88">
        <v>0.86851930355414497</v>
      </c>
      <c r="M40" s="88" cm="1">
        <f t="array" ref="M40">IFERROR(K_STATS_Normal_Survival(E40,$F$5,$F$6),"")</f>
        <v>0.12657120185965609</v>
      </c>
      <c r="N40" s="79">
        <v>0.74194810169448888</v>
      </c>
      <c r="O40" s="91">
        <v>0.13148069644585506</v>
      </c>
      <c r="P40" s="88">
        <v>-0.55970954233022885</v>
      </c>
      <c r="Q40" s="88" cm="1">
        <f t="array" ref="Q40">K_STATS_Normal_InverseCumulative(J40, $F$5, $F$6)</f>
        <v>-0.55970954233022863</v>
      </c>
      <c r="R40" s="90">
        <v>2.2204460492503131E-16</v>
      </c>
    </row>
    <row r="41" spans="1:18" ht="18" customHeight="1" x14ac:dyDescent="0.3">
      <c r="A41" s="124"/>
      <c r="B41" s="124"/>
      <c r="E41" s="78">
        <v>0.63374999999999992</v>
      </c>
      <c r="F41" s="88">
        <v>0.83048420433433057</v>
      </c>
      <c r="G41" s="157" cm="1">
        <f t="array" ref="G41">IFERROR(K_STATS_Lognormal_Density(E41,$F$5,$F$6),"")</f>
        <v>0.83048420433433079</v>
      </c>
      <c r="H41" s="67">
        <v>2.2204460492503131E-16</v>
      </c>
      <c r="I41" s="88">
        <v>0.18083134087702313</v>
      </c>
      <c r="J41" s="157" cm="1">
        <f t="array" ref="J41">IFERROR(K_STATS_Lognormal_Cumulative(E41,$F$5,$F$6),"")</f>
        <v>0.1808313408770231</v>
      </c>
      <c r="K41" s="79">
        <v>2.7755575615628914E-17</v>
      </c>
      <c r="L41" s="88">
        <v>0.81916865912297687</v>
      </c>
      <c r="M41" s="88" cm="1">
        <f t="array" ref="M41">IFERROR(K_STATS_Normal_Survival(E41,$F$5,$F$6),"")</f>
        <v>0.10248828180587141</v>
      </c>
      <c r="N41" s="79">
        <v>0.71668037731710543</v>
      </c>
      <c r="O41" s="91">
        <v>0.18083134087702313</v>
      </c>
      <c r="P41" s="88">
        <v>-0.45610072407674374</v>
      </c>
      <c r="Q41" s="88" cm="1">
        <f t="array" ref="Q41">K_STATS_Normal_InverseCumulative(J41, $F$5, $F$6)</f>
        <v>-0.45610072407674429</v>
      </c>
      <c r="R41" s="90">
        <v>5.5511151231257827E-16</v>
      </c>
    </row>
    <row r="42" spans="1:18" ht="18" customHeight="1" x14ac:dyDescent="0.3">
      <c r="A42" s="124"/>
      <c r="B42" s="124"/>
      <c r="E42" s="78">
        <v>0.69612499999999988</v>
      </c>
      <c r="F42" s="88">
        <v>0.88163184497643565</v>
      </c>
      <c r="G42" s="157" cm="1">
        <f t="array" ref="G42">IFERROR(K_STATS_Lognormal_Density(E42,$F$5,$F$6),"")</f>
        <v>0.88163184497643565</v>
      </c>
      <c r="H42" s="67">
        <v>0</v>
      </c>
      <c r="I42" s="88">
        <v>0.23439412000083082</v>
      </c>
      <c r="J42" s="157" cm="1">
        <f t="array" ref="J42">IFERROR(K_STATS_Lognormal_Cumulative(E42,$F$5,$F$6),"")</f>
        <v>0.2343941200008309</v>
      </c>
      <c r="K42" s="79">
        <v>8.3266726846886741E-17</v>
      </c>
      <c r="L42" s="88">
        <v>0.76560587999916918</v>
      </c>
      <c r="M42" s="88" cm="1">
        <f t="array" ref="M42">IFERROR(K_STATS_Normal_Survival(E42,$F$5,$F$6),"")</f>
        <v>8.19233533149685E-2</v>
      </c>
      <c r="N42" s="79">
        <v>0.68368252668420071</v>
      </c>
      <c r="O42" s="91">
        <v>0.23439412000083082</v>
      </c>
      <c r="P42" s="88">
        <v>-0.36222603707230466</v>
      </c>
      <c r="Q42" s="88" cm="1">
        <f t="array" ref="Q42">K_STATS_Normal_InverseCumulative(J42, $F$5, $F$6)</f>
        <v>-0.36222603707230461</v>
      </c>
      <c r="R42" s="90">
        <v>5.5511151231257827E-17</v>
      </c>
    </row>
    <row r="43" spans="1:18" ht="18" customHeight="1" x14ac:dyDescent="0.3">
      <c r="A43" s="124"/>
      <c r="B43" s="124"/>
      <c r="E43" s="78">
        <v>0.75849999999999984</v>
      </c>
      <c r="F43" s="88">
        <v>0.90286107032303098</v>
      </c>
      <c r="G43" s="157" cm="1">
        <f t="array" ref="G43">IFERROR(K_STATS_Lognormal_Density(E43,$F$5,$F$6),"")</f>
        <v>0.90286107032303109</v>
      </c>
      <c r="H43" s="67">
        <v>1.1102230246251565E-16</v>
      </c>
      <c r="I43" s="88">
        <v>0.29019163750847127</v>
      </c>
      <c r="J43" s="157" cm="1">
        <f t="array" ref="J43">IFERROR(K_STATS_Lognormal_Cumulative(E43,$F$5,$F$6),"")</f>
        <v>0.29019163750847132</v>
      </c>
      <c r="K43" s="79">
        <v>5.5511151231257827E-17</v>
      </c>
      <c r="L43" s="88">
        <v>0.70980836249152879</v>
      </c>
      <c r="M43" s="88" cm="1">
        <f t="array" ref="M43">IFERROR(K_STATS_Normal_Survival(E43,$F$5,$F$6),"")</f>
        <v>6.4633342015992024E-2</v>
      </c>
      <c r="N43" s="79">
        <v>0.64517502047553676</v>
      </c>
      <c r="O43" s="91">
        <v>0.29019163750847127</v>
      </c>
      <c r="P43" s="88">
        <v>-0.27641248019355047</v>
      </c>
      <c r="Q43" s="88" cm="1">
        <f t="array" ref="Q43">K_STATS_Normal_InverseCumulative(J43, $F$5, $F$6)</f>
        <v>-0.2764124801935503</v>
      </c>
      <c r="R43" s="90">
        <v>1.6653345369377348E-16</v>
      </c>
    </row>
    <row r="44" spans="1:18" ht="18" customHeight="1" x14ac:dyDescent="0.3">
      <c r="A44" s="124"/>
      <c r="B44" s="124"/>
      <c r="E44" s="78">
        <v>0.8208749999999998</v>
      </c>
      <c r="F44" s="88">
        <v>0.89912955199189415</v>
      </c>
      <c r="G44" s="157" cm="1">
        <f t="array" ref="G44">IFERROR(K_STATS_Lognormal_Density(E44,$F$5,$F$6),"")</f>
        <v>0.89912955199189426</v>
      </c>
      <c r="H44" s="67">
        <v>1.1102230246251565E-16</v>
      </c>
      <c r="I44" s="88">
        <v>0.34650673588764658</v>
      </c>
      <c r="J44" s="157" cm="1">
        <f t="array" ref="J44">IFERROR(K_STATS_Lognormal_Cumulative(E44,$F$5,$F$6),"")</f>
        <v>0.34650673588764663</v>
      </c>
      <c r="K44" s="79">
        <v>5.5511151231257827E-17</v>
      </c>
      <c r="L44" s="88">
        <v>0.65349326411235342</v>
      </c>
      <c r="M44" s="88" cm="1">
        <f t="array" ref="M44">IFERROR(K_STATS_Normal_Survival(E44,$F$5,$F$6),"")</f>
        <v>5.0320912472660344E-2</v>
      </c>
      <c r="N44" s="79">
        <v>0.60317235163969307</v>
      </c>
      <c r="O44" s="91">
        <v>0.34650673588764658</v>
      </c>
      <c r="P44" s="88">
        <v>-0.19738443447100071</v>
      </c>
      <c r="Q44" s="88" cm="1">
        <f t="array" ref="Q44">K_STATS_Normal_InverseCumulative(J44, $F$5, $F$6)</f>
        <v>-0.19738443447100065</v>
      </c>
      <c r="R44" s="90">
        <v>5.5511151231257827E-17</v>
      </c>
    </row>
    <row r="45" spans="1:18" ht="18" customHeight="1" x14ac:dyDescent="0.3">
      <c r="A45" s="124"/>
      <c r="B45" s="124"/>
      <c r="E45" s="78">
        <v>0.88324999999999976</v>
      </c>
      <c r="F45" s="88">
        <v>0.87592981465179987</v>
      </c>
      <c r="G45" s="157" cm="1">
        <f t="array" ref="G45">IFERROR(K_STATS_Lognormal_Density(E45,$F$5,$F$6),"")</f>
        <v>0.87592981465179998</v>
      </c>
      <c r="H45" s="67">
        <v>1.1102230246251565E-16</v>
      </c>
      <c r="I45" s="88">
        <v>0.40195347611043825</v>
      </c>
      <c r="J45" s="157" cm="1">
        <f t="array" ref="J45">IFERROR(K_STATS_Lognormal_Cumulative(E45,$F$5,$F$6),"")</f>
        <v>0.40195347611043825</v>
      </c>
      <c r="K45" s="79">
        <v>0</v>
      </c>
      <c r="L45" s="88">
        <v>0.59804652388956181</v>
      </c>
      <c r="M45" s="88" cm="1">
        <f t="array" ref="M45">IFERROR(K_STATS_Normal_Survival(E45,$F$5,$F$6),"")</f>
        <v>3.8656000785940905E-2</v>
      </c>
      <c r="N45" s="79">
        <v>0.55939052310362092</v>
      </c>
      <c r="O45" s="91">
        <v>0.40195347611043825</v>
      </c>
      <c r="P45" s="88">
        <v>-0.12414699274288273</v>
      </c>
      <c r="Q45" s="88" cm="1">
        <f t="array" ref="Q45">K_STATS_Normal_InverseCumulative(J45, $F$5, $F$6)</f>
        <v>-0.12414699274288274</v>
      </c>
      <c r="R45" s="90">
        <v>1.3877787807814457E-17</v>
      </c>
    </row>
    <row r="46" spans="1:18" ht="18" customHeight="1" x14ac:dyDescent="0.3">
      <c r="A46" s="124"/>
      <c r="B46" s="124"/>
      <c r="E46" s="78">
        <v>0.94562499999999972</v>
      </c>
      <c r="F46" s="88">
        <v>0.83850575503759361</v>
      </c>
      <c r="G46" s="157" cm="1">
        <f t="array" ref="G46">IFERROR(K_STATS_Lognormal_Density(E46,$F$5,$F$6),"")</f>
        <v>0.83850575503759373</v>
      </c>
      <c r="H46" s="67">
        <v>1.1102230246251565E-16</v>
      </c>
      <c r="I46" s="88">
        <v>0.45548370337325861</v>
      </c>
      <c r="J46" s="157" cm="1">
        <f t="array" ref="J46">IFERROR(K_STATS_Lognormal_Cumulative(E46,$F$5,$F$6),"")</f>
        <v>0.45548370337325855</v>
      </c>
      <c r="K46" s="79">
        <v>5.5511151231257827E-17</v>
      </c>
      <c r="L46" s="88">
        <v>0.54451629662674139</v>
      </c>
      <c r="M46" s="88" cm="1">
        <f t="array" ref="M46">IFERROR(K_STATS_Normal_Survival(E46,$F$5,$F$6),"")</f>
        <v>2.9295489860473176E-2</v>
      </c>
      <c r="N46" s="79">
        <v>0.51522080676626825</v>
      </c>
      <c r="O46" s="91">
        <v>0.45548370337325861</v>
      </c>
      <c r="P46" s="88">
        <v>-5.5909194439517002E-2</v>
      </c>
      <c r="Q46" s="88" cm="1">
        <f t="array" ref="Q46">K_STATS_Normal_InverseCumulative(J46, $F$5, $F$6)</f>
        <v>-5.5909194439517099E-2</v>
      </c>
      <c r="R46" s="90">
        <v>9.7144514654701197E-17</v>
      </c>
    </row>
    <row r="47" spans="1:18" ht="18" customHeight="1" x14ac:dyDescent="0.3">
      <c r="A47" s="124"/>
      <c r="B47" s="124"/>
      <c r="E47" s="78">
        <v>1.0079999999999998</v>
      </c>
      <c r="F47" s="88">
        <v>0.79145163600906976</v>
      </c>
      <c r="G47" s="157" cm="1">
        <f t="array" ref="G47">IFERROR(K_STATS_Lognormal_Density(E47,$F$5,$F$6),"")</f>
        <v>0.79145163600906987</v>
      </c>
      <c r="H47" s="67">
        <v>1.1102230246251565E-16</v>
      </c>
      <c r="I47" s="88">
        <v>0.50635741044448246</v>
      </c>
      <c r="J47" s="157" cm="1">
        <f t="array" ref="J47">IFERROR(K_STATS_Lognormal_Cumulative(E47,$F$5,$F$6),"")</f>
        <v>0.50635741044448257</v>
      </c>
      <c r="K47" s="79">
        <v>1.1102230246251565E-16</v>
      </c>
      <c r="L47" s="88">
        <v>0.49364258955551754</v>
      </c>
      <c r="M47" s="88" cm="1">
        <f t="array" ref="M47">IFERROR(K_STATS_Normal_Survival(E47,$F$5,$F$6),"")</f>
        <v>2.1899987895095143E-2</v>
      </c>
      <c r="N47" s="79">
        <v>0.47174260166042242</v>
      </c>
      <c r="O47" s="91">
        <v>0.50635741044448246</v>
      </c>
      <c r="P47" s="88">
        <v>7.968169649176628E-3</v>
      </c>
      <c r="Q47" s="88" cm="1">
        <f t="array" ref="Q47">K_STATS_Normal_InverseCumulative(J47, $F$5, $F$6)</f>
        <v>7.9681696491768032E-3</v>
      </c>
      <c r="R47" s="90">
        <v>1.7520707107365752E-16</v>
      </c>
    </row>
    <row r="48" spans="1:18" ht="18" customHeight="1" x14ac:dyDescent="0.3">
      <c r="A48" s="124"/>
      <c r="B48" s="124"/>
      <c r="E48" s="78">
        <v>1.0703749999999999</v>
      </c>
      <c r="F48" s="88">
        <v>0.73856152481965087</v>
      </c>
      <c r="G48" s="157" cm="1">
        <f t="array" ref="G48">IFERROR(K_STATS_Lognormal_Density(E48,$F$5,$F$6),"")</f>
        <v>0.73856152481965098</v>
      </c>
      <c r="H48" s="67">
        <v>1.1102230246251565E-16</v>
      </c>
      <c r="I48" s="88">
        <v>0.55409651734357357</v>
      </c>
      <c r="J48" s="157" cm="1">
        <f t="array" ref="J48">IFERROR(K_STATS_Lognormal_Cumulative(E48,$F$5,$F$6),"")</f>
        <v>0.55409651734357346</v>
      </c>
      <c r="K48" s="79">
        <v>1.1102230246251565E-16</v>
      </c>
      <c r="L48" s="88">
        <v>0.44590348265642643</v>
      </c>
      <c r="M48" s="88" cm="1">
        <f t="array" ref="M48">IFERROR(K_STATS_Normal_Survival(E48,$F$5,$F$6),"")</f>
        <v>1.6147102016852093E-2</v>
      </c>
      <c r="N48" s="79">
        <v>0.42975638063957433</v>
      </c>
      <c r="O48" s="91">
        <v>0.55409651734357357</v>
      </c>
      <c r="P48" s="88">
        <v>6.8009054364219002E-2</v>
      </c>
      <c r="Q48" s="88" cm="1">
        <f t="array" ref="Q48">K_STATS_Normal_InverseCumulative(J48, $F$5, $F$6)</f>
        <v>6.8009054364218918E-2</v>
      </c>
      <c r="R48" s="90">
        <v>8.3266726846886741E-17</v>
      </c>
    </row>
    <row r="49" spans="1:18" ht="18" customHeight="1" x14ac:dyDescent="0.3">
      <c r="A49" s="124"/>
      <c r="B49" s="124"/>
      <c r="E49" s="78">
        <v>1.1327499999999999</v>
      </c>
      <c r="F49" s="88">
        <v>0.68282678758205151</v>
      </c>
      <c r="G49" s="157" cm="1">
        <f t="array" ref="G49">IFERROR(K_STATS_Lognormal_Density(E49,$F$5,$F$6),"")</f>
        <v>0.68282678758205162</v>
      </c>
      <c r="H49" s="67">
        <v>1.1102230246251565E-16</v>
      </c>
      <c r="I49" s="88">
        <v>0.59843432296753085</v>
      </c>
      <c r="J49" s="157" cm="1">
        <f t="array" ref="J49">IFERROR(K_STATS_Lognormal_Cumulative(E49,$F$5,$F$6),"")</f>
        <v>0.59843432296753085</v>
      </c>
      <c r="K49" s="79">
        <v>0</v>
      </c>
      <c r="L49" s="88">
        <v>0.40156567703246915</v>
      </c>
      <c r="M49" s="88" cm="1">
        <f t="array" ref="M49">IFERROR(K_STATS_Normal_Survival(E49,$F$5,$F$6),"")</f>
        <v>1.174100701147796E-2</v>
      </c>
      <c r="N49" s="79">
        <v>0.38982467002099119</v>
      </c>
      <c r="O49" s="91">
        <v>0.59843432296753085</v>
      </c>
      <c r="P49" s="88">
        <v>0.1246483045651105</v>
      </c>
      <c r="Q49" s="88" cm="1">
        <f t="array" ref="Q49">K_STATS_Normal_InverseCumulative(J49, $F$5, $F$6)</f>
        <v>0.12464830456511047</v>
      </c>
      <c r="R49" s="90">
        <v>2.7755575615628914E-17</v>
      </c>
    </row>
    <row r="50" spans="1:18" ht="18" customHeight="1" x14ac:dyDescent="0.3">
      <c r="A50" s="124"/>
      <c r="B50" s="124"/>
      <c r="E50" s="78">
        <v>1.195125</v>
      </c>
      <c r="F50" s="88">
        <v>0.62651108082096207</v>
      </c>
      <c r="G50" s="157" cm="1">
        <f t="array" ref="G50">IFERROR(K_STATS_Lognormal_Density(E50,$F$5,$F$6),"")</f>
        <v>0.6265110808209623</v>
      </c>
      <c r="H50" s="67">
        <v>2.2204460492503131E-16</v>
      </c>
      <c r="I50" s="88">
        <v>0.63926750980116109</v>
      </c>
      <c r="J50" s="157" cm="1">
        <f t="array" ref="J50">IFERROR(K_STATS_Lognormal_Cumulative(E50,$F$5,$F$6),"")</f>
        <v>0.63926750980116098</v>
      </c>
      <c r="K50" s="79">
        <v>1.1102230246251565E-16</v>
      </c>
      <c r="L50" s="88">
        <v>0.36073249019883891</v>
      </c>
      <c r="M50" s="88" cm="1">
        <f t="array" ref="M50">IFERROR(K_STATS_Normal_Survival(E50,$F$5,$F$6),"")</f>
        <v>8.41845377378324E-3</v>
      </c>
      <c r="N50" s="79">
        <v>0.35231403642505565</v>
      </c>
      <c r="O50" s="91">
        <v>0.63926750980116109</v>
      </c>
      <c r="P50" s="88">
        <v>0.17825078242347325</v>
      </c>
      <c r="Q50" s="88" cm="1">
        <f t="array" ref="Q50">K_STATS_Normal_InverseCumulative(J50, $F$5, $F$6)</f>
        <v>0.17825078242347311</v>
      </c>
      <c r="R50" s="90">
        <v>1.3877787807814457E-16</v>
      </c>
    </row>
    <row r="51" spans="1:18" ht="18" customHeight="1" x14ac:dyDescent="0.3">
      <c r="A51" s="124"/>
      <c r="B51" s="124"/>
      <c r="E51" s="78">
        <v>1.2575000000000001</v>
      </c>
      <c r="F51" s="88">
        <v>0.57125814546298992</v>
      </c>
      <c r="G51" s="157" cm="1">
        <f t="array" ref="G51">IFERROR(K_STATS_Lognormal_Density(E51,$F$5,$F$6),"")</f>
        <v>0.57125814546298992</v>
      </c>
      <c r="H51" s="67">
        <v>0</v>
      </c>
      <c r="I51" s="88">
        <v>0.676614026730604</v>
      </c>
      <c r="J51" s="157" cm="1">
        <f t="array" ref="J51">IFERROR(K_STATS_Lognormal_Cumulative(E51,$F$5,$F$6),"")</f>
        <v>0.676614026730604</v>
      </c>
      <c r="K51" s="79">
        <v>0</v>
      </c>
      <c r="L51" s="88">
        <v>0.323385973269396</v>
      </c>
      <c r="M51" s="88" cm="1">
        <f t="array" ref="M51">IFERROR(K_STATS_Normal_Survival(E51,$F$5,$F$6),"")</f>
        <v>5.9516191895239113E-3</v>
      </c>
      <c r="N51" s="79">
        <v>0.31743435407987208</v>
      </c>
      <c r="O51" s="91">
        <v>0.676614026730604</v>
      </c>
      <c r="P51" s="88">
        <v>0.22912562299175721</v>
      </c>
      <c r="Q51" s="88" cm="1">
        <f t="array" ref="Q51">K_STATS_Normal_InverseCumulative(J51, $F$5, $F$6)</f>
        <v>0.22912562299175729</v>
      </c>
      <c r="R51" s="90">
        <v>8.3266726846886741E-17</v>
      </c>
    </row>
    <row r="52" spans="1:18" ht="18" customHeight="1" x14ac:dyDescent="0.3">
      <c r="A52" s="124"/>
      <c r="B52" s="124"/>
      <c r="E52" s="78">
        <v>1.3198750000000001</v>
      </c>
      <c r="F52" s="88">
        <v>0.51820622429885166</v>
      </c>
      <c r="G52" s="157" cm="1">
        <f t="array" ref="G52">IFERROR(K_STATS_Lognormal_Density(E52,$F$5,$F$6),"")</f>
        <v>0.51820622429885188</v>
      </c>
      <c r="H52" s="67">
        <v>2.2204460492503131E-16</v>
      </c>
      <c r="I52" s="88">
        <v>0.71057800113133507</v>
      </c>
      <c r="J52" s="157" cm="1">
        <f t="array" ref="J52">IFERROR(K_STATS_Lognormal_Cumulative(E52,$F$5,$F$6),"")</f>
        <v>0.71057800113133496</v>
      </c>
      <c r="K52" s="79">
        <v>1.1102230246251565E-16</v>
      </c>
      <c r="L52" s="88">
        <v>0.28942199886866493</v>
      </c>
      <c r="M52" s="88" cm="1">
        <f t="array" ref="M52">IFERROR(K_STATS_Normal_Survival(E52,$F$5,$F$6),"")</f>
        <v>4.1483602519149371E-3</v>
      </c>
      <c r="N52" s="79">
        <v>0.28527363861674998</v>
      </c>
      <c r="O52" s="91">
        <v>0.71057800113133507</v>
      </c>
      <c r="P52" s="88">
        <v>0.27753703514454159</v>
      </c>
      <c r="Q52" s="88" cm="1">
        <f t="array" ref="Q52">K_STATS_Normal_InverseCumulative(J52, $F$5, $F$6)</f>
        <v>0.27753703514454159</v>
      </c>
      <c r="R52" s="90">
        <v>0</v>
      </c>
    </row>
    <row r="53" spans="1:18" ht="18" customHeight="1" x14ac:dyDescent="0.3">
      <c r="A53" s="124"/>
      <c r="B53" s="124"/>
      <c r="E53" s="78">
        <v>1.3822500000000002</v>
      </c>
      <c r="F53" s="88">
        <v>0.46809516404802132</v>
      </c>
      <c r="G53" s="157" cm="1">
        <f t="array" ref="G53">IFERROR(K_STATS_Lognormal_Density(E53,$F$5,$F$6),"")</f>
        <v>0.46809516404802137</v>
      </c>
      <c r="H53" s="67">
        <v>5.5511151231257827E-17</v>
      </c>
      <c r="I53" s="88">
        <v>0.74132160864668784</v>
      </c>
      <c r="J53" s="157" cm="1">
        <f t="array" ref="J53">IFERROR(K_STATS_Lognormal_Cumulative(E53,$F$5,$F$6),"")</f>
        <v>0.74132160864668772</v>
      </c>
      <c r="K53" s="79">
        <v>1.1102230246251565E-16</v>
      </c>
      <c r="L53" s="88">
        <v>0.25867839135331216</v>
      </c>
      <c r="M53" s="88" cm="1">
        <f t="array" ref="M53">IFERROR(K_STATS_Normal_Survival(E53,$F$5,$F$6),"")</f>
        <v>2.8505053584153626E-3</v>
      </c>
      <c r="N53" s="79">
        <v>0.25582788599489681</v>
      </c>
      <c r="O53" s="91">
        <v>0.74132160864668784</v>
      </c>
      <c r="P53" s="88">
        <v>0.32371260623590536</v>
      </c>
      <c r="Q53" s="88" cm="1">
        <f t="array" ref="Q53">K_STATS_Normal_InverseCumulative(J53, $F$5, $F$6)</f>
        <v>0.32371260623590531</v>
      </c>
      <c r="R53" s="90">
        <v>5.5511151231257827E-17</v>
      </c>
    </row>
    <row r="54" spans="1:18" ht="18" customHeight="1" x14ac:dyDescent="0.3">
      <c r="A54" s="124"/>
      <c r="B54" s="124"/>
      <c r="E54" s="78">
        <v>1.4446250000000003</v>
      </c>
      <c r="F54" s="88">
        <v>0.4213598604736814</v>
      </c>
      <c r="G54" s="157" cm="1">
        <f t="array" ref="G54">IFERROR(K_STATS_Lognormal_Density(E54,$F$5,$F$6),"")</f>
        <v>0.42135986047368151</v>
      </c>
      <c r="H54" s="67">
        <v>1.1102230246251565E-16</v>
      </c>
      <c r="I54" s="88">
        <v>0.76904321657020014</v>
      </c>
      <c r="J54" s="157" cm="1">
        <f t="array" ref="J54">IFERROR(K_STATS_Lognormal_Cumulative(E54,$F$5,$F$6),"")</f>
        <v>0.76904321657020014</v>
      </c>
      <c r="K54" s="79">
        <v>0</v>
      </c>
      <c r="L54" s="88">
        <v>0.23095678342979986</v>
      </c>
      <c r="M54" s="88" cm="1">
        <f t="array" ref="M54">IFERROR(K_STATS_Normal_Survival(E54,$F$5,$F$6),"")</f>
        <v>1.9308096484370377E-3</v>
      </c>
      <c r="N54" s="79">
        <v>0.22902597378136283</v>
      </c>
      <c r="O54" s="91">
        <v>0.76904321657020014</v>
      </c>
      <c r="P54" s="88">
        <v>0.36784977231346844</v>
      </c>
      <c r="Q54" s="88" cm="1">
        <f t="array" ref="Q54">K_STATS_Normal_InverseCumulative(J54, $F$5, $F$6)</f>
        <v>0.36784977231346844</v>
      </c>
      <c r="R54" s="90">
        <v>0</v>
      </c>
    </row>
    <row r="55" spans="1:18" ht="18" customHeight="1" x14ac:dyDescent="0.3">
      <c r="A55" s="124"/>
      <c r="B55" s="124"/>
      <c r="E55" s="78">
        <v>1.5070000000000003</v>
      </c>
      <c r="F55" s="88">
        <v>0.37820813630745548</v>
      </c>
      <c r="G55" s="157" cm="1">
        <f t="array" ref="G55">IFERROR(K_STATS_Lognormal_Density(E55,$F$5,$F$6),"")</f>
        <v>0.37820813630745553</v>
      </c>
      <c r="H55" s="67">
        <v>5.5511151231257827E-17</v>
      </c>
      <c r="I55" s="88">
        <v>0.79396087256917325</v>
      </c>
      <c r="J55" s="157" cm="1">
        <f t="array" ref="J55">IFERROR(K_STATS_Lognormal_Cumulative(E55,$F$5,$F$6),"")</f>
        <v>0.79396087256917325</v>
      </c>
      <c r="K55" s="79">
        <v>0</v>
      </c>
      <c r="L55" s="88">
        <v>0.20603912743082675</v>
      </c>
      <c r="M55" s="88" cm="1">
        <f t="array" ref="M55">IFERROR(K_STATS_Normal_Survival(E55,$F$5,$F$6),"")</f>
        <v>1.289139029735405E-3</v>
      </c>
      <c r="N55" s="79">
        <v>0.20474998840109135</v>
      </c>
      <c r="O55" s="91">
        <v>0.79396087256917325</v>
      </c>
      <c r="P55" s="88">
        <v>0.41012091964435915</v>
      </c>
      <c r="Q55" s="88" cm="1">
        <f t="array" ref="Q55">K_STATS_Normal_InverseCumulative(J55, $F$5, $F$6)</f>
        <v>0.41012091964435871</v>
      </c>
      <c r="R55" s="90">
        <v>4.4408920985006262E-16</v>
      </c>
    </row>
    <row r="56" spans="1:18" ht="18" customHeight="1" x14ac:dyDescent="0.3">
      <c r="A56" s="124"/>
      <c r="B56" s="124"/>
      <c r="E56" s="78">
        <v>1.5693750000000004</v>
      </c>
      <c r="F56" s="88">
        <v>0.33868353484890884</v>
      </c>
      <c r="G56" s="157" cm="1">
        <f t="array" ref="G56">IFERROR(K_STATS_Lognormal_Density(E56,$F$5,$F$6),"")</f>
        <v>0.3386835348489089</v>
      </c>
      <c r="H56" s="67">
        <v>5.5511151231257827E-17</v>
      </c>
      <c r="I56" s="88">
        <v>0.81630017422142742</v>
      </c>
      <c r="J56" s="157" cm="1">
        <f t="array" ref="J56">IFERROR(K_STATS_Lognormal_Cumulative(E56,$F$5,$F$6),"")</f>
        <v>0.81630017422142742</v>
      </c>
      <c r="K56" s="79">
        <v>0</v>
      </c>
      <c r="L56" s="88">
        <v>0.18369982577857258</v>
      </c>
      <c r="M56" s="88" cm="1">
        <f t="array" ref="M56">IFERROR(K_STATS_Normal_Survival(E56,$F$5,$F$6),"")</f>
        <v>8.483506733857315E-4</v>
      </c>
      <c r="N56" s="79">
        <v>0.18285147510518684</v>
      </c>
      <c r="O56" s="91">
        <v>0.81630017422142742</v>
      </c>
      <c r="P56" s="88">
        <v>0.45067745092971234</v>
      </c>
      <c r="Q56" s="88" cm="1">
        <f t="array" ref="Q56">K_STATS_Normal_InverseCumulative(J56, $F$5, $F$6)</f>
        <v>0.45067745092971273</v>
      </c>
      <c r="R56" s="90">
        <v>3.8857805861880479E-16</v>
      </c>
    </row>
    <row r="57" spans="1:18" ht="18" customHeight="1" x14ac:dyDescent="0.3">
      <c r="A57" s="124"/>
      <c r="B57" s="124"/>
      <c r="E57" s="78">
        <v>1.6317500000000005</v>
      </c>
      <c r="F57" s="88">
        <v>0.30271465597326042</v>
      </c>
      <c r="G57" s="157" cm="1">
        <f t="array" ref="G57">IFERROR(K_STATS_Lognormal_Density(E57,$F$5,$F$6),"")</f>
        <v>0.30271465597326047</v>
      </c>
      <c r="H57" s="67">
        <v>5.5511151231257827E-17</v>
      </c>
      <c r="I57" s="88">
        <v>0.83628562555170127</v>
      </c>
      <c r="J57" s="157" cm="1">
        <f t="array" ref="J57">IFERROR(K_STATS_Lognormal_Cumulative(E57,$F$5,$F$6),"")</f>
        <v>0.83628562555170127</v>
      </c>
      <c r="K57" s="79">
        <v>0</v>
      </c>
      <c r="L57" s="88">
        <v>0.16371437444829873</v>
      </c>
      <c r="M57" s="88" cm="1">
        <f t="array" ref="M57">IFERROR(K_STATS_Normal_Survival(E57,$F$5,$F$6),"")</f>
        <v>5.5022592116316766E-4</v>
      </c>
      <c r="N57" s="79">
        <v>0.16316414852713557</v>
      </c>
      <c r="O57" s="91">
        <v>0.83628562555170127</v>
      </c>
      <c r="P57" s="88">
        <v>0.48965305853318858</v>
      </c>
      <c r="Q57" s="88" cm="1">
        <f t="array" ref="Q57">K_STATS_Normal_InverseCumulative(J57, $F$5, $F$6)</f>
        <v>0.48965305853319008</v>
      </c>
      <c r="R57" s="90">
        <v>1.4988010832439613E-15</v>
      </c>
    </row>
    <row r="58" spans="1:18" ht="18" customHeight="1" x14ac:dyDescent="0.3">
      <c r="A58" s="124"/>
      <c r="B58" s="124"/>
      <c r="E58" s="78">
        <v>1.6941250000000005</v>
      </c>
      <c r="F58" s="88">
        <v>0.27015307735456401</v>
      </c>
      <c r="G58" s="157" cm="1">
        <f t="array" ref="G58">IFERROR(K_STATS_Lognormal_Density(E58,$F$5,$F$6),"")</f>
        <v>0.27015307735456412</v>
      </c>
      <c r="H58" s="67">
        <v>1.1102230246251565E-16</v>
      </c>
      <c r="I58" s="88">
        <v>0.85413470397405189</v>
      </c>
      <c r="J58" s="157" cm="1">
        <f t="array" ref="J58">IFERROR(K_STATS_Lognormal_Cumulative(E58,$F$5,$F$6),"")</f>
        <v>0.854134703974052</v>
      </c>
      <c r="K58" s="79">
        <v>1.1102230246251565E-16</v>
      </c>
      <c r="L58" s="88">
        <v>0.14586529602594811</v>
      </c>
      <c r="M58" s="88" cm="1">
        <f t="array" ref="M58">IFERROR(K_STATS_Normal_Survival(E58,$F$5,$F$6),"")</f>
        <v>3.5170059723354125E-4</v>
      </c>
      <c r="N58" s="79">
        <v>0.14551359542871456</v>
      </c>
      <c r="O58" s="91">
        <v>0.85413470397405189</v>
      </c>
      <c r="P58" s="88">
        <v>0.5271663833540432</v>
      </c>
      <c r="Q58" s="88" cm="1">
        <f t="array" ref="Q58">K_STATS_Normal_InverseCumulative(J58, $F$5, $F$6)</f>
        <v>0.52716638335404353</v>
      </c>
      <c r="R58" s="90">
        <v>3.3306690738754696E-16</v>
      </c>
    </row>
    <row r="59" spans="1:18" ht="18" customHeight="1" x14ac:dyDescent="0.3">
      <c r="A59" s="124"/>
      <c r="B59" s="124"/>
      <c r="E59" s="78">
        <v>1.7565000000000006</v>
      </c>
      <c r="F59" s="88">
        <v>0.24080192189460836</v>
      </c>
      <c r="G59" s="157" cm="1">
        <f t="array" ref="G59">IFERROR(K_STATS_Lognormal_Density(E59,$F$5,$F$6),"")</f>
        <v>0.24080192189460839</v>
      </c>
      <c r="H59" s="67">
        <v>2.7755575615628914E-17</v>
      </c>
      <c r="I59" s="88">
        <v>0.87005399048225784</v>
      </c>
      <c r="J59" s="157" cm="1">
        <f t="array" ref="J59">IFERROR(K_STATS_Lognormal_Cumulative(E59,$F$5,$F$6),"")</f>
        <v>0.87005399048225784</v>
      </c>
      <c r="K59" s="79">
        <v>0</v>
      </c>
      <c r="L59" s="88">
        <v>0.12994600951774216</v>
      </c>
      <c r="M59" s="88" cm="1">
        <f t="array" ref="M59">IFERROR(K_STATS_Normal_Survival(E59,$F$5,$F$6),"")</f>
        <v>2.2153873840810137E-4</v>
      </c>
      <c r="N59" s="79">
        <v>0.12972447077933405</v>
      </c>
      <c r="O59" s="91">
        <v>0.87005399048225784</v>
      </c>
      <c r="P59" s="88">
        <v>0.5633231927237452</v>
      </c>
      <c r="Q59" s="88" cm="1">
        <f t="array" ref="Q59">K_STATS_Normal_InverseCumulative(J59, $F$5, $F$6)</f>
        <v>0.56332319272374509</v>
      </c>
      <c r="R59" s="90">
        <v>1.1102230246251565E-16</v>
      </c>
    </row>
    <row r="60" spans="1:18" ht="18" customHeight="1" x14ac:dyDescent="0.3">
      <c r="A60" s="124"/>
      <c r="B60" s="124"/>
      <c r="E60" s="78">
        <v>1.8188750000000007</v>
      </c>
      <c r="F60" s="88">
        <v>0.21443695327211684</v>
      </c>
      <c r="G60" s="157" cm="1">
        <f t="array" ref="G60">IFERROR(K_STATS_Lognormal_Density(E60,$F$5,$F$6),"")</f>
        <v>0.21443695327211684</v>
      </c>
      <c r="H60" s="67">
        <v>0</v>
      </c>
      <c r="I60" s="88">
        <v>0.88423683955858046</v>
      </c>
      <c r="J60" s="157" cm="1">
        <f t="array" ref="J60">IFERROR(K_STATS_Lognormal_Cumulative(E60,$F$5,$F$6),"")</f>
        <v>0.88423683955858046</v>
      </c>
      <c r="K60" s="79">
        <v>0</v>
      </c>
      <c r="L60" s="88">
        <v>0.11576316044141954</v>
      </c>
      <c r="M60" s="88" cm="1">
        <f t="array" ref="M60">IFERROR(K_STATS_Normal_Survival(E60,$F$5,$F$6),"")</f>
        <v>1.3751509370998861E-4</v>
      </c>
      <c r="N60" s="79">
        <v>0.11562564534770955</v>
      </c>
      <c r="O60" s="91">
        <v>0.88423683955858046</v>
      </c>
      <c r="P60" s="88">
        <v>0.59821817809830613</v>
      </c>
      <c r="Q60" s="88" cm="1">
        <f t="array" ref="Q60">K_STATS_Normal_InverseCumulative(J60, $F$5, $F$6)</f>
        <v>0.59821817809830613</v>
      </c>
      <c r="R60" s="90">
        <v>0</v>
      </c>
    </row>
    <row r="61" spans="1:18" ht="18" customHeight="1" x14ac:dyDescent="0.3">
      <c r="A61" s="124"/>
      <c r="B61" s="124"/>
      <c r="E61" s="78">
        <v>1.8812500000000008</v>
      </c>
      <c r="F61" s="88">
        <v>0.1908218221579033</v>
      </c>
      <c r="G61" s="157" cm="1">
        <f t="array" ref="G61">IFERROR(K_STATS_Lognormal_Density(E61,$F$5,$F$6),"")</f>
        <v>0.19082182215790339</v>
      </c>
      <c r="H61" s="67">
        <v>8.3266726846886741E-17</v>
      </c>
      <c r="I61" s="88">
        <v>0.89686217477768437</v>
      </c>
      <c r="J61" s="157" cm="1">
        <f t="array" ref="J61">IFERROR(K_STATS_Lognormal_Cumulative(E61,$F$5,$F$6),"")</f>
        <v>0.89686217477768426</v>
      </c>
      <c r="K61" s="79">
        <v>1.1102230246251565E-16</v>
      </c>
      <c r="L61" s="88">
        <v>0.10313782522231563</v>
      </c>
      <c r="M61" s="88" cm="1">
        <f t="array" ref="M61">IFERROR(K_STATS_Normal_Survival(E61,$F$5,$F$6),"")</f>
        <v>8.4111654185523577E-5</v>
      </c>
      <c r="N61" s="79">
        <v>0.1030537135681301</v>
      </c>
      <c r="O61" s="91">
        <v>0.89686217477768437</v>
      </c>
      <c r="P61" s="88">
        <v>0.63193644951504968</v>
      </c>
      <c r="Q61" s="88" cm="1">
        <f t="array" ref="Q61">K_STATS_Normal_InverseCumulative(J61, $F$5, $F$6)</f>
        <v>0.63193644951504913</v>
      </c>
      <c r="R61" s="90">
        <v>5.5511151231257827E-16</v>
      </c>
    </row>
    <row r="62" spans="1:18" ht="18" customHeight="1" x14ac:dyDescent="0.3">
      <c r="A62" s="124"/>
      <c r="B62" s="124"/>
      <c r="E62" s="78">
        <v>1.9436250000000008</v>
      </c>
      <c r="F62" s="88">
        <v>0.16971881062267252</v>
      </c>
      <c r="G62" s="157" cm="1">
        <f t="array" ref="G62">IFERROR(K_STATS_Lognormal_Density(E62,$F$5,$F$6),"")</f>
        <v>0.16971881062267261</v>
      </c>
      <c r="H62" s="67">
        <v>8.3266726846886741E-17</v>
      </c>
      <c r="I62" s="88">
        <v>0.90809408868459496</v>
      </c>
      <c r="J62" s="157" cm="1">
        <f t="array" ref="J62">IFERROR(K_STATS_Lognormal_Cumulative(E62,$F$5,$F$6),"")</f>
        <v>0.90809408868459496</v>
      </c>
      <c r="K62" s="79">
        <v>0</v>
      </c>
      <c r="L62" s="88">
        <v>9.1905911315405042E-2</v>
      </c>
      <c r="M62" s="88" cm="1">
        <f t="array" ref="M62">IFERROR(K_STATS_Normal_Survival(E62,$F$5,$F$6),"")</f>
        <v>5.069316009353848E-5</v>
      </c>
      <c r="N62" s="79">
        <v>9.1855218155311502E-2</v>
      </c>
      <c r="O62" s="91">
        <v>0.90809408868459496</v>
      </c>
      <c r="P62" s="88">
        <v>0.66455478619584385</v>
      </c>
      <c r="Q62" s="88" cm="1">
        <f t="array" ref="Q62">K_STATS_Normal_InverseCumulative(J62, $F$5, $F$6)</f>
        <v>0.66455478619584363</v>
      </c>
      <c r="R62" s="90">
        <v>2.2204460492503131E-16</v>
      </c>
    </row>
    <row r="63" spans="1:18" ht="18" customHeight="1" x14ac:dyDescent="0.3">
      <c r="A63" s="124"/>
      <c r="B63" s="124"/>
      <c r="E63" s="78">
        <v>2.0060000000000007</v>
      </c>
      <c r="F63" s="88">
        <v>0.1508961645667965</v>
      </c>
      <c r="G63" s="157" cm="1">
        <f t="array" ref="G63">IFERROR(K_STATS_Lognormal_Density(E63,$F$5,$F$6),"")</f>
        <v>0.15089616456679644</v>
      </c>
      <c r="H63" s="67">
        <v>5.5511151231257827E-17</v>
      </c>
      <c r="I63" s="88">
        <v>0.91808200140001284</v>
      </c>
      <c r="J63" s="157" cm="1">
        <f t="array" ref="J63">IFERROR(K_STATS_Lognormal_Cumulative(E63,$F$5,$F$6),"")</f>
        <v>0.91808200140001284</v>
      </c>
      <c r="K63" s="79">
        <v>0</v>
      </c>
      <c r="L63" s="88">
        <v>8.1917998599987163E-2</v>
      </c>
      <c r="M63" s="88" cm="1">
        <f t="array" ref="M63">IFERROR(K_STATS_Normal_Survival(E63,$F$5,$F$6),"")</f>
        <v>3.0103250050118865E-5</v>
      </c>
      <c r="N63" s="79">
        <v>8.188789534993704E-2</v>
      </c>
      <c r="O63" s="91">
        <v>0.91808200140001284</v>
      </c>
      <c r="P63" s="88">
        <v>0.69614268953974423</v>
      </c>
      <c r="Q63" s="88" cm="1">
        <f t="array" ref="Q63">K_STATS_Normal_InverseCumulative(J63, $F$5, $F$6)</f>
        <v>0.69614268953974412</v>
      </c>
      <c r="R63" s="90">
        <v>1.1102230246251565E-16</v>
      </c>
    </row>
    <row r="64" spans="1:18" ht="18" customHeight="1" x14ac:dyDescent="0.3">
      <c r="A64" s="124"/>
      <c r="B64" s="124"/>
      <c r="E64" s="78">
        <v>2.0683750000000005</v>
      </c>
      <c r="F64" s="88">
        <v>0.13413287809995694</v>
      </c>
      <c r="G64" s="157" cm="1">
        <f t="array" ref="G64">IFERROR(K_STATS_Lognormal_Density(E64,$F$5,$F$6),"")</f>
        <v>0.13413287809995694</v>
      </c>
      <c r="H64" s="67">
        <v>0</v>
      </c>
      <c r="I64" s="88">
        <v>0.92696119315605341</v>
      </c>
      <c r="J64" s="157" cm="1">
        <f t="array" ref="J64">IFERROR(K_STATS_Lognormal_Cumulative(E64,$F$5,$F$6),"")</f>
        <v>0.92696119315605341</v>
      </c>
      <c r="K64" s="79">
        <v>0</v>
      </c>
      <c r="L64" s="88">
        <v>7.3038806843946591E-2</v>
      </c>
      <c r="M64" s="88" cm="1">
        <f t="array" ref="M64">IFERROR(K_STATS_Normal_Survival(E64,$F$5,$F$6),"")</f>
        <v>1.7612976697882392E-5</v>
      </c>
      <c r="N64" s="79">
        <v>7.3021193867248715E-2</v>
      </c>
      <c r="O64" s="91">
        <v>0.92696119315605341</v>
      </c>
      <c r="P64" s="88">
        <v>0.72676327482987158</v>
      </c>
      <c r="Q64" s="88" cm="1">
        <f t="array" ref="Q64">K_STATS_Normal_InverseCumulative(J64, $F$5, $F$6)</f>
        <v>0.72676327482987135</v>
      </c>
      <c r="R64" s="90">
        <v>2.2204460492503131E-16</v>
      </c>
    </row>
    <row r="65" spans="1:18" ht="18" customHeight="1" x14ac:dyDescent="0.3">
      <c r="A65" s="124"/>
      <c r="B65" s="124"/>
      <c r="E65" s="78">
        <v>2.1307500000000004</v>
      </c>
      <c r="F65" s="88">
        <v>0.11922160384463673</v>
      </c>
      <c r="G65" s="157" cm="1">
        <f t="array" ref="G65">IFERROR(K_STATS_Lognormal_Density(E65,$F$5,$F$6),"")</f>
        <v>0.1192216038446367</v>
      </c>
      <c r="H65" s="67">
        <v>2.7755575615628914E-17</v>
      </c>
      <c r="I65" s="88">
        <v>0.93485357374171518</v>
      </c>
      <c r="J65" s="157" cm="1">
        <f t="array" ref="J65">IFERROR(K_STATS_Lognormal_Cumulative(E65,$F$5,$F$6),"")</f>
        <v>0.93485357374171518</v>
      </c>
      <c r="K65" s="79">
        <v>0</v>
      </c>
      <c r="L65" s="88">
        <v>6.5146426258284817E-2</v>
      </c>
      <c r="M65" s="88" cm="1">
        <f t="array" ref="M65">IFERROR(K_STATS_Normal_Survival(E65,$F$5,$F$6),"")</f>
        <v>1.0152967708842694E-5</v>
      </c>
      <c r="N65" s="79">
        <v>6.5136273290575974E-2</v>
      </c>
      <c r="O65" s="91">
        <v>0.93485357374171518</v>
      </c>
      <c r="P65" s="88">
        <v>0.75647403042027006</v>
      </c>
      <c r="Q65" s="88" cm="1">
        <f t="array" ref="Q65">K_STATS_Normal_InverseCumulative(J65, $F$5, $F$6)</f>
        <v>0.75647403042027017</v>
      </c>
      <c r="R65" s="90">
        <v>1.1102230246251565E-16</v>
      </c>
    </row>
    <row r="66" spans="1:18" ht="18" customHeight="1" x14ac:dyDescent="0.3">
      <c r="A66" s="124"/>
      <c r="B66" s="124"/>
      <c r="E66" s="78">
        <v>2.1931250000000002</v>
      </c>
      <c r="F66" s="88">
        <v>0.10597020789530878</v>
      </c>
      <c r="G66" s="157" cm="1">
        <f t="array" ref="G66">IFERROR(K_STATS_Lognormal_Density(E66,$F$5,$F$6),"")</f>
        <v>0.10597020789530878</v>
      </c>
      <c r="H66" s="67">
        <v>0</v>
      </c>
      <c r="I66" s="88">
        <v>0.94186858886274838</v>
      </c>
      <c r="J66" s="157" cm="1">
        <f t="array" ref="J66">IFERROR(K_STATS_Lognormal_Cumulative(E66,$F$5,$F$6),"")</f>
        <v>0.94186858886274838</v>
      </c>
      <c r="K66" s="79">
        <v>0</v>
      </c>
      <c r="L66" s="88">
        <v>5.8131411137251621E-2</v>
      </c>
      <c r="M66" s="88" cm="1">
        <f t="array" ref="M66">IFERROR(K_STATS_Normal_Survival(E66,$F$5,$F$6),"")</f>
        <v>5.7660785106176894E-6</v>
      </c>
      <c r="N66" s="79">
        <v>5.8125645058741002E-2</v>
      </c>
      <c r="O66" s="91">
        <v>0.94186858886274838</v>
      </c>
      <c r="P66" s="88">
        <v>0.78532746735534253</v>
      </c>
      <c r="Q66" s="88" cm="1">
        <f t="array" ref="Q66">K_STATS_Normal_InverseCumulative(J66, $F$5, $F$6)</f>
        <v>0.78532746735534287</v>
      </c>
      <c r="R66" s="90">
        <v>3.3306690738754696E-16</v>
      </c>
    </row>
    <row r="67" spans="1:18" ht="18" customHeight="1" x14ac:dyDescent="0.3">
      <c r="A67" s="124"/>
      <c r="B67" s="124"/>
      <c r="E67" s="78">
        <v>2.2555000000000001</v>
      </c>
      <c r="F67" s="88">
        <v>9.4202363901289179E-2</v>
      </c>
      <c r="G67" s="157" cm="1">
        <f t="array" ref="G67">IFERROR(K_STATS_Lognormal_Density(E67,$F$5,$F$6),"")</f>
        <v>9.4202363901289193E-2</v>
      </c>
      <c r="H67" s="67">
        <v>1.3877787807814457E-17</v>
      </c>
      <c r="I67" s="88">
        <v>0.94810419175165461</v>
      </c>
      <c r="J67" s="157" cm="1">
        <f t="array" ref="J67">IFERROR(K_STATS_Lognormal_Cumulative(E67,$F$5,$F$6),"")</f>
        <v>0.94810419175165461</v>
      </c>
      <c r="K67" s="79">
        <v>0</v>
      </c>
      <c r="L67" s="88">
        <v>5.1895808248345388E-2</v>
      </c>
      <c r="M67" s="88" cm="1">
        <f t="array" ref="M67">IFERROR(K_STATS_Normal_Survival(E67,$F$5,$F$6),"")</f>
        <v>3.2261360415419081E-6</v>
      </c>
      <c r="N67" s="79">
        <v>5.1892582112303846E-2</v>
      </c>
      <c r="O67" s="91">
        <v>0.94810419175165461</v>
      </c>
      <c r="P67" s="88">
        <v>0.81337167786631348</v>
      </c>
      <c r="Q67" s="88" cm="1">
        <f t="array" ref="Q67">K_STATS_Normal_InverseCumulative(J67, $F$5, $F$6)</f>
        <v>0.81337167786631337</v>
      </c>
      <c r="R67" s="90">
        <v>1.1102230246251565E-16</v>
      </c>
    </row>
    <row r="68" spans="1:18" ht="18" customHeight="1" x14ac:dyDescent="0.3">
      <c r="A68" s="124"/>
      <c r="B68" s="124"/>
      <c r="E68" s="78">
        <v>2.3178749999999999</v>
      </c>
      <c r="F68" s="88">
        <v>8.3757482851033502E-2</v>
      </c>
      <c r="G68" s="157" cm="1">
        <f t="array" ref="G68">IFERROR(K_STATS_Lognormal_Density(E68,$F$5,$F$6),"")</f>
        <v>8.375748285103353E-2</v>
      </c>
      <c r="H68" s="67">
        <v>2.7755575615628914E-17</v>
      </c>
      <c r="I68" s="88">
        <v>0.95364782979069174</v>
      </c>
      <c r="J68" s="157" cm="1">
        <f t="array" ref="J68">IFERROR(K_STATS_Lognormal_Cumulative(E68,$F$5,$F$6),"")</f>
        <v>0.95364782979069174</v>
      </c>
      <c r="K68" s="79">
        <v>0</v>
      </c>
      <c r="L68" s="88">
        <v>4.6352170209308263E-2</v>
      </c>
      <c r="M68" s="88" cm="1">
        <f t="array" ref="M68">IFERROR(K_STATS_Normal_Survival(E68,$F$5,$F$6),"")</f>
        <v>1.7782279782174302E-6</v>
      </c>
      <c r="N68" s="79">
        <v>4.6350391981330043E-2</v>
      </c>
      <c r="O68" s="91">
        <v>0.95364782979069174</v>
      </c>
      <c r="P68" s="88">
        <v>0.84065081766540972</v>
      </c>
      <c r="Q68" s="88" cm="1">
        <f t="array" ref="Q68">K_STATS_Normal_InverseCumulative(J68, $F$5, $F$6)</f>
        <v>0.84065081766540983</v>
      </c>
      <c r="R68" s="90">
        <v>1.1102230246251565E-16</v>
      </c>
    </row>
    <row r="69" spans="1:18" ht="18" customHeight="1" x14ac:dyDescent="0.3">
      <c r="A69" s="124"/>
      <c r="B69" s="124"/>
      <c r="E69" s="78">
        <v>2.3802499999999998</v>
      </c>
      <c r="F69" s="88">
        <v>7.4490199008959215E-2</v>
      </c>
      <c r="G69" s="157" cm="1">
        <f t="array" ref="G69">IFERROR(K_STATS_Lognormal_Density(E69,$F$5,$F$6),"")</f>
        <v>7.4490199008959229E-2</v>
      </c>
      <c r="H69" s="67">
        <v>1.3877787807814457E-17</v>
      </c>
      <c r="I69" s="88">
        <v>0.95857741193388502</v>
      </c>
      <c r="J69" s="157" cm="1">
        <f t="array" ref="J69">IFERROR(K_STATS_Lognormal_Cumulative(E69,$F$5,$F$6),"")</f>
        <v>0.95857741193388502</v>
      </c>
      <c r="K69" s="79">
        <v>0</v>
      </c>
      <c r="L69" s="88">
        <v>4.1422588066114985E-2</v>
      </c>
      <c r="M69" s="88" cm="1">
        <f t="array" ref="M69">IFERROR(K_STATS_Normal_Survival(E69,$F$5,$F$6),"")</f>
        <v>9.6556967196911084E-7</v>
      </c>
      <c r="N69" s="79">
        <v>4.1421622496443017E-2</v>
      </c>
      <c r="O69" s="91">
        <v>0.95857741193388502</v>
      </c>
      <c r="P69" s="88">
        <v>0.86720552418366348</v>
      </c>
      <c r="Q69" s="88" cm="1">
        <f t="array" ref="Q69">K_STATS_Normal_InverseCumulative(J69, $F$5, $F$6)</f>
        <v>0.86720552418366348</v>
      </c>
      <c r="R69" s="90">
        <v>0</v>
      </c>
    </row>
    <row r="70" spans="1:18" ht="18" customHeight="1" x14ac:dyDescent="0.3">
      <c r="A70" s="124"/>
      <c r="B70" s="124"/>
      <c r="E70" s="78">
        <v>2.4426249999999996</v>
      </c>
      <c r="F70" s="88">
        <v>6.6269573894947448E-2</v>
      </c>
      <c r="G70" s="157" cm="1">
        <f t="array" ref="G70">IFERROR(K_STATS_Lognormal_Density(E70,$F$5,$F$6),"")</f>
        <v>6.6269573894947489E-2</v>
      </c>
      <c r="H70" s="67">
        <v>4.163336342344337E-17</v>
      </c>
      <c r="I70" s="88">
        <v>0.96296223455700214</v>
      </c>
      <c r="J70" s="157" cm="1">
        <f t="array" ref="J70">IFERROR(K_STATS_Lognormal_Cumulative(E70,$F$5,$F$6),"")</f>
        <v>0.96296223455700214</v>
      </c>
      <c r="K70" s="79">
        <v>0</v>
      </c>
      <c r="L70" s="88">
        <v>3.7037765442997861E-2</v>
      </c>
      <c r="M70" s="88" cm="1">
        <f t="array" ref="M70">IFERROR(K_STATS_Normal_Survival(E70,$F$5,$F$6),"")</f>
        <v>5.1648849926988486E-7</v>
      </c>
      <c r="N70" s="79">
        <v>3.7037248954498593E-2</v>
      </c>
      <c r="O70" s="91">
        <v>0.96296223455700214</v>
      </c>
      <c r="P70" s="88">
        <v>0.89307328069797021</v>
      </c>
      <c r="Q70" s="88" cm="1">
        <f t="array" ref="Q70">K_STATS_Normal_InverseCumulative(J70, $F$5, $F$6)</f>
        <v>0.89307328069797043</v>
      </c>
      <c r="R70" s="90">
        <v>2.2204460492503131E-16</v>
      </c>
    </row>
    <row r="71" spans="1:18" ht="18" customHeight="1" x14ac:dyDescent="0.3">
      <c r="A71" s="124"/>
      <c r="B71" s="124"/>
      <c r="E71" s="78">
        <v>2.5049999999999994</v>
      </c>
      <c r="F71" s="88">
        <v>5.8978135580777843E-2</v>
      </c>
      <c r="G71" s="157" cm="1">
        <f t="array" ref="G71">IFERROR(K_STATS_Lognormal_Density(E71,$F$5,$F$6),"")</f>
        <v>5.8978135580777837E-2</v>
      </c>
      <c r="H71" s="67">
        <v>6.9388939039072284E-18</v>
      </c>
      <c r="I71" s="88">
        <v>0.96686385200680802</v>
      </c>
      <c r="J71" s="157" cm="1">
        <f t="array" ref="J71">IFERROR(K_STATS_Lognormal_Cumulative(E71,$F$5,$F$6),"")</f>
        <v>0.96686385200680802</v>
      </c>
      <c r="K71" s="79">
        <v>0</v>
      </c>
      <c r="L71" s="88">
        <v>3.3136147993191978E-2</v>
      </c>
      <c r="M71" s="88" cm="1">
        <f t="array" ref="M71">IFERROR(K_STATS_Normal_Survival(E71,$F$5,$F$6),"")</f>
        <v>2.7215017729846404E-7</v>
      </c>
      <c r="N71" s="79">
        <v>3.3135875843014681E-2</v>
      </c>
      <c r="O71" s="91">
        <v>0.96686385200680802</v>
      </c>
      <c r="P71" s="88">
        <v>0.9182887345368278</v>
      </c>
      <c r="Q71" s="88" cm="1">
        <f t="array" ref="Q71">K_STATS_Normal_InverseCumulative(J71, $F$5, $F$6)</f>
        <v>0.9182887345368278</v>
      </c>
      <c r="R71" s="90">
        <v>0</v>
      </c>
    </row>
    <row r="72" spans="1:18" ht="18" customHeight="1" x14ac:dyDescent="0.3">
      <c r="A72" s="124"/>
      <c r="B72" s="124"/>
      <c r="E72" s="78">
        <v>2.5673749999999993</v>
      </c>
      <c r="F72" s="88">
        <v>5.2510836890410036E-2</v>
      </c>
      <c r="G72" s="157" cm="1">
        <f t="array" ref="G72">IFERROR(K_STATS_Lognormal_Density(E72,$F$5,$F$6),"")</f>
        <v>5.2510836890410036E-2</v>
      </c>
      <c r="H72" s="67">
        <v>0</v>
      </c>
      <c r="I72" s="88">
        <v>0.97033688433534782</v>
      </c>
      <c r="J72" s="157" cm="1">
        <f t="array" ref="J72">IFERROR(K_STATS_Lognormal_Cumulative(E72,$F$5,$F$6),"")</f>
        <v>0.97033688433534782</v>
      </c>
      <c r="K72" s="79">
        <v>0</v>
      </c>
      <c r="L72" s="88">
        <v>2.9663115664652184E-2</v>
      </c>
      <c r="M72" s="88" cm="1">
        <f t="array" ref="M72">IFERROR(K_STATS_Normal_Survival(E72,$F$5,$F$6),"")</f>
        <v>1.412596590234114E-7</v>
      </c>
      <c r="N72" s="79">
        <v>2.9662974404993162E-2</v>
      </c>
      <c r="O72" s="91">
        <v>0.97033688433534782</v>
      </c>
      <c r="P72" s="88">
        <v>0.94288397614367525</v>
      </c>
      <c r="Q72" s="88" cm="1">
        <f t="array" ref="Q72">K_STATS_Normal_InverseCumulative(J72, $F$5, $F$6)</f>
        <v>0.94288397614367569</v>
      </c>
      <c r="R72" s="90">
        <v>4.4408920985006262E-16</v>
      </c>
    </row>
    <row r="73" spans="1:18" ht="18" customHeight="1" x14ac:dyDescent="0.3">
      <c r="A73" s="124"/>
      <c r="B73" s="124"/>
      <c r="E73" s="78">
        <v>2.6297499999999991</v>
      </c>
      <c r="F73" s="88">
        <v>4.6773990878869923E-2</v>
      </c>
      <c r="G73" s="157" cm="1">
        <f t="array" ref="G73">IFERROR(K_STATS_Lognormal_Density(E73,$F$5,$F$6),"")</f>
        <v>4.6773990878869916E-2</v>
      </c>
      <c r="H73" s="67">
        <v>6.9388939039072284E-18</v>
      </c>
      <c r="I73" s="88">
        <v>0.97342975909391427</v>
      </c>
      <c r="J73" s="157" cm="1">
        <f t="array" ref="J73">IFERROR(K_STATS_Lognormal_Cumulative(E73,$F$5,$F$6),"")</f>
        <v>0.97342975909391427</v>
      </c>
      <c r="K73" s="79">
        <v>0</v>
      </c>
      <c r="L73" s="88">
        <v>2.6570240906085729E-2</v>
      </c>
      <c r="M73" s="88" cm="1">
        <f t="array" ref="M73">IFERROR(K_STATS_Normal_Survival(E73,$F$5,$F$6),"")</f>
        <v>7.2223814669107813E-8</v>
      </c>
      <c r="N73" s="79">
        <v>2.6570168682271061E-2</v>
      </c>
      <c r="O73" s="91">
        <v>0.97342975909391427</v>
      </c>
      <c r="P73" s="88">
        <v>0.96688878463724559</v>
      </c>
      <c r="Q73" s="88" cm="1">
        <f t="array" ref="Q73">K_STATS_Normal_InverseCumulative(J73, $F$5, $F$6)</f>
        <v>0.96688878463724548</v>
      </c>
      <c r="R73" s="90">
        <v>1.1102230246251565E-16</v>
      </c>
    </row>
    <row r="74" spans="1:18" ht="18" customHeight="1" x14ac:dyDescent="0.3">
      <c r="A74" s="124"/>
      <c r="B74" s="124"/>
      <c r="E74" s="78">
        <v>2.692124999999999</v>
      </c>
      <c r="F74" s="88">
        <v>4.1684223266819753E-2</v>
      </c>
      <c r="G74" s="157" cm="1">
        <f t="array" ref="G74">IFERROR(K_STATS_Lognormal_Density(E74,$F$5,$F$6),"")</f>
        <v>4.168422326681976E-2</v>
      </c>
      <c r="H74" s="67">
        <v>6.9388939039072284E-18</v>
      </c>
      <c r="I74" s="88">
        <v>0.97618538708985969</v>
      </c>
      <c r="J74" s="157" cm="1">
        <f t="array" ref="J74">IFERROR(K_STATS_Lognormal_Cumulative(E74,$F$5,$F$6),"")</f>
        <v>0.97618538708985969</v>
      </c>
      <c r="K74" s="79">
        <v>0</v>
      </c>
      <c r="L74" s="88">
        <v>2.3814612910140309E-2</v>
      </c>
      <c r="M74" s="88" cm="1">
        <f t="array" ref="M74">IFERROR(K_STATS_Normal_Survival(E74,$F$5,$F$6),"")</f>
        <v>3.637366779387416E-8</v>
      </c>
      <c r="N74" s="79">
        <v>2.3814576536472516E-2</v>
      </c>
      <c r="O74" s="91">
        <v>0.97618538708985969</v>
      </c>
      <c r="P74" s="88">
        <v>0.99033084458261922</v>
      </c>
      <c r="Q74" s="88" cm="1">
        <f t="array" ref="Q74">K_STATS_Normal_InverseCumulative(J74, $F$5, $F$6)</f>
        <v>0.99033084458261922</v>
      </c>
      <c r="R74" s="90">
        <v>0</v>
      </c>
    </row>
    <row r="75" spans="1:18" ht="18" customHeight="1" x14ac:dyDescent="0.3">
      <c r="A75" s="124"/>
      <c r="B75" s="124"/>
      <c r="E75" s="78">
        <v>2.7544999999999988</v>
      </c>
      <c r="F75" s="88">
        <v>3.7167467778507102E-2</v>
      </c>
      <c r="G75" s="157" cm="1">
        <f t="array" ref="G75">IFERROR(K_STATS_Lognormal_Density(E75,$F$5,$F$6),"")</f>
        <v>3.7167467778507102E-2</v>
      </c>
      <c r="H75" s="67">
        <v>0</v>
      </c>
      <c r="I75" s="88">
        <v>0.97864177403368646</v>
      </c>
      <c r="J75" s="157" cm="1">
        <f t="array" ref="J75">IFERROR(K_STATS_Lognormal_Cumulative(E75,$F$5,$F$6),"")</f>
        <v>0.97864177403368635</v>
      </c>
      <c r="K75" s="79">
        <v>1.1102230246251565E-16</v>
      </c>
      <c r="L75" s="88">
        <v>2.1358225966313538E-2</v>
      </c>
      <c r="M75" s="88" cm="1">
        <f t="array" ref="M75">IFERROR(K_STATS_Normal_Survival(E75,$F$5,$F$6),"")</f>
        <v>1.8043895335955722E-8</v>
      </c>
      <c r="N75" s="79">
        <v>2.1358207922418201E-2</v>
      </c>
      <c r="O75" s="91">
        <v>0.97864177403368646</v>
      </c>
      <c r="P75" s="88">
        <v>1.0132359379306342</v>
      </c>
      <c r="Q75" s="88" cm="1">
        <f t="array" ref="Q75">K_STATS_Normal_InverseCumulative(J75, $F$5, $F$6)</f>
        <v>1.0132359379306333</v>
      </c>
      <c r="R75" s="90">
        <v>8.8817841970012523E-16</v>
      </c>
    </row>
    <row r="76" spans="1:18" ht="18" customHeight="1" x14ac:dyDescent="0.3">
      <c r="A76" s="124"/>
      <c r="B76" s="124"/>
      <c r="E76" s="78">
        <v>2.8168749999999987</v>
      </c>
      <c r="F76" s="88">
        <v>3.3158020363193347E-2</v>
      </c>
      <c r="G76" s="157" cm="1">
        <f t="array" ref="G76">IFERROR(K_STATS_Lognormal_Density(E76,$F$5,$F$6),"")</f>
        <v>3.3158020363193347E-2</v>
      </c>
      <c r="H76" s="67">
        <v>0</v>
      </c>
      <c r="I76" s="88">
        <v>0.98083257129457857</v>
      </c>
      <c r="J76" s="157" cm="1">
        <f t="array" ref="J76">IFERROR(K_STATS_Lognormal_Cumulative(E76,$F$5,$F$6),"")</f>
        <v>0.98083257129457857</v>
      </c>
      <c r="K76" s="79">
        <v>0</v>
      </c>
      <c r="L76" s="88">
        <v>1.916742870542143E-2</v>
      </c>
      <c r="M76" s="88" cm="1">
        <f t="array" ref="M76">IFERROR(K_STATS_Normal_Survival(E76,$F$5,$F$6),"")</f>
        <v>8.8166294408809845E-9</v>
      </c>
      <c r="N76" s="79">
        <v>1.9167419888791989E-2</v>
      </c>
      <c r="O76" s="91">
        <v>0.98083257129457857</v>
      </c>
      <c r="P76" s="88">
        <v>1.0356281144627746</v>
      </c>
      <c r="Q76" s="88" cm="1">
        <f t="array" ref="Q76">K_STATS_Normal_InverseCumulative(J76, $F$5, $F$6)</f>
        <v>1.035628114462775</v>
      </c>
      <c r="R76" s="90">
        <v>4.4408920985006262E-16</v>
      </c>
    </row>
    <row r="77" spans="1:18" ht="18" customHeight="1" x14ac:dyDescent="0.3">
      <c r="A77" s="124"/>
      <c r="B77" s="124"/>
      <c r="E77" s="78">
        <v>2.8792499999999985</v>
      </c>
      <c r="F77" s="88">
        <v>2.9597661140999598E-2</v>
      </c>
      <c r="G77" s="157" cm="1">
        <f t="array" ref="G77">IFERROR(K_STATS_Lognormal_Density(E77,$F$5,$F$6),"")</f>
        <v>2.9597661140999591E-2</v>
      </c>
      <c r="H77" s="67">
        <v>6.9388939039072284E-18</v>
      </c>
      <c r="I77" s="88">
        <v>0.98278756974398429</v>
      </c>
      <c r="J77" s="157" cm="1">
        <f t="array" ref="J77">IFERROR(K_STATS_Lognormal_Cumulative(E77,$F$5,$F$6),"")</f>
        <v>0.98278756974398429</v>
      </c>
      <c r="K77" s="79">
        <v>0</v>
      </c>
      <c r="L77" s="88">
        <v>1.7212430256015709E-2</v>
      </c>
      <c r="M77" s="88" cm="1">
        <f t="array" ref="M77">IFERROR(K_STATS_Normal_Survival(E77,$F$5,$F$6),"")</f>
        <v>4.243233356723005E-9</v>
      </c>
      <c r="N77" s="79">
        <v>1.7212426012782351E-2</v>
      </c>
      <c r="O77" s="91">
        <v>0.98278756974398429</v>
      </c>
      <c r="P77" s="88">
        <v>1.0575298435668785</v>
      </c>
      <c r="Q77" s="88" cm="1">
        <f t="array" ref="Q77">K_STATS_Normal_InverseCumulative(J77, $F$5, $F$6)</f>
        <v>1.057529843566879</v>
      </c>
      <c r="R77" s="90">
        <v>4.4408920985006262E-16</v>
      </c>
    </row>
    <row r="78" spans="1:18" ht="18" customHeight="1" x14ac:dyDescent="0.3">
      <c r="A78" s="124"/>
      <c r="B78" s="124"/>
      <c r="E78" s="78">
        <v>2.9416249999999984</v>
      </c>
      <c r="F78" s="88">
        <v>2.6434847886584206E-2</v>
      </c>
      <c r="G78" s="157" cm="1">
        <f t="array" ref="G78">IFERROR(K_STATS_Lognormal_Density(E78,$F$5,$F$6),"")</f>
        <v>2.6434847886584192E-2</v>
      </c>
      <c r="H78" s="67">
        <v>1.3877787807814457E-17</v>
      </c>
      <c r="I78" s="88">
        <v>0.98453314105210488</v>
      </c>
      <c r="J78" s="157" cm="1">
        <f t="array" ref="J78">IFERROR(K_STATS_Lognormal_Cumulative(E78,$F$5,$F$6),"")</f>
        <v>0.98453314105210488</v>
      </c>
      <c r="K78" s="79">
        <v>0</v>
      </c>
      <c r="L78" s="88">
        <v>1.5466858947895123E-2</v>
      </c>
      <c r="M78" s="88" cm="1">
        <f t="array" ref="M78">IFERROR(K_STATS_Normal_Survival(E78,$F$5,$F$6),"")</f>
        <v>2.011437820087213E-9</v>
      </c>
      <c r="N78" s="79">
        <v>1.5466856936457303E-2</v>
      </c>
      <c r="O78" s="91">
        <v>0.98453314105210488</v>
      </c>
      <c r="P78" s="88">
        <v>1.0789621497449857</v>
      </c>
      <c r="Q78" s="88" cm="1">
        <f t="array" ref="Q78">K_STATS_Normal_InverseCumulative(J78, $F$5, $F$6)</f>
        <v>1.0789621497449868</v>
      </c>
      <c r="R78" s="90">
        <v>1.1102230246251565E-15</v>
      </c>
    </row>
    <row r="79" spans="1:18" ht="18" customHeight="1" x14ac:dyDescent="0.3">
      <c r="A79" s="124"/>
      <c r="B79" s="124"/>
      <c r="E79" s="78">
        <v>3.0039999999999982</v>
      </c>
      <c r="F79" s="88">
        <v>2.3623981401231623E-2</v>
      </c>
      <c r="G79" s="157" cm="1">
        <f t="array" ref="G79">IFERROR(K_STATS_Lognormal_Density(E79,$F$5,$F$6),"")</f>
        <v>2.362398140123163E-2</v>
      </c>
      <c r="H79" s="67">
        <v>6.9388939039072284E-18</v>
      </c>
      <c r="I79" s="88">
        <v>0.9860926309250666</v>
      </c>
      <c r="J79" s="157" cm="1">
        <f t="array" ref="J79">IFERROR(K_STATS_Lognormal_Cumulative(E79,$F$5,$F$6),"")</f>
        <v>0.9860926309250666</v>
      </c>
      <c r="K79" s="79">
        <v>0</v>
      </c>
      <c r="L79" s="88">
        <v>1.3907369074933396E-2</v>
      </c>
      <c r="M79" s="88" cm="1">
        <f t="array" ref="M79">IFERROR(K_STATS_Normal_Survival(E79,$F$5,$F$6),"")</f>
        <v>9.3912920915172674E-10</v>
      </c>
      <c r="N79" s="79">
        <v>1.3907368135804187E-2</v>
      </c>
      <c r="O79" s="91">
        <v>0.9860926309250666</v>
      </c>
      <c r="P79" s="88">
        <v>1.0999447339018884</v>
      </c>
      <c r="Q79" s="88" cm="1">
        <f t="array" ref="Q79">K_STATS_Normal_InverseCumulative(J79, $F$5, $F$6)</f>
        <v>1.0999447339018891</v>
      </c>
      <c r="R79" s="90">
        <v>6.6613381477509392E-16</v>
      </c>
    </row>
    <row r="80" spans="1:18" ht="18" customHeight="1" x14ac:dyDescent="0.3">
      <c r="A80" s="124"/>
      <c r="B80" s="124"/>
      <c r="E80" s="78">
        <v>3.0663749999999981</v>
      </c>
      <c r="F80" s="88">
        <v>2.1124740810892679E-2</v>
      </c>
      <c r="G80" s="157" cm="1">
        <f t="array" ref="G80">IFERROR(K_STATS_Lognormal_Density(E80,$F$5,$F$6),"")</f>
        <v>2.1124740810892675E-2</v>
      </c>
      <c r="H80" s="67">
        <v>3.4694469519536142E-18</v>
      </c>
      <c r="I80" s="88">
        <v>0.98748670871520128</v>
      </c>
      <c r="J80" s="157" cm="1">
        <f t="array" ref="J80">IFERROR(K_STATS_Lognormal_Cumulative(E80,$F$5,$F$6),"")</f>
        <v>0.98748670871520128</v>
      </c>
      <c r="K80" s="79">
        <v>0</v>
      </c>
      <c r="L80" s="88">
        <v>1.2513291284798722E-2</v>
      </c>
      <c r="M80" s="88" cm="1">
        <f t="array" ref="M80">IFERROR(K_STATS_Normal_Survival(E80,$F$5,$F$6),"")</f>
        <v>4.3186412238949871E-10</v>
      </c>
      <c r="N80" s="79">
        <v>1.25132908529346E-2</v>
      </c>
      <c r="O80" s="91">
        <v>0.98748670871520128</v>
      </c>
      <c r="P80" s="88">
        <v>1.1204960821681127</v>
      </c>
      <c r="Q80" s="88" cm="1">
        <f t="array" ref="Q80">K_STATS_Normal_InverseCumulative(J80, $F$5, $F$6)</f>
        <v>1.1204960821681123</v>
      </c>
      <c r="R80" s="90">
        <v>4.4408920985006262E-16</v>
      </c>
    </row>
    <row r="81" spans="1:18" ht="18" customHeight="1" x14ac:dyDescent="0.3">
      <c r="A81" s="124"/>
      <c r="B81" s="124"/>
      <c r="E81" s="78">
        <v>3.1287499999999979</v>
      </c>
      <c r="F81" s="88">
        <v>1.8901485351506066E-2</v>
      </c>
      <c r="G81" s="157" cm="1">
        <f t="array" ref="G81">IFERROR(K_STATS_Lognormal_Density(E81,$F$5,$F$6),"")</f>
        <v>1.8901485351506066E-2</v>
      </c>
      <c r="H81" s="67">
        <v>0</v>
      </c>
      <c r="I81" s="88">
        <v>0.9887336776647413</v>
      </c>
      <c r="J81" s="157" cm="1">
        <f t="array" ref="J81">IFERROR(K_STATS_Lognormal_Cumulative(E81,$F$5,$F$6),"")</f>
        <v>0.9887336776647413</v>
      </c>
      <c r="K81" s="79">
        <v>0</v>
      </c>
      <c r="L81" s="88">
        <v>1.1266322335258705E-2</v>
      </c>
      <c r="M81" s="88" cm="1">
        <f t="array" ref="M81">IFERROR(K_STATS_Normal_Survival(E81,$F$5,$F$6),"")</f>
        <v>1.9559882802292161E-10</v>
      </c>
      <c r="N81" s="79">
        <v>1.1266322139659876E-2</v>
      </c>
      <c r="O81" s="91">
        <v>0.9887336776647413</v>
      </c>
      <c r="P81" s="88">
        <v>1.1406335637638461</v>
      </c>
      <c r="Q81" s="88" cm="1">
        <f t="array" ref="Q81">K_STATS_Normal_InverseCumulative(J81, $F$5, $F$6)</f>
        <v>1.1406335637638465</v>
      </c>
      <c r="R81" s="90">
        <v>4.4408920985006262E-16</v>
      </c>
    </row>
    <row r="82" spans="1:18" ht="18" customHeight="1" x14ac:dyDescent="0.3">
      <c r="A82" s="124"/>
      <c r="B82" s="124"/>
      <c r="E82" s="78">
        <v>3.1911249999999978</v>
      </c>
      <c r="F82" s="88">
        <v>1.6922718328805528E-2</v>
      </c>
      <c r="G82" s="157" cm="1">
        <f t="array" ref="G82">IFERROR(K_STATS_Lognormal_Density(E82,$F$5,$F$6),"")</f>
        <v>1.6922718328805521E-2</v>
      </c>
      <c r="H82" s="67">
        <v>6.9388939039072284E-18</v>
      </c>
      <c r="I82" s="88">
        <v>0.98984974979885587</v>
      </c>
      <c r="J82" s="157" cm="1">
        <f t="array" ref="J82">IFERROR(K_STATS_Lognormal_Cumulative(E82,$F$5,$F$6),"")</f>
        <v>0.98984974979885587</v>
      </c>
      <c r="K82" s="79">
        <v>0</v>
      </c>
      <c r="L82" s="88">
        <v>1.0150250201144129E-2</v>
      </c>
      <c r="M82" s="88" cm="1">
        <f t="array" ref="M82">IFERROR(K_STATS_Normal_Survival(E82,$F$5,$F$6),"")</f>
        <v>8.7252384219512566E-11</v>
      </c>
      <c r="N82" s="79">
        <v>1.0150250113891745E-2</v>
      </c>
      <c r="O82" s="91">
        <v>0.98984974979885587</v>
      </c>
      <c r="P82" s="88">
        <v>1.1603735192020197</v>
      </c>
      <c r="Q82" s="88" cm="1">
        <f t="array" ref="Q82">K_STATS_Normal_InverseCumulative(J82, $F$5, $F$6)</f>
        <v>1.160373519202019</v>
      </c>
      <c r="R82" s="90">
        <v>6.6613381477509392E-16</v>
      </c>
    </row>
    <row r="83" spans="1:18" ht="18" customHeight="1" x14ac:dyDescent="0.3">
      <c r="A83" s="124"/>
      <c r="B83" s="124"/>
      <c r="E83" s="78">
        <v>3.2534999999999976</v>
      </c>
      <c r="F83" s="88">
        <v>1.5160608492711549E-2</v>
      </c>
      <c r="G83" s="157" cm="1">
        <f t="array" ref="G83">IFERROR(K_STATS_Lognormal_Density(E83,$F$5,$F$6),"")</f>
        <v>1.5160608492711539E-2</v>
      </c>
      <c r="H83" s="67">
        <v>1.0408340855860843E-17</v>
      </c>
      <c r="I83" s="88">
        <v>0.99084928919916226</v>
      </c>
      <c r="J83" s="157" cm="1">
        <f t="array" ref="J83">IFERROR(K_STATS_Lognormal_Cumulative(E83,$F$5,$F$6),"")</f>
        <v>0.99084928919916226</v>
      </c>
      <c r="K83" s="79">
        <v>0</v>
      </c>
      <c r="L83" s="88">
        <v>9.1507108008377358E-3</v>
      </c>
      <c r="M83" s="88" cm="1">
        <f t="array" ref="M83">IFERROR(K_STATS_Normal_Survival(E83,$F$5,$F$6),"")</f>
        <v>3.8333206188516356E-11</v>
      </c>
      <c r="N83" s="79">
        <v>9.1507107625045294E-3</v>
      </c>
      <c r="O83" s="91">
        <v>0.99084928919916226</v>
      </c>
      <c r="P83" s="88">
        <v>1.1797313399528997</v>
      </c>
      <c r="Q83" s="88" cm="1">
        <f t="array" ref="Q83">K_STATS_Normal_InverseCumulative(J83, $F$5, $F$6)</f>
        <v>1.1797313399528992</v>
      </c>
      <c r="R83" s="90">
        <v>4.4408920985006262E-16</v>
      </c>
    </row>
    <row r="84" spans="1:18" ht="18" customHeight="1" x14ac:dyDescent="0.3">
      <c r="A84" s="124"/>
      <c r="B84" s="124"/>
      <c r="E84" s="78">
        <v>3.3158749999999975</v>
      </c>
      <c r="F84" s="88">
        <v>1.3590563916605942E-2</v>
      </c>
      <c r="G84" s="157" cm="1">
        <f t="array" ref="G84">IFERROR(K_STATS_Lognormal_Density(E84,$F$5,$F$6),"")</f>
        <v>1.3590563916605937E-2</v>
      </c>
      <c r="H84" s="67">
        <v>5.2041704279304213E-18</v>
      </c>
      <c r="I84" s="88">
        <v>0.99174502708599976</v>
      </c>
      <c r="J84" s="157" cm="1">
        <f t="array" ref="J84">IFERROR(K_STATS_Lognormal_Cumulative(E84,$F$5,$F$6),"")</f>
        <v>0.99174502708599976</v>
      </c>
      <c r="K84" s="79">
        <v>0</v>
      </c>
      <c r="L84" s="88">
        <v>8.2549729140002359E-3</v>
      </c>
      <c r="M84" s="88" cm="1">
        <f t="array" ref="M84">IFERROR(K_STATS_Normal_Survival(E84,$F$5,$F$6),"")</f>
        <v>1.6586504805110771E-11</v>
      </c>
      <c r="N84" s="79">
        <v>8.2549728974137312E-3</v>
      </c>
      <c r="O84" s="91">
        <v>0.99174502708599976</v>
      </c>
      <c r="P84" s="88">
        <v>1.1987215405432343</v>
      </c>
      <c r="Q84" s="88" cm="1">
        <f t="array" ref="Q84">K_STATS_Normal_InverseCumulative(J84, $F$5, $F$6)</f>
        <v>1.1987215405432345</v>
      </c>
      <c r="R84" s="90">
        <v>2.2204460492503131E-16</v>
      </c>
    </row>
    <row r="85" spans="1:18" ht="18" customHeight="1" x14ac:dyDescent="0.3">
      <c r="A85" s="124"/>
      <c r="B85" s="124"/>
      <c r="E85" s="78">
        <v>3.3782499999999973</v>
      </c>
      <c r="F85" s="88">
        <v>1.2190853523841033E-2</v>
      </c>
      <c r="G85" s="157" cm="1">
        <f t="array" ref="G85">IFERROR(K_STATS_Lognormal_Density(E85,$F$5,$F$6),"")</f>
        <v>1.2190853523841022E-2</v>
      </c>
      <c r="H85" s="67">
        <v>1.0408340855860843E-17</v>
      </c>
      <c r="I85" s="88">
        <v>0.99254825183229078</v>
      </c>
      <c r="J85" s="157" cm="1">
        <f t="array" ref="J85">IFERROR(K_STATS_Lognormal_Cumulative(E85,$F$5,$F$6),"")</f>
        <v>0.99254825183229078</v>
      </c>
      <c r="K85" s="79">
        <v>0</v>
      </c>
      <c r="L85" s="88">
        <v>7.4517481677092157E-3</v>
      </c>
      <c r="M85" s="88" cm="1">
        <f t="array" ref="M85">IFERROR(K_STATS_Normal_Survival(E85,$F$5,$F$6),"")</f>
        <v>7.0682490473841901E-12</v>
      </c>
      <c r="N85" s="79">
        <v>7.4517481606409669E-3</v>
      </c>
      <c r="O85" s="91">
        <v>0.99254825183229078</v>
      </c>
      <c r="P85" s="88">
        <v>1.2173578239360578</v>
      </c>
      <c r="Q85" s="88" cm="1">
        <f t="array" ref="Q85">K_STATS_Normal_InverseCumulative(J85, $F$5, $F$6)</f>
        <v>1.2173578239360587</v>
      </c>
      <c r="R85" s="90">
        <v>8.8817841970012523E-16</v>
      </c>
    </row>
    <row r="86" spans="1:18" ht="18" customHeight="1" x14ac:dyDescent="0.3">
      <c r="A86" s="124"/>
      <c r="B86" s="124"/>
      <c r="E86" s="78">
        <v>3.4406249999999972</v>
      </c>
      <c r="F86" s="88">
        <v>1.0942271588098858E-2</v>
      </c>
      <c r="G86" s="157" cm="1">
        <f t="array" ref="G86">IFERROR(K_STATS_Lognormal_Density(E86,$F$5,$F$6),"")</f>
        <v>1.0942271588098863E-2</v>
      </c>
      <c r="H86" s="67">
        <v>5.2041704279304213E-18</v>
      </c>
      <c r="I86" s="88">
        <v>0.99326897673402414</v>
      </c>
      <c r="J86" s="157" cm="1">
        <f t="array" ref="J86">IFERROR(K_STATS_Lognormal_Cumulative(E86,$F$5,$F$6),"")</f>
        <v>0.99326897673402414</v>
      </c>
      <c r="K86" s="79">
        <v>0</v>
      </c>
      <c r="L86" s="88">
        <v>6.7310232659758551E-3</v>
      </c>
      <c r="M86" s="88" cm="1">
        <f t="array" ref="M86">IFERROR(K_STATS_Normal_Survival(E86,$F$5,$F$6),"")</f>
        <v>2.9664811832275063E-12</v>
      </c>
      <c r="N86" s="79">
        <v>6.7310232630093739E-3</v>
      </c>
      <c r="O86" s="91">
        <v>0.99326897673402414</v>
      </c>
      <c r="P86" s="88">
        <v>1.2356531409289082</v>
      </c>
      <c r="Q86" s="88" cm="1">
        <f t="array" ref="Q86">K_STATS_Normal_InverseCumulative(J86, $F$5, $F$6)</f>
        <v>1.2356531409289084</v>
      </c>
      <c r="R86" s="90">
        <v>2.2204460492503131E-16</v>
      </c>
    </row>
    <row r="87" spans="1:18" ht="18" customHeight="1" x14ac:dyDescent="0.3">
      <c r="A87" s="124"/>
      <c r="B87" s="124"/>
      <c r="E87" s="78">
        <v>3.502999999999997</v>
      </c>
      <c r="F87" s="88">
        <v>9.8278408003676879E-3</v>
      </c>
      <c r="G87" s="157" cm="1">
        <f t="array" ref="G87">IFERROR(K_STATS_Lognormal_Density(E87,$F$5,$F$6),"")</f>
        <v>9.8278408003676758E-3</v>
      </c>
      <c r="H87" s="67">
        <v>1.214306433183765E-17</v>
      </c>
      <c r="I87" s="88">
        <v>0.99391608807887133</v>
      </c>
      <c r="J87" s="157" cm="1">
        <f t="array" ref="J87">IFERROR(K_STATS_Lognormal_Cumulative(E87,$F$5,$F$6),"")</f>
        <v>0.99391608807887133</v>
      </c>
      <c r="K87" s="79">
        <v>0</v>
      </c>
      <c r="L87" s="88">
        <v>6.0839119211286707E-3</v>
      </c>
      <c r="M87" s="88" cm="1">
        <f t="array" ref="M87">IFERROR(K_STATS_Normal_Survival(E87,$F$5,$F$6),"")</f>
        <v>1.226139572256434E-12</v>
      </c>
      <c r="N87" s="79">
        <v>6.0839119199025309E-3</v>
      </c>
      <c r="O87" s="91">
        <v>0.99391608807887133</v>
      </c>
      <c r="P87" s="88">
        <v>1.2536197442153483</v>
      </c>
      <c r="Q87" s="88" cm="1">
        <f t="array" ref="Q87">K_STATS_Normal_InverseCumulative(J87, $F$5, $F$6)</f>
        <v>1.2536197442153485</v>
      </c>
      <c r="R87" s="90">
        <v>2.2204460492503131E-16</v>
      </c>
    </row>
    <row r="88" spans="1:18" ht="18" customHeight="1" x14ac:dyDescent="0.3">
      <c r="A88" s="124"/>
      <c r="B88" s="124"/>
      <c r="E88" s="78">
        <v>3.5653749999999969</v>
      </c>
      <c r="F88" s="88">
        <v>8.8325498074322065E-3</v>
      </c>
      <c r="G88" s="157" cm="1">
        <f t="array" ref="G88">IFERROR(K_STATS_Lognormal_Density(E88,$F$5,$F$6),"")</f>
        <v>8.8325498074322117E-3</v>
      </c>
      <c r="H88" s="67">
        <v>5.2041704279304213E-18</v>
      </c>
      <c r="I88" s="88">
        <v>0.99449747578911751</v>
      </c>
      <c r="J88" s="157" cm="1">
        <f t="array" ref="J88">IFERROR(K_STATS_Lognormal_Cumulative(E88,$F$5,$F$6),"")</f>
        <v>0.99449747578911762</v>
      </c>
      <c r="K88" s="79">
        <v>1.1102230246251565E-16</v>
      </c>
      <c r="L88" s="88">
        <v>5.5025242108824868E-3</v>
      </c>
      <c r="M88" s="88" cm="1">
        <f t="array" ref="M88">IFERROR(K_STATS_Normal_Survival(E88,$F$5,$F$6),"")</f>
        <v>4.9911743017993861E-13</v>
      </c>
      <c r="N88" s="79">
        <v>5.5025242103833695E-3</v>
      </c>
      <c r="O88" s="91">
        <v>0.99449747578911751</v>
      </c>
      <c r="P88" s="88">
        <v>1.2712692376750601</v>
      </c>
      <c r="Q88" s="88" cm="1">
        <f t="array" ref="Q88">K_STATS_Normal_InverseCumulative(J88, $F$5, $F$6)</f>
        <v>1.2712692376750634</v>
      </c>
      <c r="R88" s="90">
        <v>3.3306690738754696E-15</v>
      </c>
    </row>
    <row r="89" spans="1:18" ht="18" customHeight="1" x14ac:dyDescent="0.3">
      <c r="A89" s="124"/>
      <c r="B89" s="124"/>
      <c r="E89" s="78">
        <v>3.6277499999999967</v>
      </c>
      <c r="F89" s="88">
        <v>7.9431214596527282E-3</v>
      </c>
      <c r="G89" s="157" cm="1">
        <f t="array" ref="G89">IFERROR(K_STATS_Lognormal_Density(E89,$F$5,$F$6),"")</f>
        <v>7.9431214596527196E-3</v>
      </c>
      <c r="H89" s="67">
        <v>8.6736173798840355E-18</v>
      </c>
      <c r="I89" s="88">
        <v>0.99502014866997945</v>
      </c>
      <c r="J89" s="157" cm="1">
        <f t="array" ref="J89">IFERROR(K_STATS_Lognormal_Cumulative(E89,$F$5,$F$6),"")</f>
        <v>0.99502014866997945</v>
      </c>
      <c r="K89" s="79">
        <v>0</v>
      </c>
      <c r="L89" s="88">
        <v>4.979851330020546E-3</v>
      </c>
      <c r="M89" s="88" cm="1">
        <f t="array" ref="M89">IFERROR(K_STATS_Normal_Survival(E89,$F$5,$F$6),"")</f>
        <v>2.0009038858385137E-13</v>
      </c>
      <c r="N89" s="79">
        <v>4.9798513298204552E-3</v>
      </c>
      <c r="O89" s="91">
        <v>0.99502014866997945</v>
      </c>
      <c r="P89" s="88">
        <v>1.2886126213890654</v>
      </c>
      <c r="Q89" s="88" cm="1">
        <f t="array" ref="Q89">K_STATS_Normal_InverseCumulative(J89, $F$5, $F$6)</f>
        <v>1.2886126213890656</v>
      </c>
      <c r="R89" s="90">
        <v>2.2204460492503131E-16</v>
      </c>
    </row>
    <row r="90" spans="1:18" ht="18" customHeight="1" x14ac:dyDescent="0.3">
      <c r="A90" s="124"/>
      <c r="B90" s="124"/>
      <c r="E90" s="78">
        <v>3.6901249999999965</v>
      </c>
      <c r="F90" s="88">
        <v>7.1478083420799549E-3</v>
      </c>
      <c r="G90" s="157" cm="1">
        <f t="array" ref="G90">IFERROR(K_STATS_Lognormal_Density(E90,$F$5,$F$6),"")</f>
        <v>7.1478083420799523E-3</v>
      </c>
      <c r="H90" s="67">
        <v>2.6020852139652106E-18</v>
      </c>
      <c r="I90" s="88">
        <v>0.99549033607022119</v>
      </c>
      <c r="J90" s="157" cm="1">
        <f t="array" ref="J90">IFERROR(K_STATS_Lognormal_Cumulative(E90,$F$5,$F$6),"")</f>
        <v>0.99549033607022119</v>
      </c>
      <c r="K90" s="79">
        <v>0</v>
      </c>
      <c r="L90" s="88">
        <v>4.5096639297788066E-3</v>
      </c>
      <c r="M90" s="88" cm="1">
        <f t="array" ref="M90">IFERROR(K_STATS_Normal_Survival(E90,$F$5,$F$6),"")</f>
        <v>7.8996290550639468E-14</v>
      </c>
      <c r="N90" s="79">
        <v>4.5096639296998099E-3</v>
      </c>
      <c r="O90" s="91">
        <v>0.99549033607022119</v>
      </c>
      <c r="P90" s="88">
        <v>1.3056603328174323</v>
      </c>
      <c r="Q90" s="88" cm="1">
        <f t="array" ref="Q90">K_STATS_Normal_InverseCumulative(J90, $F$5, $F$6)</f>
        <v>1.3056603328174334</v>
      </c>
      <c r="R90" s="90">
        <v>1.1102230246251565E-15</v>
      </c>
    </row>
    <row r="91" spans="1:18" ht="18" customHeight="1" x14ac:dyDescent="0.3">
      <c r="A91" s="124"/>
      <c r="B91" s="124"/>
      <c r="E91" s="78">
        <v>3.7524999999999964</v>
      </c>
      <c r="F91" s="88">
        <v>6.4362124910251556E-3</v>
      </c>
      <c r="G91" s="157" cm="1">
        <f t="array" ref="G91">IFERROR(K_STATS_Lognormal_Density(E91,$F$5,$F$6),"")</f>
        <v>6.4362124910251504E-3</v>
      </c>
      <c r="H91" s="67">
        <v>5.2041704279304213E-18</v>
      </c>
      <c r="I91" s="88">
        <v>0.99591357755858045</v>
      </c>
      <c r="J91" s="157" cm="1">
        <f t="array" ref="J91">IFERROR(K_STATS_Lognormal_Cumulative(E91,$F$5,$F$6),"")</f>
        <v>0.99591357755858045</v>
      </c>
      <c r="K91" s="79">
        <v>0</v>
      </c>
      <c r="L91" s="88">
        <v>4.086422441419546E-3</v>
      </c>
      <c r="M91" s="88" cm="1">
        <f t="array" ref="M91">IFERROR(K_STATS_Normal_Survival(E91,$F$5,$F$6),"")</f>
        <v>3.0714300531110927E-14</v>
      </c>
      <c r="N91" s="79">
        <v>4.0864224413888319E-3</v>
      </c>
      <c r="O91" s="91">
        <v>0.99591357755858045</v>
      </c>
      <c r="P91" s="88">
        <v>1.3224222845254789</v>
      </c>
      <c r="Q91" s="88" cm="1">
        <f t="array" ref="Q91">K_STATS_Normal_InverseCumulative(J91, $F$5, $F$6)</f>
        <v>1.3224222845254812</v>
      </c>
      <c r="R91" s="90">
        <v>2.2204460492503131E-15</v>
      </c>
    </row>
    <row r="92" spans="1:18" ht="18" customHeight="1" x14ac:dyDescent="0.3">
      <c r="A92" s="124"/>
      <c r="B92" s="124"/>
      <c r="E92" s="78">
        <v>3.8148749999999962</v>
      </c>
      <c r="F92" s="88">
        <v>5.7991265106577886E-3</v>
      </c>
      <c r="G92" s="157" cm="1">
        <f t="array" ref="G92">IFERROR(K_STATS_Lognormal_Density(E92,$F$5,$F$6),"")</f>
        <v>5.7991265106577825E-3</v>
      </c>
      <c r="H92" s="67">
        <v>6.0715321659188248E-18</v>
      </c>
      <c r="I92" s="88">
        <v>0.99629480203612641</v>
      </c>
      <c r="J92" s="157" cm="1">
        <f t="array" ref="J92">IFERROR(K_STATS_Lognormal_Cumulative(E92,$F$5,$F$6),"")</f>
        <v>0.99629480203612641</v>
      </c>
      <c r="K92" s="79">
        <v>0</v>
      </c>
      <c r="L92" s="88">
        <v>3.7051979638735855E-3</v>
      </c>
      <c r="M92" s="88" cm="1">
        <f t="array" ref="M92">IFERROR(K_STATS_Normal_Survival(E92,$F$5,$F$6),"")</f>
        <v>1.1760469349781163E-14</v>
      </c>
      <c r="N92" s="79">
        <v>3.7051979638618249E-3</v>
      </c>
      <c r="O92" s="91">
        <v>0.99629480203612641</v>
      </c>
      <c r="P92" s="88">
        <v>1.3389078987998824</v>
      </c>
      <c r="Q92" s="88" cm="1">
        <f t="array" ref="Q92">K_STATS_Normal_InverseCumulative(J92, $F$5, $F$6)</f>
        <v>1.3389078987998846</v>
      </c>
      <c r="R92" s="90">
        <v>2.2204460492503131E-15</v>
      </c>
    </row>
    <row r="93" spans="1:18" ht="18" customHeight="1" x14ac:dyDescent="0.3">
      <c r="A93" s="124"/>
      <c r="B93" s="124"/>
      <c r="E93" s="78">
        <v>3.8772499999999961</v>
      </c>
      <c r="F93" s="88">
        <v>5.2283935966212086E-3</v>
      </c>
      <c r="G93" s="157" cm="1">
        <f t="array" ref="G93">IFERROR(K_STATS_Lognormal_Density(E93,$F$5,$F$6),"")</f>
        <v>5.2283935966212069E-3</v>
      </c>
      <c r="H93" s="67">
        <v>1.7347234759768071E-18</v>
      </c>
      <c r="I93" s="88">
        <v>0.99663839754016326</v>
      </c>
      <c r="J93" s="157" cm="1">
        <f t="array" ref="J93">IFERROR(K_STATS_Lognormal_Cumulative(E93,$F$5,$F$6),"")</f>
        <v>0.99663839754016326</v>
      </c>
      <c r="K93" s="79">
        <v>0</v>
      </c>
      <c r="L93" s="88">
        <v>3.3616024598367433E-3</v>
      </c>
      <c r="M93" s="88" cm="1">
        <f t="array" ref="M93">IFERROR(K_STATS_Normal_Survival(E93,$F$5,$F$6),"")</f>
        <v>4.4346112309799635E-15</v>
      </c>
      <c r="N93" s="79">
        <v>3.3616024598323085E-3</v>
      </c>
      <c r="O93" s="91">
        <v>0.99663839754016326</v>
      </c>
      <c r="P93" s="88">
        <v>1.3551261394574219</v>
      </c>
      <c r="Q93" s="88" cm="1">
        <f t="array" ref="Q93">K_STATS_Normal_InverseCumulative(J93, $F$5, $F$6)</f>
        <v>1.3551261394574237</v>
      </c>
      <c r="R93" s="90">
        <v>1.7763568394002505E-15</v>
      </c>
    </row>
    <row r="94" spans="1:18" ht="18" customHeight="1" x14ac:dyDescent="0.3">
      <c r="A94" s="124"/>
      <c r="B94" s="124"/>
      <c r="E94" s="78">
        <v>3.9396249999999959</v>
      </c>
      <c r="F94" s="88">
        <v>4.7167842437406179E-3</v>
      </c>
      <c r="G94" s="157" cm="1">
        <f t="array" ref="G94">IFERROR(K_STATS_Lognormal_Density(E94,$F$5,$F$6),"")</f>
        <v>4.7167842437406127E-3</v>
      </c>
      <c r="H94" s="67">
        <v>5.2041704279304213E-18</v>
      </c>
      <c r="I94" s="88">
        <v>0.9969482728483321</v>
      </c>
      <c r="J94" s="157" cm="1">
        <f t="array" ref="J94">IFERROR(K_STATS_Lognormal_Cumulative(E94,$F$5,$F$6),"")</f>
        <v>0.9969482728483321</v>
      </c>
      <c r="K94" s="79">
        <v>0</v>
      </c>
      <c r="L94" s="88">
        <v>3.0517271516679045E-3</v>
      </c>
      <c r="M94" s="88" cm="1">
        <f t="array" ref="M94">IFERROR(K_STATS_Normal_Survival(E94,$F$5,$F$6),"")</f>
        <v>1.646759737314384E-15</v>
      </c>
      <c r="N94" s="79">
        <v>3.0517271516662578E-3</v>
      </c>
      <c r="O94" s="91">
        <v>0.9969482728483321</v>
      </c>
      <c r="P94" s="88">
        <v>1.3710855411151859</v>
      </c>
      <c r="Q94" s="88" cm="1">
        <f t="array" ref="Q94">K_STATS_Normal_InverseCumulative(J94, $F$5, $F$6)</f>
        <v>1.3710855411151885</v>
      </c>
      <c r="R94" s="90">
        <v>2.6645352591003757E-15</v>
      </c>
    </row>
    <row r="95" spans="1:18" ht="18" customHeight="1" x14ac:dyDescent="0.3">
      <c r="A95" s="124"/>
      <c r="B95" s="124"/>
      <c r="E95" s="78">
        <v>4.0019999999999962</v>
      </c>
      <c r="F95" s="88">
        <v>4.2578876618284221E-3</v>
      </c>
      <c r="G95" s="157" cm="1">
        <f t="array" ref="G95">IFERROR(K_STATS_Lognormal_Density(E95,$F$5,$F$6),"")</f>
        <v>4.2578876618284177E-3</v>
      </c>
      <c r="H95" s="67">
        <v>4.3368086899420177E-18</v>
      </c>
      <c r="I95" s="88">
        <v>0.99722791186073245</v>
      </c>
      <c r="J95" s="157" cm="1">
        <f t="array" ref="J95">IFERROR(K_STATS_Lognormal_Cumulative(E95,$F$5,$F$6),"")</f>
        <v>0.99722791186073234</v>
      </c>
      <c r="K95" s="79">
        <v>1.1102230246251565E-16</v>
      </c>
      <c r="L95" s="88">
        <v>2.7720881392675478E-3</v>
      </c>
      <c r="M95" s="88" cm="1">
        <f t="array" ref="M95">IFERROR(K_STATS_Normal_Survival(E95,$F$5,$F$6),"")</f>
        <v>6.0220694945563158E-16</v>
      </c>
      <c r="N95" s="79">
        <v>2.7720881392669454E-3</v>
      </c>
      <c r="O95" s="91">
        <v>0.99722791186073245</v>
      </c>
      <c r="P95" s="88">
        <v>1.3867942361615437</v>
      </c>
      <c r="Q95" s="88" cm="1">
        <f t="array" ref="Q95">K_STATS_Normal_InverseCumulative(J95, $F$5, $F$6)</f>
        <v>1.3867942361615382</v>
      </c>
      <c r="R95" s="90">
        <v>5.5511151231257827E-15</v>
      </c>
    </row>
    <row r="96" spans="1:18" ht="18" customHeight="1" x14ac:dyDescent="0.3">
      <c r="A96" s="124"/>
      <c r="B96" s="124"/>
      <c r="E96" s="78">
        <v>4.0643749999999965</v>
      </c>
      <c r="F96" s="88">
        <v>3.8460161475511465E-3</v>
      </c>
      <c r="G96" s="157" cm="1">
        <f t="array" ref="G96">IFERROR(K_STATS_Lognormal_Density(E96,$F$5,$F$6),"")</f>
        <v>3.8460161475511474E-3</v>
      </c>
      <c r="H96" s="67">
        <v>8.6736173798840355E-19</v>
      </c>
      <c r="I96" s="88">
        <v>0.99748042162173378</v>
      </c>
      <c r="J96" s="157" cm="1">
        <f t="array" ref="J96">IFERROR(K_STATS_Lognormal_Cumulative(E96,$F$5,$F$6),"")</f>
        <v>0.99748042162173378</v>
      </c>
      <c r="K96" s="79">
        <v>0</v>
      </c>
      <c r="L96" s="88">
        <v>2.5195783782662184E-3</v>
      </c>
      <c r="M96" s="88" cm="1">
        <f t="array" ref="M96">IFERROR(K_STATS_Normal_Survival(E96,$F$5,$F$6),"")</f>
        <v>2.1686990519236199E-16</v>
      </c>
      <c r="N96" s="79">
        <v>2.5195783782660016E-3</v>
      </c>
      <c r="O96" s="91">
        <v>0.99748042162173378</v>
      </c>
      <c r="P96" s="88">
        <v>1.4022599796412756</v>
      </c>
      <c r="Q96" s="88" cm="1">
        <f t="array" ref="Q96">K_STATS_Normal_InverseCumulative(J96, $F$5, $F$6)</f>
        <v>1.4022599796412789</v>
      </c>
      <c r="R96" s="90">
        <v>3.3306690738754696E-15</v>
      </c>
    </row>
    <row r="97" spans="1:18" ht="18" customHeight="1" x14ac:dyDescent="0.3">
      <c r="A97" s="124"/>
      <c r="B97" s="124"/>
      <c r="E97" s="78">
        <v>4.1267499999999968</v>
      </c>
      <c r="F97" s="88">
        <v>3.4761208621467764E-3</v>
      </c>
      <c r="G97" s="157" cm="1">
        <f t="array" ref="G97">IFERROR(K_STATS_Lognormal_Density(E97,$F$5,$F$6),"")</f>
        <v>3.4761208621467807E-3</v>
      </c>
      <c r="H97" s="67">
        <v>4.3368086899420177E-18</v>
      </c>
      <c r="I97" s="88">
        <v>0.99770857474027086</v>
      </c>
      <c r="J97" s="157" cm="1">
        <f t="array" ref="J97">IFERROR(K_STATS_Lognormal_Cumulative(E97,$F$5,$F$6),"")</f>
        <v>0.99770857474027086</v>
      </c>
      <c r="K97" s="79">
        <v>0</v>
      </c>
      <c r="L97" s="88">
        <v>2.2914252597291407E-3</v>
      </c>
      <c r="M97" s="88" cm="1">
        <f t="array" ref="M97">IFERROR(K_STATS_Normal_Survival(E97,$F$5,$F$6),"")</f>
        <v>7.6910937418789709E-17</v>
      </c>
      <c r="N97" s="79">
        <v>2.2914252597290639E-3</v>
      </c>
      <c r="O97" s="91">
        <v>0.99770857474027086</v>
      </c>
      <c r="P97" s="88">
        <v>1.4174901722455129</v>
      </c>
      <c r="Q97" s="88" cm="1">
        <f t="array" ref="Q97">K_STATS_Normal_InverseCumulative(J97, $F$5, $F$6)</f>
        <v>1.4174901722455124</v>
      </c>
      <c r="R97" s="90">
        <v>4.4408920985006262E-16</v>
      </c>
    </row>
    <row r="98" spans="1:18" ht="18" customHeight="1" x14ac:dyDescent="0.3">
      <c r="A98" s="124"/>
      <c r="B98" s="124"/>
      <c r="E98" s="78">
        <v>4.1891249999999971</v>
      </c>
      <c r="F98" s="88">
        <v>3.1437176457181572E-3</v>
      </c>
      <c r="G98" s="157" cm="1">
        <f t="array" ref="G98">IFERROR(K_STATS_Lognormal_Density(E98,$F$5,$F$6),"")</f>
        <v>3.1437176457181589E-3</v>
      </c>
      <c r="H98" s="67">
        <v>1.7347234759768071E-18</v>
      </c>
      <c r="I98" s="88">
        <v>0.99791484687646859</v>
      </c>
      <c r="J98" s="157" cm="1">
        <f t="array" ref="J98">IFERROR(K_STATS_Lognormal_Cumulative(E98,$F$5,$F$6),"")</f>
        <v>0.99791484687646859</v>
      </c>
      <c r="K98" s="79">
        <v>0</v>
      </c>
      <c r="L98" s="88">
        <v>2.0851531235314136E-3</v>
      </c>
      <c r="M98" s="88" cm="1">
        <f t="array" ref="M98">IFERROR(K_STATS_Normal_Survival(E98,$F$5,$F$6),"")</f>
        <v>2.6860222320612402E-17</v>
      </c>
      <c r="N98" s="79">
        <v>2.0851531235313867E-3</v>
      </c>
      <c r="O98" s="91">
        <v>0.99791484687646859</v>
      </c>
      <c r="P98" s="88">
        <v>1.4324918815769843</v>
      </c>
      <c r="Q98" s="88" cm="1">
        <f t="array" ref="Q98">K_STATS_Normal_InverseCumulative(J98, $F$5, $F$6)</f>
        <v>1.4324918815769849</v>
      </c>
      <c r="R98" s="90">
        <v>6.6613381477509392E-16</v>
      </c>
    </row>
    <row r="99" spans="1:18" ht="18" customHeight="1" x14ac:dyDescent="0.3">
      <c r="A99" s="124"/>
      <c r="B99" s="124"/>
      <c r="E99" s="78">
        <v>4.2514999999999974</v>
      </c>
      <c r="F99" s="88">
        <v>2.8448216603530652E-3</v>
      </c>
      <c r="G99" s="157" cm="1">
        <f t="array" ref="G99">IFERROR(K_STATS_Lognormal_Density(E99,$F$5,$F$6),"")</f>
        <v>2.8448216603530691E-3</v>
      </c>
      <c r="H99" s="67">
        <v>3.903127820947816E-18</v>
      </c>
      <c r="I99" s="88">
        <v>0.99810144988217198</v>
      </c>
      <c r="J99" s="157" cm="1">
        <f t="array" ref="J99">IFERROR(K_STATS_Lognormal_Cumulative(E99,$F$5,$F$6),"")</f>
        <v>0.99810144988217198</v>
      </c>
      <c r="K99" s="79">
        <v>0</v>
      </c>
      <c r="L99" s="88">
        <v>1.898550117828024E-3</v>
      </c>
      <c r="M99" s="88" cm="1">
        <f t="array" ref="M99">IFERROR(K_STATS_Normal_Survival(E99,$F$5,$F$6),"")</f>
        <v>9.2376453168321132E-18</v>
      </c>
      <c r="N99" s="79">
        <v>1.8985501178280146E-3</v>
      </c>
      <c r="O99" s="91">
        <v>0.99810144988217198</v>
      </c>
      <c r="P99" s="88">
        <v>1.4472718618437079</v>
      </c>
      <c r="Q99" s="88" cm="1">
        <f t="array" ref="Q99">K_STATS_Normal_InverseCumulative(J99, $F$5, $F$6)</f>
        <v>1.4472718618437126</v>
      </c>
      <c r="R99" s="90">
        <v>4.6629367034256575E-15</v>
      </c>
    </row>
    <row r="100" spans="1:18" ht="18" customHeight="1" x14ac:dyDescent="0.3">
      <c r="A100" s="124"/>
      <c r="B100" s="124"/>
      <c r="E100" s="78">
        <v>4.3138749999999977</v>
      </c>
      <c r="F100" s="88">
        <v>2.5758897980160339E-3</v>
      </c>
      <c r="G100" s="157" cm="1">
        <f t="array" ref="G100">IFERROR(K_STATS_Lognormal_Density(E100,$F$5,$F$6),"")</f>
        <v>2.5758897980160365E-3</v>
      </c>
      <c r="H100" s="67">
        <v>2.6020852139652106E-18</v>
      </c>
      <c r="I100" s="88">
        <v>0.99827036111218859</v>
      </c>
      <c r="J100" s="157" cm="1">
        <f t="array" ref="J100">IFERROR(K_STATS_Lognormal_Cumulative(E100,$F$5,$F$6),"")</f>
        <v>0.99827036111218859</v>
      </c>
      <c r="K100" s="79">
        <v>0</v>
      </c>
      <c r="L100" s="88">
        <v>1.7296388878114133E-3</v>
      </c>
      <c r="M100" s="88" cm="1">
        <f t="array" ref="M100">IFERROR(K_STATS_Normal_Survival(E100,$F$5,$F$6),"")</f>
        <v>3.1285330237922857E-18</v>
      </c>
      <c r="N100" s="79">
        <v>1.7296388878114102E-3</v>
      </c>
      <c r="O100" s="91">
        <v>0.99827036111218859</v>
      </c>
      <c r="P100" s="88">
        <v>1.46183657211833</v>
      </c>
      <c r="Q100" s="88" cm="1">
        <f t="array" ref="Q100">K_STATS_Normal_InverseCumulative(J100, $F$5, $F$6)</f>
        <v>1.4618365721183364</v>
      </c>
      <c r="R100" s="90">
        <v>6.4392935428259079E-15</v>
      </c>
    </row>
    <row r="101" spans="1:18" ht="18" customHeight="1" x14ac:dyDescent="0.3">
      <c r="A101" s="124"/>
      <c r="B101" s="124"/>
      <c r="E101" s="78">
        <v>4.376249999999998</v>
      </c>
      <c r="F101" s="88">
        <v>2.3337699166236063E-3</v>
      </c>
      <c r="G101" s="157" cm="1">
        <f t="array" ref="G101">IFERROR(K_STATS_Lognormal_Density(E101,$F$5,$F$6),"")</f>
        <v>2.3337699166236076E-3</v>
      </c>
      <c r="H101" s="67">
        <v>1.3010426069826053E-18</v>
      </c>
      <c r="I101" s="88">
        <v>0.99842334936073918</v>
      </c>
      <c r="J101" s="157" cm="1">
        <f t="array" ref="J101">IFERROR(K_STATS_Lognormal_Cumulative(E101,$F$5,$F$6),"")</f>
        <v>0.99842334936073918</v>
      </c>
      <c r="K101" s="79">
        <v>0</v>
      </c>
      <c r="L101" s="88">
        <v>1.5766506392608237E-3</v>
      </c>
      <c r="M101" s="88" cm="1">
        <f t="array" ref="M101">IFERROR(K_STATS_Normal_Survival(E101,$F$5,$F$6),"")</f>
        <v>1.0433876108574019E-18</v>
      </c>
      <c r="N101" s="79">
        <v>1.5766506392608226E-3</v>
      </c>
      <c r="O101" s="91">
        <v>0.99842334936073918</v>
      </c>
      <c r="P101" s="88">
        <v>1.4761921932867326</v>
      </c>
      <c r="Q101" s="88" cm="1">
        <f t="array" ref="Q101">K_STATS_Normal_InverseCumulative(J101, $F$5, $F$6)</f>
        <v>1.4761921932867386</v>
      </c>
      <c r="R101" s="90">
        <v>5.9952043329758453E-15</v>
      </c>
    </row>
    <row r="102" spans="1:18" ht="18" customHeight="1" x14ac:dyDescent="0.3">
      <c r="A102" s="124"/>
      <c r="B102" s="124"/>
      <c r="E102" s="78">
        <v>4.4386249999999983</v>
      </c>
      <c r="F102" s="88">
        <v>2.1156560805184652E-3</v>
      </c>
      <c r="G102" s="157" cm="1">
        <f t="array" ref="G102">IFERROR(K_STATS_Lognormal_Density(E102,$F$5,$F$6),"")</f>
        <v>2.1156560805184674E-3</v>
      </c>
      <c r="H102" s="67">
        <v>2.1684043449710089E-18</v>
      </c>
      <c r="I102" s="88">
        <v>0.99856199782278221</v>
      </c>
      <c r="J102" s="157" cm="1">
        <f t="array" ref="J102">IFERROR(K_STATS_Lognormal_Cumulative(E102,$F$5,$F$6),"")</f>
        <v>0.99856199782278221</v>
      </c>
      <c r="K102" s="79">
        <v>0</v>
      </c>
      <c r="L102" s="88">
        <v>1.4380021772177898E-3</v>
      </c>
      <c r="M102" s="88" cm="1">
        <f t="array" ref="M102">IFERROR(K_STATS_Normal_Survival(E102,$F$5,$F$6),"")</f>
        <v>3.4266824496760482E-19</v>
      </c>
      <c r="N102" s="79">
        <v>1.4380021772177893E-3</v>
      </c>
      <c r="O102" s="91">
        <v>0.99856199782278221</v>
      </c>
      <c r="P102" s="88">
        <v>1.4903446437972414</v>
      </c>
      <c r="Q102" s="88" cm="1">
        <f t="array" ref="Q102">K_STATS_Normal_InverseCumulative(J102, $F$5, $F$6)</f>
        <v>1.4903446437972492</v>
      </c>
      <c r="R102" s="90">
        <v>7.7715611723760958E-15</v>
      </c>
    </row>
    <row r="103" spans="1:18" ht="18" customHeight="1" x14ac:dyDescent="0.3">
      <c r="A103" s="124"/>
      <c r="B103" s="124"/>
      <c r="E103" s="78">
        <v>4.5009999999999986</v>
      </c>
      <c r="F103" s="88">
        <v>1.9190490811900394E-3</v>
      </c>
      <c r="G103" s="157" cm="1">
        <f t="array" ref="G103">IFERROR(K_STATS_Lognormal_Density(E103,$F$5,$F$6),"")</f>
        <v>1.919049081190042E-3</v>
      </c>
      <c r="H103" s="67">
        <v>2.6020852139652106E-18</v>
      </c>
      <c r="I103" s="88">
        <v>0.99868772443166531</v>
      </c>
      <c r="J103" s="157" cm="1">
        <f t="array" ref="J103">IFERROR(K_STATS_Lognormal_Cumulative(E103,$F$5,$F$6),"")</f>
        <v>0.9986877244316652</v>
      </c>
      <c r="K103" s="79">
        <v>1.1102230246251565E-16</v>
      </c>
      <c r="L103" s="88">
        <v>1.3122755683346865E-3</v>
      </c>
      <c r="M103" s="88" cm="1">
        <f t="array" ref="M103">IFERROR(K_STATS_Normal_Survival(E103,$F$5,$F$6),"")</f>
        <v>1.1082128030199607E-19</v>
      </c>
      <c r="N103" s="79">
        <v>1.3122755683346863E-3</v>
      </c>
      <c r="O103" s="91">
        <v>0.99868772443166531</v>
      </c>
      <c r="P103" s="88">
        <v>1.5042995943107997</v>
      </c>
      <c r="Q103" s="88" cm="1">
        <f t="array" ref="Q103">K_STATS_Normal_InverseCumulative(J103, $F$5, $F$6)</f>
        <v>1.5042995943107886</v>
      </c>
      <c r="R103" s="90">
        <v>1.1102230246251565E-14</v>
      </c>
    </row>
    <row r="104" spans="1:18" ht="18" customHeight="1" x14ac:dyDescent="0.3">
      <c r="A104" s="124"/>
      <c r="B104" s="124"/>
      <c r="E104" s="78">
        <v>4.5633749999999988</v>
      </c>
      <c r="F104" s="88">
        <v>1.7417216019456781E-3</v>
      </c>
      <c r="G104" s="157" cm="1">
        <f t="array" ref="G104">IFERROR(K_STATS_Lognormal_Density(E104,$F$5,$F$6),"")</f>
        <v>1.7417216019456796E-3</v>
      </c>
      <c r="H104" s="67">
        <v>1.5178830414797062E-18</v>
      </c>
      <c r="I104" s="88">
        <v>0.99880179988218709</v>
      </c>
      <c r="J104" s="157" cm="1">
        <f t="array" ref="J104">IFERROR(K_STATS_Lognormal_Cumulative(E104,$F$5,$F$6),"")</f>
        <v>0.99880179988218709</v>
      </c>
      <c r="K104" s="79">
        <v>0</v>
      </c>
      <c r="L104" s="88">
        <v>1.1982001178129087E-3</v>
      </c>
      <c r="M104" s="88" cm="1">
        <f t="array" ref="M104">IFERROR(K_STATS_Normal_Survival(E104,$F$5,$F$6),"")</f>
        <v>3.5293240095978237E-20</v>
      </c>
      <c r="N104" s="79">
        <v>1.1982001178129087E-3</v>
      </c>
      <c r="O104" s="91">
        <v>0.99880179988218709</v>
      </c>
      <c r="P104" s="88">
        <v>1.5180624813429364</v>
      </c>
      <c r="Q104" s="88" cm="1">
        <f t="array" ref="Q104">K_STATS_Normal_InverseCumulative(J104, $F$5, $F$6)</f>
        <v>1.5180624813429413</v>
      </c>
      <c r="R104" s="90">
        <v>4.8849813083506888E-15</v>
      </c>
    </row>
    <row r="105" spans="1:18" ht="18" customHeight="1" x14ac:dyDescent="0.3">
      <c r="A105" s="124"/>
      <c r="B105" s="124"/>
      <c r="E105" s="78">
        <v>4.6257499999999991</v>
      </c>
      <c r="F105" s="88">
        <v>1.5816874676067214E-3</v>
      </c>
      <c r="G105" s="157" cm="1">
        <f t="array" ref="G105">IFERROR(K_STATS_Lognormal_Density(E105,$F$5,$F$6),"")</f>
        <v>1.5816874676067238E-3</v>
      </c>
      <c r="H105" s="67">
        <v>2.3852447794681098E-18</v>
      </c>
      <c r="I105" s="88">
        <v>0.99890536361092741</v>
      </c>
      <c r="J105" s="157" cm="1">
        <f t="array" ref="J105">IFERROR(K_STATS_Lognormal_Cumulative(E105,$F$5,$F$6),"")</f>
        <v>0.99890536361092741</v>
      </c>
      <c r="K105" s="79">
        <v>0</v>
      </c>
      <c r="L105" s="88">
        <v>1.0946363890725896E-3</v>
      </c>
      <c r="M105" s="88" cm="1">
        <f t="array" ref="M105">IFERROR(K_STATS_Normal_Survival(E105,$F$5,$F$6),"")</f>
        <v>1.1068199672711283E-20</v>
      </c>
      <c r="N105" s="79">
        <v>1.0946363890725896E-3</v>
      </c>
      <c r="O105" s="91">
        <v>0.99890536361092741</v>
      </c>
      <c r="P105" s="88">
        <v>1.5316385199796909</v>
      </c>
      <c r="Q105" s="88" cm="1">
        <f t="array" ref="Q105">K_STATS_Normal_InverseCumulative(J105, $F$5, $F$6)</f>
        <v>1.5316385199796982</v>
      </c>
      <c r="R105" s="90">
        <v>7.3274719625260332E-15</v>
      </c>
    </row>
    <row r="106" spans="1:18" ht="18" customHeight="1" x14ac:dyDescent="0.3">
      <c r="A106" s="124"/>
      <c r="B106" s="124"/>
      <c r="E106" s="78">
        <v>4.6881249999999994</v>
      </c>
      <c r="F106" s="88">
        <v>1.4371744883651719E-3</v>
      </c>
      <c r="G106" s="157" cm="1">
        <f t="array" ref="G106">IFERROR(K_STATS_Lognormal_Density(E106,$F$5,$F$6),"")</f>
        <v>1.437174488365173E-3</v>
      </c>
      <c r="H106" s="67">
        <v>1.0842021724855044E-18</v>
      </c>
      <c r="I106" s="88">
        <v>0.99899943797300805</v>
      </c>
      <c r="J106" s="157" cm="1">
        <f t="array" ref="J106">IFERROR(K_STATS_Lognormal_Cumulative(E106,$F$5,$F$6),"")</f>
        <v>0.99899943797300794</v>
      </c>
      <c r="K106" s="79">
        <v>1.1102230246251565E-16</v>
      </c>
      <c r="L106" s="88">
        <v>1.0005620269919469E-3</v>
      </c>
      <c r="M106" s="88" cm="1">
        <f t="array" ref="M106">IFERROR(K_STATS_Normal_Survival(E106,$F$5,$F$6),"")</f>
        <v>3.4180437958514778E-21</v>
      </c>
      <c r="N106" s="79">
        <v>1.0005620269919469E-3</v>
      </c>
      <c r="O106" s="91">
        <v>0.99899943797300805</v>
      </c>
      <c r="P106" s="88">
        <v>1.5450327157417687</v>
      </c>
      <c r="Q106" s="88" cm="1">
        <f t="array" ref="Q106">K_STATS_Normal_InverseCumulative(J106, $F$5, $F$6)</f>
        <v>1.5450327157417489</v>
      </c>
      <c r="R106" s="90">
        <v>1.9761969838327786E-14</v>
      </c>
    </row>
    <row r="107" spans="1:18" ht="18" customHeight="1" x14ac:dyDescent="0.3">
      <c r="A107" s="124"/>
      <c r="B107" s="124"/>
      <c r="E107" s="78">
        <v>4.7504999999999997</v>
      </c>
      <c r="F107" s="88">
        <v>1.3066004667572307E-3</v>
      </c>
      <c r="G107" s="157" cm="1">
        <f t="array" ref="G107">IFERROR(K_STATS_Lognormal_Density(E107,$F$5,$F$6),"")</f>
        <v>1.3066004667572314E-3</v>
      </c>
      <c r="H107" s="67">
        <v>6.5052130349130266E-19</v>
      </c>
      <c r="I107" s="88">
        <v>0.99908494082573696</v>
      </c>
      <c r="J107" s="157" cm="1">
        <f t="array" ref="J107">IFERROR(K_STATS_Lognormal_Cumulative(E107,$F$5,$F$6),"")</f>
        <v>0.99908494082573684</v>
      </c>
      <c r="K107" s="79">
        <v>1.1102230246251565E-16</v>
      </c>
      <c r="L107" s="88">
        <v>9.1505917426304428E-4</v>
      </c>
      <c r="M107" s="88" cm="1">
        <f t="array" ref="M107">IFERROR(K_STATS_Normal_Survival(E107,$F$5,$F$6),"")</f>
        <v>1.0394212927732191E-21</v>
      </c>
      <c r="N107" s="79">
        <v>9.1505917426304428E-4</v>
      </c>
      <c r="O107" s="91">
        <v>0.99908494082573696</v>
      </c>
      <c r="P107" s="88">
        <v>1.5582498756646728</v>
      </c>
      <c r="Q107" s="88" cm="1">
        <f t="array" ref="Q107">K_STATS_Normal_InverseCumulative(J107, $F$5, $F$6)</f>
        <v>1.5582498756646528</v>
      </c>
      <c r="R107" s="90">
        <v>1.9984014443252818E-14</v>
      </c>
    </row>
    <row r="108" spans="1:18" ht="18" customHeight="1" x14ac:dyDescent="0.3">
      <c r="A108" s="124"/>
      <c r="B108" s="124"/>
      <c r="E108" s="78">
        <v>4.812875</v>
      </c>
      <c r="F108" s="88">
        <v>1.1885519892507665E-3</v>
      </c>
      <c r="G108" s="157" cm="1">
        <f t="array" ref="G108">IFERROR(K_STATS_Lognormal_Density(E108,$F$5,$F$6),"")</f>
        <v>1.1885519892507665E-3</v>
      </c>
      <c r="H108" s="67">
        <v>0</v>
      </c>
      <c r="I108" s="88">
        <v>0.99916269670437396</v>
      </c>
      <c r="J108" s="157" cm="1">
        <f t="array" ref="J108">IFERROR(K_STATS_Lognormal_Cumulative(E108,$F$5,$F$6),"")</f>
        <v>0.99916269670437396</v>
      </c>
      <c r="K108" s="79">
        <v>0</v>
      </c>
      <c r="L108" s="88">
        <v>8.3730329562603512E-4</v>
      </c>
      <c r="M108" s="88" cm="1">
        <f t="array" ref="M108">IFERROR(K_STATS_Normal_Survival(E108,$F$5,$F$6),"")</f>
        <v>3.1125560085526282E-22</v>
      </c>
      <c r="N108" s="79">
        <v>8.3730329562603512E-4</v>
      </c>
      <c r="O108" s="91">
        <v>0.99916269670437396</v>
      </c>
      <c r="P108" s="88">
        <v>1.5712946186560537</v>
      </c>
      <c r="Q108" s="88" cm="1">
        <f t="array" ref="Q108">K_STATS_Normal_InverseCumulative(J108, $F$5, $F$6)</f>
        <v>1.5712946186560512</v>
      </c>
      <c r="R108" s="90">
        <v>2.4424906541753444E-15</v>
      </c>
    </row>
    <row r="109" spans="1:18" ht="18" customHeight="1" x14ac:dyDescent="0.3">
      <c r="A109" s="124"/>
      <c r="B109" s="124"/>
      <c r="E109" s="78">
        <v>4.8752500000000003</v>
      </c>
      <c r="F109" s="88">
        <v>1.0817656700656921E-3</v>
      </c>
      <c r="G109" s="157" cm="1">
        <f t="array" ref="G109">IFERROR(K_STATS_Lognormal_Density(E109,$F$5,$F$6),"")</f>
        <v>1.0817656700656928E-3</v>
      </c>
      <c r="H109" s="67">
        <v>6.5052130349130266E-19</v>
      </c>
      <c r="I109" s="88">
        <v>0.99923344675311865</v>
      </c>
      <c r="J109" s="157" cm="1">
        <f t="array" ref="J109">IFERROR(K_STATS_Lognormal_Cumulative(E109,$F$5,$F$6),"")</f>
        <v>0.99923344675311865</v>
      </c>
      <c r="K109" s="79">
        <v>0</v>
      </c>
      <c r="L109" s="88">
        <v>7.6655324688135185E-4</v>
      </c>
      <c r="M109" s="88" cm="1">
        <f t="array" ref="M109">IFERROR(K_STATS_Normal_Survival(E109,$F$5,$F$6),"")</f>
        <v>9.1780964054977412E-23</v>
      </c>
      <c r="N109" s="79">
        <v>7.6655324688135185E-4</v>
      </c>
      <c r="O109" s="91">
        <v>0.99923344675311865</v>
      </c>
      <c r="P109" s="88">
        <v>1.5841713851862049</v>
      </c>
      <c r="Q109" s="88" cm="1">
        <f t="array" ref="Q109">K_STATS_Normal_InverseCumulative(J109, $F$5, $F$6)</f>
        <v>1.5841713851862034</v>
      </c>
      <c r="R109" s="90">
        <v>1.5543122344752192E-15</v>
      </c>
    </row>
    <row r="110" spans="1:18" ht="18" customHeight="1" x14ac:dyDescent="0.3">
      <c r="A110" s="124"/>
      <c r="B110" s="124"/>
      <c r="E110" s="78">
        <v>4.9376250000000006</v>
      </c>
      <c r="F110" s="88">
        <v>9.8511155531699583E-4</v>
      </c>
      <c r="G110" s="157" cm="1">
        <f t="array" ref="G110">IFERROR(K_STATS_Lognormal_Density(E110,$F$5,$F$6),"")</f>
        <v>9.8511155531699627E-4</v>
      </c>
      <c r="H110" s="67">
        <v>4.3368086899420177E-19</v>
      </c>
      <c r="I110" s="88">
        <v>0.99929785755497669</v>
      </c>
      <c r="J110" s="157" cm="1">
        <f t="array" ref="J110">IFERROR(K_STATS_Lognormal_Cumulative(E110,$F$5,$F$6),"")</f>
        <v>0.99929785755497669</v>
      </c>
      <c r="K110" s="79">
        <v>0</v>
      </c>
      <c r="L110" s="88">
        <v>7.0214244502331269E-4</v>
      </c>
      <c r="M110" s="88" cm="1">
        <f t="array" ref="M110">IFERROR(K_STATS_Normal_Survival(E110,$F$5,$F$6),"")</f>
        <v>2.6649942986640496E-23</v>
      </c>
      <c r="N110" s="79">
        <v>7.0214244502331269E-4</v>
      </c>
      <c r="O110" s="91">
        <v>0.99929785755497669</v>
      </c>
      <c r="P110" s="88">
        <v>1.5968844463624794</v>
      </c>
      <c r="Q110" s="88" cm="1">
        <f t="array" ref="Q110">K_STATS_Normal_InverseCumulative(J110, $F$5, $F$6)</f>
        <v>1.5968844463624823</v>
      </c>
      <c r="R110" s="90">
        <v>2.886579864025407E-15</v>
      </c>
    </row>
    <row r="111" spans="1:18" ht="18" customHeight="1" x14ac:dyDescent="0.3">
      <c r="A111" s="124"/>
      <c r="B111" s="124"/>
      <c r="E111" s="80">
        <v>5.0000000000000009</v>
      </c>
      <c r="F111" s="89">
        <v>8.9757843107166274E-4</v>
      </c>
      <c r="G111" s="157" cm="1">
        <f t="array" ref="G111">IFERROR(K_STATS_Lognormal_Density(E111,$F$5,$F$6),"")</f>
        <v>8.9757843107166318E-4</v>
      </c>
      <c r="H111" s="70">
        <v>4.3368086899420177E-19</v>
      </c>
      <c r="I111" s="89">
        <v>0.99935652898708616</v>
      </c>
      <c r="J111" s="157" cm="1">
        <f t="array" ref="J111">IFERROR(K_STATS_Lognormal_Cumulative(E111,$F$5,$F$6),"")</f>
        <v>0.99935652898708616</v>
      </c>
      <c r="K111" s="81">
        <v>0</v>
      </c>
      <c r="L111" s="89">
        <v>6.4347101291384323E-4</v>
      </c>
      <c r="M111" s="88" cm="1">
        <f t="array" ref="M111">IFERROR(K_STATS_Normal_Survival(E111,$F$5,$F$6),"")</f>
        <v>7.6198530241604167E-24</v>
      </c>
      <c r="N111" s="79">
        <v>6.4347101291384323E-4</v>
      </c>
      <c r="O111" s="91">
        <v>0.99935652898708616</v>
      </c>
      <c r="P111" s="88">
        <v>1.6094379124341078</v>
      </c>
      <c r="Q111" s="88" cm="1">
        <f t="array" ref="Q111">K_STATS_Normal_InverseCumulative(J111, $F$5, $F$6)</f>
        <v>1.6094379124341172</v>
      </c>
      <c r="R111" s="90">
        <v>9.3258734068513149E-15</v>
      </c>
    </row>
    <row r="112" spans="1:18" ht="18" customHeight="1" x14ac:dyDescent="0.3">
      <c r="A112" s="124"/>
      <c r="B112" s="124"/>
    </row>
    <row r="113" spans="1:17" ht="24.95" customHeight="1" x14ac:dyDescent="0.3">
      <c r="A113" s="124"/>
      <c r="B113" s="124"/>
      <c r="E113" s="96" t="s">
        <v>194</v>
      </c>
      <c r="F113" s="92"/>
      <c r="G113" s="92"/>
      <c r="H113" s="126" t="str">
        <f>HYPERLINK("#A3","▲ Back to top")</f>
        <v>▲ Back to top</v>
      </c>
      <c r="O113" s="1" t="e" cm="1" vm="6">
        <f t="array" ref="O113">_xlfn._xlws.PY(5,1,E115:E119,F5,F6,L115:L119,M115:M119)</f>
        <v>#VALUE!</v>
      </c>
    </row>
    <row r="114" spans="1:17" ht="24.95" customHeight="1" x14ac:dyDescent="0.3">
      <c r="A114" s="124"/>
      <c r="B114" s="124"/>
      <c r="E114" s="93" t="s">
        <v>33</v>
      </c>
      <c r="I114" s="72" t="s">
        <v>37</v>
      </c>
      <c r="J114" s="73" t="s">
        <v>38</v>
      </c>
      <c r="K114" s="74" t="s">
        <v>39</v>
      </c>
      <c r="L114" s="72" t="s">
        <v>40</v>
      </c>
      <c r="M114" s="73" t="s">
        <v>41</v>
      </c>
      <c r="N114" s="74" t="s">
        <v>42</v>
      </c>
      <c r="O114" s="109" t="s">
        <v>195</v>
      </c>
      <c r="P114" s="73" t="s">
        <v>196</v>
      </c>
      <c r="Q114" s="74" t="s">
        <v>197</v>
      </c>
    </row>
    <row r="115" spans="1:17" x14ac:dyDescent="0.3">
      <c r="A115" s="124"/>
      <c r="B115" s="124"/>
      <c r="E115" s="97">
        <v>6</v>
      </c>
      <c r="I115" s="99">
        <f>_xlfn.NORM.DIST(E115,$F$5,$F$6,TRUE)</f>
        <v>1</v>
      </c>
      <c r="J115" s="94" cm="1">
        <f t="array" ref="J115">IFERROR(K_STATS_Normal_Cumulative(E115,$F$5,$F$6),"")</f>
        <v>1</v>
      </c>
      <c r="K115" s="95">
        <f>IF(AND(ISNUMBER(I115),ISNUMBER(J115)),ABS(I115-J115),"")</f>
        <v>0</v>
      </c>
      <c r="L115" s="94">
        <f>IF(ISNUMBER(I115),1-I115,"")</f>
        <v>0</v>
      </c>
      <c r="M115" s="94" cm="1">
        <f t="array" ref="M115">IFERROR(K_STATS_Normal_Survival(E115,$F$5,$F$6),"")</f>
        <v>1.776482112077679E-33</v>
      </c>
      <c r="N115" s="100">
        <f>IF(AND(ISNUMBER(L115),ISNUMBER(M115)),ABS(L115-M115),"")</f>
        <v>1.776482112077679E-33</v>
      </c>
      <c r="O115" s="94" cm="1">
        <f t="array" ref="O115:Q119">_FV(O113,"arrayPreview")</f>
        <v>1.776482112077653E-33</v>
      </c>
      <c r="P115" s="112">
        <v>1</v>
      </c>
      <c r="Q115" s="111">
        <v>1.4636035411225322E-14</v>
      </c>
    </row>
    <row r="116" spans="1:17" x14ac:dyDescent="0.3">
      <c r="A116" s="124"/>
      <c r="B116" s="124"/>
      <c r="E116" s="97">
        <v>7</v>
      </c>
      <c r="I116" s="99">
        <f t="shared" ref="I116:I119" si="2">_xlfn.NORM.DIST(E116,$F$5,$F$6,TRUE)</f>
        <v>1</v>
      </c>
      <c r="J116" s="94" cm="1">
        <f t="array" ref="J116">IFERROR(K_STATS_Normal_Cumulative(E116,$F$5,$F$6),"")</f>
        <v>1</v>
      </c>
      <c r="K116" s="95">
        <f t="shared" ref="K116:K119" si="3">IF(AND(ISNUMBER(I116),ISNUMBER(J116)),ABS(I116-J116),"")</f>
        <v>0</v>
      </c>
      <c r="L116" s="94">
        <f t="shared" ref="L116:L119" si="4">IF(ISNUMBER(I116),1-I116,"")</f>
        <v>0</v>
      </c>
      <c r="M116" s="94" cm="1">
        <f t="array" ref="M116">IFERROR(K_STATS_Normal_Survival(E116,$F$5,$F$6),"")</f>
        <v>7.7935368191928013E-45</v>
      </c>
      <c r="N116" s="100">
        <f t="shared" ref="N116:N119" si="5">IF(AND(ISNUMBER(L116),ISNUMBER(M116)),ABS(L116-M116),"")</f>
        <v>7.7935368191928013E-45</v>
      </c>
      <c r="O116" s="94">
        <v>7.7935368191928E-45</v>
      </c>
      <c r="P116" s="112">
        <v>1</v>
      </c>
      <c r="Q116" s="111">
        <v>1.5969682115406181E-16</v>
      </c>
    </row>
    <row r="117" spans="1:17" x14ac:dyDescent="0.3">
      <c r="A117" s="124"/>
      <c r="B117" s="124"/>
      <c r="E117" s="97">
        <v>8</v>
      </c>
      <c r="I117" s="99">
        <f t="shared" si="2"/>
        <v>1</v>
      </c>
      <c r="J117" s="94" cm="1">
        <f t="array" ref="J117">IFERROR(K_STATS_Normal_Cumulative(E117,$F$5,$F$6),"")</f>
        <v>1</v>
      </c>
      <c r="K117" s="95">
        <f t="shared" si="3"/>
        <v>0</v>
      </c>
      <c r="L117" s="94">
        <f t="shared" si="4"/>
        <v>0</v>
      </c>
      <c r="M117" s="94" cm="1">
        <f t="array" ref="M117">IFERROR(K_STATS_Normal_Survival(E117,$F$5,$F$6),"")</f>
        <v>6.3887544005380882E-58</v>
      </c>
      <c r="N117" s="100">
        <f t="shared" si="5"/>
        <v>6.3887544005380882E-58</v>
      </c>
      <c r="O117" s="94">
        <v>6.3887544005379057E-58</v>
      </c>
      <c r="P117" s="112">
        <v>1</v>
      </c>
      <c r="Q117" s="111">
        <v>2.8570284595262074E-14</v>
      </c>
    </row>
    <row r="118" spans="1:17" x14ac:dyDescent="0.3">
      <c r="A118" s="124"/>
      <c r="B118" s="124"/>
      <c r="E118" s="108">
        <v>9</v>
      </c>
      <c r="I118" s="99">
        <f t="shared" si="2"/>
        <v>1</v>
      </c>
      <c r="J118" s="94" cm="1">
        <f t="array" ref="J118">IFERROR(K_STATS_Normal_Cumulative(E118,$F$5,$F$6),"")</f>
        <v>1</v>
      </c>
      <c r="K118" s="95">
        <f t="shared" si="3"/>
        <v>0</v>
      </c>
      <c r="L118" s="110">
        <f t="shared" si="4"/>
        <v>0</v>
      </c>
      <c r="M118" s="94" cm="1">
        <f t="array" ref="M118">IFERROR(K_STATS_Normal_Survival(E118,$F$5,$F$6),"")</f>
        <v>9.7409489189371508E-73</v>
      </c>
      <c r="N118" s="100">
        <f t="shared" si="5"/>
        <v>9.7409489189371508E-73</v>
      </c>
      <c r="O118" s="94">
        <v>9.7409489189368755E-73</v>
      </c>
      <c r="P118" s="112">
        <v>1</v>
      </c>
      <c r="Q118" s="111">
        <v>2.8254271563153781E-14</v>
      </c>
    </row>
    <row r="119" spans="1:17" x14ac:dyDescent="0.3">
      <c r="A119" s="124"/>
      <c r="B119" s="124"/>
      <c r="E119" s="98">
        <v>10</v>
      </c>
      <c r="I119" s="101">
        <f t="shared" si="2"/>
        <v>1</v>
      </c>
      <c r="J119" s="102" cm="1">
        <f t="array" ref="J119">IFERROR(K_STATS_Normal_Cumulative(E119,$F$5,$F$6),"")</f>
        <v>1</v>
      </c>
      <c r="K119" s="103">
        <f t="shared" si="3"/>
        <v>0</v>
      </c>
      <c r="L119" s="104">
        <f t="shared" si="4"/>
        <v>0</v>
      </c>
      <c r="M119" s="102" cm="1">
        <f t="array" ref="M119">IFERROR(K_STATS_Normal_Survival(E119,$F$5,$F$6),"")</f>
        <v>2.7536241186062341E-89</v>
      </c>
      <c r="N119" s="105">
        <f t="shared" si="5"/>
        <v>2.7536241186062341E-89</v>
      </c>
      <c r="O119" s="102">
        <v>2.7536241186061556E-89</v>
      </c>
      <c r="P119" s="114">
        <v>1</v>
      </c>
      <c r="Q119" s="113">
        <v>2.8501608204520317E-14</v>
      </c>
    </row>
    <row r="120" spans="1:17" x14ac:dyDescent="0.3">
      <c r="A120" s="124"/>
      <c r="B120" s="124"/>
    </row>
    <row r="121" spans="1:17" x14ac:dyDescent="0.3">
      <c r="A121" s="124"/>
      <c r="B121" s="124"/>
    </row>
    <row r="122" spans="1:17" x14ac:dyDescent="0.3">
      <c r="A122" s="124"/>
      <c r="B122" s="124"/>
    </row>
    <row r="123" spans="1:17" x14ac:dyDescent="0.3">
      <c r="A123" s="124"/>
      <c r="B123" s="124"/>
    </row>
    <row r="124" spans="1:17" x14ac:dyDescent="0.3">
      <c r="A124" s="124"/>
      <c r="B124" s="124"/>
    </row>
    <row r="125" spans="1:17" x14ac:dyDescent="0.3">
      <c r="A125" s="124"/>
      <c r="B125" s="124"/>
    </row>
    <row r="126" spans="1:17" x14ac:dyDescent="0.3">
      <c r="A126" s="124"/>
      <c r="B126" s="124"/>
    </row>
    <row r="127" spans="1:17" x14ac:dyDescent="0.3">
      <c r="A127" s="124"/>
      <c r="B127" s="124"/>
    </row>
    <row r="128" spans="1:17" x14ac:dyDescent="0.3">
      <c r="A128" s="124"/>
      <c r="B128" s="124"/>
    </row>
    <row r="129" spans="1:2" x14ac:dyDescent="0.3">
      <c r="A129" s="124"/>
      <c r="B129" s="124"/>
    </row>
    <row r="130" spans="1:2" x14ac:dyDescent="0.3">
      <c r="A130" s="124"/>
      <c r="B130" s="124"/>
    </row>
    <row r="131" spans="1:2" x14ac:dyDescent="0.3">
      <c r="A131" s="124"/>
      <c r="B131" s="124"/>
    </row>
    <row r="132" spans="1:2" x14ac:dyDescent="0.3">
      <c r="A132" s="124"/>
      <c r="B132" s="124"/>
    </row>
    <row r="133" spans="1:2" x14ac:dyDescent="0.3">
      <c r="A133" s="124"/>
      <c r="B133" s="124"/>
    </row>
    <row r="134" spans="1:2" x14ac:dyDescent="0.3">
      <c r="A134" s="124"/>
      <c r="B134" s="124"/>
    </row>
    <row r="135" spans="1:2" x14ac:dyDescent="0.3">
      <c r="A135" s="124"/>
      <c r="B135" s="124"/>
    </row>
    <row r="136" spans="1:2" x14ac:dyDescent="0.3">
      <c r="A136" s="124"/>
      <c r="B136" s="124"/>
    </row>
    <row r="137" spans="1:2" x14ac:dyDescent="0.3">
      <c r="A137" s="124"/>
      <c r="B137" s="124"/>
    </row>
    <row r="138" spans="1:2" x14ac:dyDescent="0.3">
      <c r="A138" s="124"/>
      <c r="B138" s="124"/>
    </row>
    <row r="139" spans="1:2" x14ac:dyDescent="0.3">
      <c r="A139" s="124"/>
      <c r="B139" s="124"/>
    </row>
    <row r="140" spans="1:2" x14ac:dyDescent="0.3">
      <c r="A140" s="124"/>
      <c r="B140" s="124"/>
    </row>
    <row r="141" spans="1:2" x14ac:dyDescent="0.3">
      <c r="A141" s="124"/>
      <c r="B141" s="124"/>
    </row>
    <row r="142" spans="1:2" x14ac:dyDescent="0.3">
      <c r="A142" s="124"/>
      <c r="B142" s="124"/>
    </row>
    <row r="143" spans="1:2" x14ac:dyDescent="0.3">
      <c r="A143" s="124"/>
      <c r="B143" s="124"/>
    </row>
    <row r="144" spans="1:2" x14ac:dyDescent="0.3">
      <c r="A144" s="124"/>
      <c r="B144" s="124"/>
    </row>
    <row r="145" spans="1:2" x14ac:dyDescent="0.3">
      <c r="A145" s="124"/>
      <c r="B145" s="124"/>
    </row>
    <row r="146" spans="1:2" x14ac:dyDescent="0.3">
      <c r="A146" s="124"/>
      <c r="B146" s="124"/>
    </row>
    <row r="147" spans="1:2" x14ac:dyDescent="0.3">
      <c r="A147" s="124"/>
      <c r="B147" s="124"/>
    </row>
    <row r="148" spans="1:2" x14ac:dyDescent="0.3">
      <c r="A148" s="124"/>
      <c r="B148" s="124"/>
    </row>
    <row r="149" spans="1:2" x14ac:dyDescent="0.3">
      <c r="A149" s="124"/>
      <c r="B149" s="124"/>
    </row>
    <row r="150" spans="1:2" x14ac:dyDescent="0.3">
      <c r="A150" s="124"/>
      <c r="B150" s="124"/>
    </row>
    <row r="151" spans="1:2" x14ac:dyDescent="0.3">
      <c r="A151" s="124"/>
      <c r="B151" s="124"/>
    </row>
    <row r="152" spans="1:2" x14ac:dyDescent="0.3">
      <c r="A152" s="124"/>
      <c r="B152" s="124"/>
    </row>
    <row r="153" spans="1:2" x14ac:dyDescent="0.3">
      <c r="A153" s="124"/>
      <c r="B153" s="124"/>
    </row>
    <row r="154" spans="1:2" x14ac:dyDescent="0.3">
      <c r="A154" s="124"/>
      <c r="B154" s="124"/>
    </row>
    <row r="155" spans="1:2" x14ac:dyDescent="0.3">
      <c r="A155" s="124"/>
      <c r="B155" s="124"/>
    </row>
    <row r="156" spans="1:2" x14ac:dyDescent="0.3">
      <c r="A156" s="124"/>
      <c r="B156" s="124"/>
    </row>
    <row r="157" spans="1:2" x14ac:dyDescent="0.3">
      <c r="A157" s="124"/>
      <c r="B157" s="124"/>
    </row>
    <row r="158" spans="1:2" x14ac:dyDescent="0.3">
      <c r="A158" s="124"/>
      <c r="B158" s="124"/>
    </row>
    <row r="159" spans="1:2" x14ac:dyDescent="0.3">
      <c r="A159" s="124"/>
      <c r="B159" s="124"/>
    </row>
    <row r="160" spans="1:2" x14ac:dyDescent="0.3">
      <c r="A160" s="124"/>
      <c r="B160" s="124"/>
    </row>
    <row r="161" spans="1:2" x14ac:dyDescent="0.3">
      <c r="A161" s="124"/>
      <c r="B161" s="124"/>
    </row>
    <row r="162" spans="1:2" x14ac:dyDescent="0.3">
      <c r="A162" s="124"/>
      <c r="B162" s="124"/>
    </row>
    <row r="163" spans="1:2" x14ac:dyDescent="0.3">
      <c r="A163" s="124"/>
      <c r="B163" s="124"/>
    </row>
    <row r="164" spans="1:2" x14ac:dyDescent="0.3">
      <c r="A164" s="124"/>
      <c r="B164" s="124"/>
    </row>
    <row r="165" spans="1:2" x14ac:dyDescent="0.3">
      <c r="A165" s="124"/>
      <c r="B165" s="124"/>
    </row>
    <row r="166" spans="1:2" x14ac:dyDescent="0.3">
      <c r="A166" s="124"/>
      <c r="B166" s="124"/>
    </row>
    <row r="167" spans="1:2" x14ac:dyDescent="0.3">
      <c r="A167" s="124"/>
      <c r="B167" s="124"/>
    </row>
    <row r="168" spans="1:2" x14ac:dyDescent="0.3">
      <c r="A168" s="124"/>
      <c r="B168" s="124"/>
    </row>
    <row r="169" spans="1:2" x14ac:dyDescent="0.3">
      <c r="A169" s="124"/>
      <c r="B169" s="124"/>
    </row>
    <row r="170" spans="1:2" x14ac:dyDescent="0.3">
      <c r="A170" s="124"/>
      <c r="B170" s="124"/>
    </row>
    <row r="171" spans="1:2" x14ac:dyDescent="0.3">
      <c r="A171" s="124"/>
      <c r="B171" s="124"/>
    </row>
    <row r="172" spans="1:2" x14ac:dyDescent="0.3">
      <c r="A172" s="124"/>
      <c r="B172" s="124"/>
    </row>
    <row r="173" spans="1:2" x14ac:dyDescent="0.3">
      <c r="A173" s="124"/>
      <c r="B173" s="124"/>
    </row>
    <row r="174" spans="1:2" x14ac:dyDescent="0.3">
      <c r="A174" s="124"/>
      <c r="B174" s="124"/>
    </row>
    <row r="175" spans="1:2" x14ac:dyDescent="0.3">
      <c r="A175" s="124"/>
      <c r="B175" s="124"/>
    </row>
    <row r="176" spans="1:2" x14ac:dyDescent="0.3">
      <c r="A176" s="124"/>
      <c r="B176" s="124"/>
    </row>
    <row r="177" spans="1:2" x14ac:dyDescent="0.3">
      <c r="A177" s="124"/>
      <c r="B177" s="124"/>
    </row>
    <row r="178" spans="1:2" x14ac:dyDescent="0.3">
      <c r="A178" s="124"/>
      <c r="B178" s="124"/>
    </row>
    <row r="179" spans="1:2" x14ac:dyDescent="0.3">
      <c r="A179" s="124"/>
      <c r="B179" s="124"/>
    </row>
    <row r="180" spans="1:2" x14ac:dyDescent="0.3">
      <c r="A180" s="124"/>
      <c r="B180" s="124"/>
    </row>
    <row r="181" spans="1:2" x14ac:dyDescent="0.3">
      <c r="A181" s="124"/>
      <c r="B181" s="124"/>
    </row>
    <row r="182" spans="1:2" x14ac:dyDescent="0.3">
      <c r="A182" s="124"/>
      <c r="B182" s="124"/>
    </row>
    <row r="183" spans="1:2" x14ac:dyDescent="0.3">
      <c r="A183" s="124"/>
      <c r="B183" s="124"/>
    </row>
    <row r="184" spans="1:2" x14ac:dyDescent="0.3">
      <c r="A184" s="124"/>
      <c r="B184" s="124"/>
    </row>
    <row r="185" spans="1:2" x14ac:dyDescent="0.3">
      <c r="A185" s="124"/>
      <c r="B185" s="124"/>
    </row>
    <row r="186" spans="1:2" x14ac:dyDescent="0.3">
      <c r="A186" s="124"/>
      <c r="B186" s="124"/>
    </row>
    <row r="187" spans="1:2" x14ac:dyDescent="0.3">
      <c r="A187" s="124"/>
      <c r="B187" s="124"/>
    </row>
    <row r="188" spans="1:2" x14ac:dyDescent="0.3">
      <c r="A188" s="124"/>
      <c r="B188" s="124"/>
    </row>
    <row r="189" spans="1:2" x14ac:dyDescent="0.3">
      <c r="A189" s="124"/>
      <c r="B189" s="124"/>
    </row>
    <row r="190" spans="1:2" x14ac:dyDescent="0.3">
      <c r="A190" s="124"/>
      <c r="B190" s="124"/>
    </row>
    <row r="191" spans="1:2" x14ac:dyDescent="0.3">
      <c r="A191" s="124"/>
      <c r="B191" s="124"/>
    </row>
    <row r="192" spans="1:2" x14ac:dyDescent="0.3">
      <c r="A192" s="124"/>
      <c r="B192" s="124"/>
    </row>
    <row r="193" spans="1:2" x14ac:dyDescent="0.3">
      <c r="A193" s="124"/>
      <c r="B193" s="124"/>
    </row>
    <row r="194" spans="1:2" x14ac:dyDescent="0.3">
      <c r="A194" s="124"/>
      <c r="B194" s="124"/>
    </row>
    <row r="195" spans="1:2" x14ac:dyDescent="0.3">
      <c r="A195" s="124"/>
      <c r="B195" s="124"/>
    </row>
    <row r="196" spans="1:2" x14ac:dyDescent="0.3">
      <c r="A196" s="124"/>
      <c r="B196" s="124"/>
    </row>
    <row r="197" spans="1:2" x14ac:dyDescent="0.3">
      <c r="A197" s="124"/>
      <c r="B197" s="124"/>
    </row>
    <row r="198" spans="1:2" x14ac:dyDescent="0.3">
      <c r="A198" s="124"/>
      <c r="B198" s="124"/>
    </row>
    <row r="199" spans="1:2" x14ac:dyDescent="0.3">
      <c r="A199" s="124"/>
      <c r="B199" s="124"/>
    </row>
    <row r="200" spans="1:2" x14ac:dyDescent="0.3">
      <c r="A200" s="124"/>
      <c r="B200" s="124"/>
    </row>
  </sheetData>
  <mergeCells count="24">
    <mergeCell ref="F29:H29"/>
    <mergeCell ref="I29:K29"/>
    <mergeCell ref="L29:N29"/>
    <mergeCell ref="O29:R29"/>
    <mergeCell ref="K11:L11"/>
    <mergeCell ref="K12:L12"/>
    <mergeCell ref="K13:L13"/>
    <mergeCell ref="G12:H12"/>
    <mergeCell ref="G9:H9"/>
    <mergeCell ref="K9:L9"/>
    <mergeCell ref="G10:H10"/>
    <mergeCell ref="K10:L10"/>
    <mergeCell ref="G11:H11"/>
    <mergeCell ref="G6:H6"/>
    <mergeCell ref="K6:L6"/>
    <mergeCell ref="G7:H7"/>
    <mergeCell ref="K7:L7"/>
    <mergeCell ref="G8:H8"/>
    <mergeCell ref="K8:L8"/>
    <mergeCell ref="A1:B1"/>
    <mergeCell ref="A2:B2"/>
    <mergeCell ref="E4:H4"/>
    <mergeCell ref="G5:H5"/>
    <mergeCell ref="K5:L5"/>
  </mergeCells>
  <conditionalFormatting sqref="K31:K111">
    <cfRule type="expression" dxfId="13" priority="10">
      <formula>AND(ISNUMBER(K31),K31&gt;0.00000001)</formula>
    </cfRule>
    <cfRule type="expression" dxfId="12" priority="11">
      <formula>AND(ISNUMBER(K31),K31&lt;=0.0000000001)</formula>
    </cfRule>
  </conditionalFormatting>
  <conditionalFormatting sqref="N31:N111">
    <cfRule type="expression" dxfId="11" priority="7">
      <formula>AND(ISNUMBER(N31),N31&gt;0.00000001)</formula>
    </cfRule>
    <cfRule type="expression" dxfId="10" priority="8">
      <formula>AND(ISNUMBER(N31),N31&lt;=0.0000000001)</formula>
    </cfRule>
  </conditionalFormatting>
  <conditionalFormatting sqref="R31:R111">
    <cfRule type="expression" dxfId="9" priority="5">
      <formula>AND(ISNUMBER(R31),R31&gt;0.00000001)</formula>
    </cfRule>
    <cfRule type="expression" dxfId="8" priority="6">
      <formula>AND(ISNUMBER(R31),R31&lt;=0.0000000001)</formula>
    </cfRule>
  </conditionalFormatting>
  <conditionalFormatting sqref="K115:K119">
    <cfRule type="expression" dxfId="7" priority="3">
      <formula>AND(ISNUMBER(K115),K115&gt;0.00000001)</formula>
    </cfRule>
    <cfRule type="expression" dxfId="6" priority="4">
      <formula>AND(ISNUMBER(K115),K115&lt;=0.0000000001)</formula>
    </cfRule>
  </conditionalFormatting>
  <conditionalFormatting sqref="N115:N119">
    <cfRule type="expression" dxfId="5" priority="1">
      <formula>AND(ISNUMBER(N115),N115&gt;0.00000001)</formula>
    </cfRule>
    <cfRule type="expression" dxfId="4" priority="2">
      <formula>AND(ISNUMBER(N115),N115&lt;=0.0000000001)</formula>
    </cfRule>
  </conditionalFormatting>
  <dataValidations disablePrompts="1" count="2">
    <dataValidation type="decimal" operator="greaterThan" allowBlank="1" showInputMessage="1" showErrorMessage="1" sqref="F6" xr:uid="{EB4282D2-EF9A-4F9C-BA0D-687CAAA6388B}">
      <formula1>0</formula1>
    </dataValidation>
    <dataValidation type="decimal" allowBlank="1" showInputMessage="1" showErrorMessage="1" sqref="F8" xr:uid="{69D1BC71-7EFC-45EC-949A-755F5A21C944}">
      <formula1>0</formula1>
      <formula2>1</formula2>
    </dataValidation>
  </dataValidations>
  <hyperlinks>
    <hyperlink ref="B3" location="'HOME'!D1" display="HOME" xr:uid="{D3EFCDE6-C887-4A75-AB2D-D550166A80A2}"/>
    <hyperlink ref="B4" location="'NORMAL'!D1" display="NORMAL" xr:uid="{2035A323-B0A5-4FA6-9529-49E3E9C80BB7}"/>
    <hyperlink ref="B5" location="'LOGNORMAL'!D1" display="LOGNORMAL" xr:uid="{2FE05D13-930F-4AB5-96E8-AC34ED4FE20A}"/>
    <hyperlink ref="B6" location="'BENCHMARK_NORMALFAMILY'!D1" display="BENCHMARK_NORMALFAMILY" xr:uid="{43732DF7-EE07-4160-B2AC-2A9BDE5E7F87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E278-E85F-400F-A621-E9867C7F5309}">
  <sheetPr codeName="Sheet1"/>
  <dimension ref="A1:Z1000"/>
  <sheetViews>
    <sheetView showGridLines="0" tabSelected="1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C4" sqref="C4"/>
    </sheetView>
  </sheetViews>
  <sheetFormatPr defaultRowHeight="16.5" x14ac:dyDescent="0.3"/>
  <cols>
    <col min="1" max="1" width="5.625" style="146" customWidth="1"/>
    <col min="2" max="2" width="20.625" style="146" customWidth="1"/>
    <col min="3" max="4" width="3.625" style="146" customWidth="1"/>
    <col min="5" max="5" width="6.25" style="146" bestFit="1" customWidth="1"/>
    <col min="6" max="6" width="15.625" style="146" bestFit="1" customWidth="1"/>
    <col min="7" max="7" width="15.5" style="146" bestFit="1" customWidth="1"/>
    <col min="8" max="8" width="9.125" style="146" bestFit="1" customWidth="1"/>
    <col min="9" max="9" width="19.375" style="146" bestFit="1" customWidth="1"/>
    <col min="10" max="13" width="7.25" style="146" bestFit="1" customWidth="1"/>
    <col min="14" max="18" width="20.625" style="146" customWidth="1"/>
    <col min="19" max="19" width="13" style="146" bestFit="1" customWidth="1"/>
    <col min="20" max="20" width="11.375" style="146" bestFit="1" customWidth="1"/>
    <col min="21" max="21" width="12.625" style="146" bestFit="1" customWidth="1"/>
    <col min="22" max="22" width="9.5" style="146" bestFit="1" customWidth="1"/>
    <col min="23" max="23" width="9" style="146" bestFit="1" customWidth="1"/>
    <col min="24" max="24" width="61.625" style="146" bestFit="1" customWidth="1"/>
    <col min="25" max="16384" width="9" style="146"/>
  </cols>
  <sheetData>
    <row r="1" spans="1:26" s="1" customFormat="1" ht="32.1" customHeight="1" x14ac:dyDescent="0.3">
      <c r="A1" s="159" t="s">
        <v>198</v>
      </c>
      <c r="B1" s="159"/>
      <c r="D1" s="2" t="s">
        <v>320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6" s="1" customFormat="1" ht="24" customHeight="1" x14ac:dyDescent="0.3">
      <c r="A2" s="160" t="s">
        <v>199</v>
      </c>
      <c r="B2" s="160"/>
      <c r="D2" s="145" t="s">
        <v>321</v>
      </c>
      <c r="E2" s="3"/>
      <c r="F2" s="3"/>
      <c r="G2" s="4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6" x14ac:dyDescent="0.3">
      <c r="A3" s="122" t="s">
        <v>208</v>
      </c>
      <c r="B3" s="121" t="s">
        <v>209</v>
      </c>
    </row>
    <row r="4" spans="1:26" x14ac:dyDescent="0.3">
      <c r="A4" s="122" t="s">
        <v>204</v>
      </c>
      <c r="B4" s="121" t="s">
        <v>205</v>
      </c>
      <c r="E4" s="147" t="s">
        <v>322</v>
      </c>
      <c r="F4" s="148" t="s">
        <v>66</v>
      </c>
      <c r="G4" s="148" t="s">
        <v>215</v>
      </c>
      <c r="H4" s="148" t="s">
        <v>216</v>
      </c>
      <c r="I4" s="148" t="s">
        <v>217</v>
      </c>
      <c r="J4" s="148" t="s">
        <v>218</v>
      </c>
      <c r="K4" s="148" t="s">
        <v>219</v>
      </c>
      <c r="L4" s="148" t="s">
        <v>220</v>
      </c>
      <c r="M4" s="148" t="s">
        <v>221</v>
      </c>
      <c r="N4" s="148" t="s">
        <v>222</v>
      </c>
      <c r="O4" s="148" t="s">
        <v>223</v>
      </c>
      <c r="P4" s="148" t="s">
        <v>224</v>
      </c>
      <c r="Q4" s="148" t="s">
        <v>225</v>
      </c>
      <c r="R4" s="148" t="s">
        <v>226</v>
      </c>
      <c r="S4" s="148" t="s">
        <v>75</v>
      </c>
      <c r="T4" s="148" t="s">
        <v>227</v>
      </c>
      <c r="U4" s="148" t="s">
        <v>323</v>
      </c>
      <c r="V4" s="148" t="s">
        <v>222</v>
      </c>
      <c r="W4" s="148" t="s">
        <v>223</v>
      </c>
      <c r="X4" s="149" t="s">
        <v>8</v>
      </c>
      <c r="Z4" s="150"/>
    </row>
    <row r="5" spans="1:26" x14ac:dyDescent="0.3">
      <c r="A5" s="122" t="s">
        <v>206</v>
      </c>
      <c r="B5" s="121" t="s">
        <v>207</v>
      </c>
      <c r="E5" s="151" cm="1">
        <f t="array" ref="E5:E55">_xlfn.SEQUENCE(51)</f>
        <v>1</v>
      </c>
      <c r="F5" s="153" t="s">
        <v>228</v>
      </c>
      <c r="G5" s="153" t="s">
        <v>229</v>
      </c>
      <c r="H5" s="153" t="s">
        <v>72</v>
      </c>
      <c r="I5" s="153" t="s">
        <v>230</v>
      </c>
      <c r="J5" s="154">
        <v>1</v>
      </c>
      <c r="K5" s="154"/>
      <c r="L5" s="154"/>
      <c r="M5" s="154"/>
      <c r="N5" s="155">
        <f>_xlfn.NORM.S.DIST(J5,FALSE)</f>
        <v>0.24197072451914337</v>
      </c>
      <c r="O5" s="155" cm="1">
        <f t="array" ref="O5">K_STATS_NormalStandard_Density(J5)</f>
        <v>0.24197072451914337</v>
      </c>
      <c r="P5" s="155" cm="1">
        <f t="array" ref="P5:P55">_xlfn._xlws.PY(6,0,G5:G55,J5:M55)</f>
        <v>0.24197072451914337</v>
      </c>
      <c r="Q5" s="155">
        <f t="shared" ref="Q5:Q36" si="0">IF(ISNUMBER(P5),IF(ISNUMBER(O5),IF(P5&lt;&gt;0,ABS(O5-P5)/ABS(P5),""),""),"")</f>
        <v>0</v>
      </c>
      <c r="R5" s="155">
        <f t="shared" ref="R5:R36" si="1">IF(ISNUMBER(P5),IF(ISNUMBER(N5),IF(P5&lt;&gt;0,ABS(N5-P5)/ABS(P5),""),""),"")</f>
        <v>0</v>
      </c>
      <c r="S5" s="153" t="s">
        <v>231</v>
      </c>
      <c r="T5" s="156" t="str">
        <f>IF($S5="#NUM!",IF(ISERROR($O5),"OK","FAIL"),IF(ISNUMBER($P5),IF(ISNUMBER($O5),IF($P5=0,IF(ABS($O5)&lt;=0.000001,"OK","CHECK"),IF(ABS($O5-$P5)/ABS($P5)&lt;=0.000001,"OK","CHECK")),"CHECK"),"?"))</f>
        <v>OK</v>
      </c>
      <c r="U5" s="153" t="s">
        <v>315</v>
      </c>
      <c r="V5" s="156" t="str">
        <f>IF(ISNUMBER($P5),IF(ISNUMBER($N5),IF($P5=0,IF(ABS($N5)&lt;=0.000001,"right","wrong"),IF(ABS($N5-$P5)/ABS($P5)&lt;=0.000001,"right","wrong")),"wrong"),IF(ISERROR($N5),"right","wrong"))</f>
        <v>right</v>
      </c>
      <c r="W5" s="156" t="str">
        <f>IF(ISNUMBER($P5),IF(ISNUMBER($O5),IF($P5=0,IF(ABS($O5)&lt;=0.000001,"right","wrong"),IF(ABS($O5-$P5)/ABS($P5)&lt;=0.000001,"right","wrong")),"wrong"),IF(ISERROR($O5),"right","wrong"))</f>
        <v>right</v>
      </c>
      <c r="X5" s="225" t="s">
        <v>232</v>
      </c>
    </row>
    <row r="6" spans="1:26" x14ac:dyDescent="0.3">
      <c r="A6" s="123" t="s">
        <v>214</v>
      </c>
      <c r="B6" s="119" t="s">
        <v>335</v>
      </c>
      <c r="E6" s="151">
        <v>2</v>
      </c>
      <c r="F6" s="153" t="s">
        <v>228</v>
      </c>
      <c r="G6" s="153" t="s">
        <v>233</v>
      </c>
      <c r="H6" s="153" t="s">
        <v>72</v>
      </c>
      <c r="I6" s="153" t="s">
        <v>234</v>
      </c>
      <c r="J6" s="154">
        <v>1.96</v>
      </c>
      <c r="K6" s="154"/>
      <c r="L6" s="154"/>
      <c r="M6" s="154"/>
      <c r="N6" s="155">
        <f>_xlfn.NORM.S.DIST(J6,TRUE)</f>
        <v>0.97500210485177952</v>
      </c>
      <c r="O6" s="155" cm="1">
        <f t="array" ref="O6">K_STATS_NormalStandard_Cumulative(J6)</f>
        <v>0.97500210485177952</v>
      </c>
      <c r="P6" s="155">
        <v>0.97500210485177952</v>
      </c>
      <c r="Q6" s="155">
        <f t="shared" si="0"/>
        <v>0</v>
      </c>
      <c r="R6" s="155">
        <f t="shared" si="1"/>
        <v>0</v>
      </c>
      <c r="S6" s="153" t="s">
        <v>231</v>
      </c>
      <c r="T6" s="156" t="str">
        <f>IF($S6="#NUM!",IF(ISERROR($O6),"OK","FAIL"),IF(ISNUMBER($P6),IF(ISNUMBER($O6),IF($P6=0,IF(ABS($O6)&lt;=0.000001,"OK","CHECK"),IF(ABS($O6-$P6)/ABS($P6)&lt;=0.000001,"OK","CHECK")),"CHECK"),"?"))</f>
        <v>OK</v>
      </c>
      <c r="U6" s="153" t="s">
        <v>315</v>
      </c>
      <c r="V6" s="156" t="str">
        <f>IF(ISNUMBER($P6),IF(ISNUMBER($N6),IF($P6=0,IF(ABS($N6)&lt;=0.000001,"right","wrong"),IF(ABS($N6-$P6)/ABS($P6)&lt;=0.000001,"right","wrong")),"wrong"),IF(ISERROR($N6),"right","wrong"))</f>
        <v>right</v>
      </c>
      <c r="W6" s="156" t="str">
        <f>IF(ISNUMBER($P6),IF(ISNUMBER($O6),IF($P6=0,IF(ABS($O6)&lt;=0.000001,"right","wrong"),IF(ABS($O6-$P6)/ABS($P6)&lt;=0.000001,"right","wrong")),"wrong"),IF(ISERROR($O6),"right","wrong"))</f>
        <v>right</v>
      </c>
      <c r="X6" s="225" t="s">
        <v>235</v>
      </c>
    </row>
    <row r="7" spans="1:26" x14ac:dyDescent="0.3">
      <c r="A7" s="115"/>
      <c r="B7" s="115"/>
      <c r="E7" s="151">
        <v>3</v>
      </c>
      <c r="F7" s="153" t="s">
        <v>228</v>
      </c>
      <c r="G7" s="153" t="s">
        <v>233</v>
      </c>
      <c r="H7" s="153" t="s">
        <v>236</v>
      </c>
      <c r="I7" s="153" t="s">
        <v>237</v>
      </c>
      <c r="J7" s="154">
        <v>40</v>
      </c>
      <c r="K7" s="154"/>
      <c r="L7" s="154"/>
      <c r="M7" s="154"/>
      <c r="N7" s="155">
        <f>_xlfn.NORM.S.DIST(J7,TRUE)</f>
        <v>1</v>
      </c>
      <c r="O7" s="155" cm="1">
        <f t="array" ref="O7">K_STATS_NormalStandard_Cumulative(J7)</f>
        <v>1</v>
      </c>
      <c r="P7" s="155">
        <v>1</v>
      </c>
      <c r="Q7" s="155">
        <f t="shared" si="0"/>
        <v>0</v>
      </c>
      <c r="R7" s="155">
        <f t="shared" si="1"/>
        <v>0</v>
      </c>
      <c r="S7" s="153" t="s">
        <v>231</v>
      </c>
      <c r="T7" s="156" t="str">
        <f>IF($S7="#NUM!",IF(ISERROR($O7),"OK","FAIL"),IF(ISNUMBER($P7),IF(ISNUMBER($O7),IF($P7=0,IF(ABS($O7)&lt;=0.000001,"OK","CHECK"),IF(ABS($O7-$P7)/ABS($P7)&lt;=0.000001,"OK","CHECK")),"CHECK"),"?"))</f>
        <v>OK</v>
      </c>
      <c r="U7" s="153" t="s">
        <v>315</v>
      </c>
      <c r="V7" s="156" t="str">
        <f>IF(ISNUMBER($P7),IF(ISNUMBER($N7),IF($P7=0,IF(ABS($N7)&lt;=0.000001,"right","wrong"),IF(ABS($N7-$P7)/ABS($P7)&lt;=0.000001,"right","wrong")),"wrong"),IF(ISERROR($N7),"right","wrong"))</f>
        <v>right</v>
      </c>
      <c r="W7" s="156" t="str">
        <f>IF(ISNUMBER($P7),IF(ISNUMBER($O7),IF($P7=0,IF(ABS($O7)&lt;=0.000001,"right","wrong"),IF(ABS($O7-$P7)/ABS($P7)&lt;=0.000001,"right","wrong")),"wrong"),IF(ISERROR($O7),"right","wrong"))</f>
        <v>right</v>
      </c>
      <c r="X7" s="225" t="s">
        <v>238</v>
      </c>
    </row>
    <row r="8" spans="1:26" x14ac:dyDescent="0.3">
      <c r="A8" s="115"/>
      <c r="B8" s="115"/>
      <c r="C8" s="224"/>
      <c r="E8" s="151">
        <v>4</v>
      </c>
      <c r="F8" s="153" t="s">
        <v>228</v>
      </c>
      <c r="G8" s="153" t="s">
        <v>239</v>
      </c>
      <c r="H8" s="153" t="s">
        <v>72</v>
      </c>
      <c r="I8" s="153" t="s">
        <v>234</v>
      </c>
      <c r="J8" s="154">
        <v>1.96</v>
      </c>
      <c r="K8" s="154"/>
      <c r="L8" s="154"/>
      <c r="M8" s="154"/>
      <c r="N8" s="155">
        <f>1-_xlfn.NORM.S.DIST(J8,TRUE)</f>
        <v>2.4997895148220484E-2</v>
      </c>
      <c r="O8" s="155" cm="1">
        <f t="array" ref="O8">K_STATS_NormalStandard_Survival(J8)</f>
        <v>2.4997895148220456E-2</v>
      </c>
      <c r="P8" s="155">
        <v>2.4997895148220435E-2</v>
      </c>
      <c r="Q8" s="155">
        <f t="shared" si="0"/>
        <v>8.3273738001911713E-16</v>
      </c>
      <c r="R8" s="155">
        <f t="shared" si="1"/>
        <v>1.9430538867112732E-15</v>
      </c>
      <c r="S8" s="153" t="s">
        <v>231</v>
      </c>
      <c r="T8" s="156" t="str">
        <f>IF($S8="#NUM!",IF(ISERROR($O8),"OK","FAIL"),IF(ISNUMBER($P8),IF(ISNUMBER($O8),IF($P8=0,IF(ABS($O8)&lt;=0.000001,"OK","CHECK"),IF(ABS($O8-$P8)/ABS($P8)&lt;=0.000001,"OK","CHECK")),"CHECK"),"?"))</f>
        <v>OK</v>
      </c>
      <c r="U8" s="153" t="s">
        <v>315</v>
      </c>
      <c r="V8" s="156" t="str">
        <f>IF(ISNUMBER($P8),IF(ISNUMBER($N8),IF($P8=0,IF(ABS($N8)&lt;=0.000001,"right","wrong"),IF(ABS($N8-$P8)/ABS($P8)&lt;=0.000001,"right","wrong")),"wrong"),IF(ISERROR($N8),"right","wrong"))</f>
        <v>right</v>
      </c>
      <c r="W8" s="156" t="str">
        <f>IF(ISNUMBER($P8),IF(ISNUMBER($O8),IF($P8=0,IF(ABS($O8)&lt;=0.000001,"right","wrong"),IF(ABS($O8-$P8)/ABS($P8)&lt;=0.000001,"right","wrong")),"wrong"),IF(ISERROR($O8),"right","wrong"))</f>
        <v>right</v>
      </c>
      <c r="X8" s="225" t="s">
        <v>240</v>
      </c>
    </row>
    <row r="9" spans="1:26" x14ac:dyDescent="0.3">
      <c r="A9" s="115"/>
      <c r="B9" s="115"/>
      <c r="C9" s="224"/>
      <c r="E9" s="151">
        <v>5</v>
      </c>
      <c r="F9" s="153" t="s">
        <v>228</v>
      </c>
      <c r="G9" s="153" t="s">
        <v>239</v>
      </c>
      <c r="H9" s="153" t="s">
        <v>236</v>
      </c>
      <c r="I9" s="153" t="s">
        <v>241</v>
      </c>
      <c r="J9" s="154">
        <v>9</v>
      </c>
      <c r="K9" s="154"/>
      <c r="L9" s="154"/>
      <c r="M9" s="154"/>
      <c r="N9" s="155">
        <f>1-_xlfn.NORM.S.DIST(J9,TRUE)</f>
        <v>0</v>
      </c>
      <c r="O9" s="155" cm="1">
        <f t="array" ref="O9">K_STATS_NormalStandard_Survival(J9)</f>
        <v>1.1285884059538408E-19</v>
      </c>
      <c r="P9" s="155">
        <v>1.1285884059538324E-19</v>
      </c>
      <c r="Q9" s="155">
        <f t="shared" si="0"/>
        <v>7.4659135804012865E-15</v>
      </c>
      <c r="R9" s="155">
        <f t="shared" si="1"/>
        <v>1</v>
      </c>
      <c r="S9" s="153" t="s">
        <v>231</v>
      </c>
      <c r="T9" s="156" t="str">
        <f>IF($S9="#NUM!",IF(ISERROR($O9),"OK","FAIL"),IF(ISNUMBER($P9),IF(ISNUMBER($O9),IF($P9=0,IF(ABS($O9)&lt;=0.000001,"OK","CHECK"),IF(ABS($O9-$P9)/ABS($P9)&lt;=0.000001,"OK","CHECK")),"CHECK"),"?"))</f>
        <v>OK</v>
      </c>
      <c r="U9" s="153" t="s">
        <v>324</v>
      </c>
      <c r="V9" s="156" t="str">
        <f>IF(ISNUMBER($P9),IF(ISNUMBER($N9),IF($P9=0,IF(ABS($N9)&lt;=0.000001,"right","wrong"),IF(ABS($N9-$P9)/ABS($P9)&lt;=0.000001,"right","wrong")),"wrong"),IF(ISERROR($N9),"right","wrong"))</f>
        <v>wrong</v>
      </c>
      <c r="W9" s="156" t="str">
        <f>IF(ISNUMBER($P9),IF(ISNUMBER($O9),IF($P9=0,IF(ABS($O9)&lt;=0.000001,"right","wrong"),IF(ABS($O9-$P9)/ABS($P9)&lt;=0.000001,"right","wrong")),"wrong"),IF(ISERROR($O9),"right","wrong"))</f>
        <v>right</v>
      </c>
      <c r="X9" s="225" t="s">
        <v>242</v>
      </c>
    </row>
    <row r="10" spans="1:26" x14ac:dyDescent="0.3">
      <c r="A10" s="115"/>
      <c r="B10" s="115"/>
      <c r="C10" s="224"/>
      <c r="E10" s="151">
        <v>6</v>
      </c>
      <c r="F10" s="153" t="s">
        <v>228</v>
      </c>
      <c r="G10" s="153" t="s">
        <v>243</v>
      </c>
      <c r="H10" s="153" t="s">
        <v>72</v>
      </c>
      <c r="I10" s="153" t="s">
        <v>244</v>
      </c>
      <c r="J10" s="154">
        <v>0.97499999999999998</v>
      </c>
      <c r="K10" s="154"/>
      <c r="L10" s="154"/>
      <c r="M10" s="154"/>
      <c r="N10" s="155">
        <f>_xlfn.NORM.S.INV(J10)</f>
        <v>1.9599639845400536</v>
      </c>
      <c r="O10" s="155" cm="1">
        <f t="array" ref="O10">K_STATS_NormalStandard_InverseCumulative(J10)</f>
        <v>1.9599639845400536</v>
      </c>
      <c r="P10" s="155">
        <v>1.959963984540054</v>
      </c>
      <c r="Q10" s="155">
        <f t="shared" si="0"/>
        <v>2.2658029094053852E-16</v>
      </c>
      <c r="R10" s="155">
        <f t="shared" si="1"/>
        <v>2.2658029094053852E-16</v>
      </c>
      <c r="S10" s="153" t="s">
        <v>231</v>
      </c>
      <c r="T10" s="156" t="str">
        <f>IF($S10="#NUM!",IF(ISERROR($O10),"OK","FAIL"),IF(ISNUMBER($P10),IF(ISNUMBER($O10),IF($P10=0,IF(ABS($O10)&lt;=0.000001,"OK","CHECK"),IF(ABS($O10-$P10)/ABS($P10)&lt;=0.000001,"OK","CHECK")),"CHECK"),"?"))</f>
        <v>OK</v>
      </c>
      <c r="U10" s="153" t="s">
        <v>315</v>
      </c>
      <c r="V10" s="156" t="str">
        <f>IF(ISNUMBER($P10),IF(ISNUMBER($N10),IF($P10=0,IF(ABS($N10)&lt;=0.000001,"right","wrong"),IF(ABS($N10-$P10)/ABS($P10)&lt;=0.000001,"right","wrong")),"wrong"),IF(ISERROR($N10),"right","wrong"))</f>
        <v>right</v>
      </c>
      <c r="W10" s="156" t="str">
        <f>IF(ISNUMBER($P10),IF(ISNUMBER($O10),IF($P10=0,IF(ABS($O10)&lt;=0.000001,"right","wrong"),IF(ABS($O10-$P10)/ABS($P10)&lt;=0.000001,"right","wrong")),"wrong"),IF(ISERROR($O10),"right","wrong"))</f>
        <v>right</v>
      </c>
      <c r="X10" s="225" t="s">
        <v>314</v>
      </c>
    </row>
    <row r="11" spans="1:26" x14ac:dyDescent="0.3">
      <c r="A11" s="115"/>
      <c r="B11" s="115"/>
      <c r="C11" s="224"/>
      <c r="E11" s="151">
        <v>7</v>
      </c>
      <c r="F11" s="153" t="s">
        <v>228</v>
      </c>
      <c r="G11" s="153" t="s">
        <v>243</v>
      </c>
      <c r="H11" s="153" t="s">
        <v>236</v>
      </c>
      <c r="I11" s="153" t="s">
        <v>245</v>
      </c>
      <c r="J11" s="154">
        <v>0</v>
      </c>
      <c r="K11" s="154"/>
      <c r="L11" s="154"/>
      <c r="M11" s="154"/>
      <c r="N11" s="155" t="e">
        <f>_xlfn.NORM.S.INV(J11)</f>
        <v>#NUM!</v>
      </c>
      <c r="O11" s="155" t="e" cm="1">
        <f t="array" ref="O11">K_STATS_NormalStandard_InverseCumulative(J11)</f>
        <v>#NUM!</v>
      </c>
      <c r="P11" s="155" t="e">
        <v>#NUM!</v>
      </c>
      <c r="Q11" s="155" t="str">
        <f t="shared" si="0"/>
        <v/>
      </c>
      <c r="R11" s="155" t="str">
        <f t="shared" si="1"/>
        <v/>
      </c>
      <c r="S11" s="153" t="s">
        <v>81</v>
      </c>
      <c r="T11" s="156" t="str">
        <f>IF($S11="#NUM!",IF(ISERROR($O11),"OK","FAIL"),IF(ISNUMBER($P11),IF(ISNUMBER($O11),IF($P11=0,IF(ABS($O11)&lt;=0.000001,"OK","CHECK"),IF(ABS($O11-$P11)/ABS($P11)&lt;=0.000001,"OK","CHECK")),"CHECK"),"?"))</f>
        <v>OK</v>
      </c>
      <c r="U11" s="153" t="s">
        <v>325</v>
      </c>
      <c r="V11" s="156" t="str">
        <f>IF(ISNUMBER($P11),IF(ISNUMBER($N11),IF($P11=0,IF(ABS($N11)&lt;=0.000001,"right","wrong"),IF(ABS($N11-$P11)/ABS($P11)&lt;=0.000001,"right","wrong")),"wrong"),IF(ISERROR($N11),"right","wrong"))</f>
        <v>right</v>
      </c>
      <c r="W11" s="156" t="str">
        <f>IF(ISNUMBER($P11),IF(ISNUMBER($O11),IF($P11=0,IF(ABS($O11)&lt;=0.000001,"right","wrong"),IF(ABS($O11-$P11)/ABS($P11)&lt;=0.000001,"right","wrong")),"wrong"),IF(ISERROR($O11),"right","wrong"))</f>
        <v>right</v>
      </c>
      <c r="X11" s="225" t="s">
        <v>246</v>
      </c>
    </row>
    <row r="12" spans="1:26" x14ac:dyDescent="0.3">
      <c r="E12" s="151">
        <v>8</v>
      </c>
      <c r="F12" s="153" t="s">
        <v>228</v>
      </c>
      <c r="G12" s="153" t="s">
        <v>243</v>
      </c>
      <c r="H12" s="153" t="s">
        <v>236</v>
      </c>
      <c r="I12" s="153" t="s">
        <v>247</v>
      </c>
      <c r="J12" s="154">
        <v>1</v>
      </c>
      <c r="K12" s="154"/>
      <c r="L12" s="154"/>
      <c r="M12" s="154"/>
      <c r="N12" s="155" t="e">
        <f>_xlfn.NORM.S.INV(J12)</f>
        <v>#NUM!</v>
      </c>
      <c r="O12" s="155" t="e" cm="1">
        <f t="array" ref="O12">K_STATS_NormalStandard_InverseCumulative(J12)</f>
        <v>#NUM!</v>
      </c>
      <c r="P12" s="155" t="e">
        <v>#NUM!</v>
      </c>
      <c r="Q12" s="155" t="str">
        <f t="shared" si="0"/>
        <v/>
      </c>
      <c r="R12" s="155" t="str">
        <f t="shared" si="1"/>
        <v/>
      </c>
      <c r="S12" s="153" t="s">
        <v>81</v>
      </c>
      <c r="T12" s="156" t="str">
        <f>IF($S12="#NUM!",IF(ISERROR($O12),"OK","FAIL"),IF(ISNUMBER($P12),IF(ISNUMBER($O12),IF($P12=0,IF(ABS($O12)&lt;=0.000001,"OK","CHECK"),IF(ABS($O12-$P12)/ABS($P12)&lt;=0.000001,"OK","CHECK")),"CHECK"),"?"))</f>
        <v>OK</v>
      </c>
      <c r="U12" s="153" t="s">
        <v>325</v>
      </c>
      <c r="V12" s="156" t="str">
        <f>IF(ISNUMBER($P12),IF(ISNUMBER($N12),IF($P12=0,IF(ABS($N12)&lt;=0.000001,"right","wrong"),IF(ABS($N12-$P12)/ABS($P12)&lt;=0.000001,"right","wrong")),"wrong"),IF(ISERROR($N12),"right","wrong"))</f>
        <v>right</v>
      </c>
      <c r="W12" s="156" t="str">
        <f>IF(ISNUMBER($P12),IF(ISNUMBER($O12),IF($P12=0,IF(ABS($O12)&lt;=0.000001,"right","wrong"),IF(ABS($O12-$P12)/ABS($P12)&lt;=0.000001,"right","wrong")),"wrong"),IF(ISERROR($O12),"right","wrong"))</f>
        <v>right</v>
      </c>
      <c r="X12" s="225" t="s">
        <v>246</v>
      </c>
    </row>
    <row r="13" spans="1:26" x14ac:dyDescent="0.3">
      <c r="E13" s="151">
        <v>9</v>
      </c>
      <c r="F13" s="153" t="s">
        <v>228</v>
      </c>
      <c r="G13" s="153" t="s">
        <v>248</v>
      </c>
      <c r="H13" s="153" t="s">
        <v>72</v>
      </c>
      <c r="I13" s="153" t="s">
        <v>249</v>
      </c>
      <c r="J13" s="154">
        <v>2.5000000000000001E-2</v>
      </c>
      <c r="K13" s="154"/>
      <c r="L13" s="154"/>
      <c r="M13" s="154"/>
      <c r="N13" s="155">
        <f>_xlfn.NORM.S.INV(1-J13)</f>
        <v>1.9599639845400536</v>
      </c>
      <c r="O13" s="155" cm="1">
        <f t="array" ref="O13">K_STATS_NormalStandard_InverseSurvival(J13)</f>
        <v>1.9599639845400545</v>
      </c>
      <c r="P13" s="155">
        <v>1.9599639845400545</v>
      </c>
      <c r="Q13" s="155">
        <f t="shared" si="0"/>
        <v>0</v>
      </c>
      <c r="R13" s="155">
        <f t="shared" si="1"/>
        <v>4.5316058188107694E-16</v>
      </c>
      <c r="S13" s="153" t="s">
        <v>231</v>
      </c>
      <c r="T13" s="156" t="str">
        <f>IF($S13="#NUM!",IF(ISERROR($O13),"OK","FAIL"),IF(ISNUMBER($P13),IF(ISNUMBER($O13),IF($P13=0,IF(ABS($O13)&lt;=0.000001,"OK","CHECK"),IF(ABS($O13-$P13)/ABS($P13)&lt;=0.000001,"OK","CHECK")),"CHECK"),"?"))</f>
        <v>OK</v>
      </c>
      <c r="U13" s="153" t="s">
        <v>315</v>
      </c>
      <c r="V13" s="156" t="str">
        <f>IF(ISNUMBER($P13),IF(ISNUMBER($N13),IF($P13=0,IF(ABS($N13)&lt;=0.000001,"right","wrong"),IF(ABS($N13-$P13)/ABS($P13)&lt;=0.000001,"right","wrong")),"wrong"),IF(ISERROR($N13),"right","wrong"))</f>
        <v>right</v>
      </c>
      <c r="W13" s="156" t="str">
        <f>IF(ISNUMBER($P13),IF(ISNUMBER($O13),IF($P13=0,IF(ABS($O13)&lt;=0.000001,"right","wrong"),IF(ABS($O13-$P13)/ABS($P13)&lt;=0.000001,"right","wrong")),"wrong"),IF(ISERROR($O13),"right","wrong"))</f>
        <v>right</v>
      </c>
      <c r="X13" s="225" t="s">
        <v>250</v>
      </c>
    </row>
    <row r="14" spans="1:26" x14ac:dyDescent="0.3">
      <c r="E14" s="151">
        <v>10</v>
      </c>
      <c r="F14" s="153" t="s">
        <v>228</v>
      </c>
      <c r="G14" s="153" t="s">
        <v>248</v>
      </c>
      <c r="H14" s="153" t="s">
        <v>72</v>
      </c>
      <c r="I14" s="153" t="s">
        <v>251</v>
      </c>
      <c r="J14" s="154">
        <v>5.0000000000000001E-4</v>
      </c>
      <c r="K14" s="154"/>
      <c r="L14" s="154"/>
      <c r="M14" s="154"/>
      <c r="N14" s="155">
        <f>_xlfn.NORM.S.INV(1-J14)</f>
        <v>3.2905267314919255</v>
      </c>
      <c r="O14" s="155" cm="1">
        <f t="array" ref="O14">K_STATS_NormalStandard_InverseSurvival(J14)</f>
        <v>3.2905267314918967</v>
      </c>
      <c r="P14" s="155">
        <v>3.2905267314918945</v>
      </c>
      <c r="Q14" s="155">
        <f t="shared" si="0"/>
        <v>6.7479957783038078E-16</v>
      </c>
      <c r="R14" s="155">
        <f t="shared" si="1"/>
        <v>9.4471940896253309E-15</v>
      </c>
      <c r="S14" s="153" t="s">
        <v>231</v>
      </c>
      <c r="T14" s="156" t="str">
        <f>IF($S14="#NUM!",IF(ISERROR($O14),"OK","FAIL"),IF(ISNUMBER($P14),IF(ISNUMBER($O14),IF($P14=0,IF(ABS($O14)&lt;=0.000001,"OK","CHECK"),IF(ABS($O14-$P14)/ABS($P14)&lt;=0.000001,"OK","CHECK")),"CHECK"),"?"))</f>
        <v>OK</v>
      </c>
      <c r="U14" s="153" t="s">
        <v>315</v>
      </c>
      <c r="V14" s="156" t="str">
        <f>IF(ISNUMBER($P14),IF(ISNUMBER($N14),IF($P14=0,IF(ABS($N14)&lt;=0.000001,"right","wrong"),IF(ABS($N14-$P14)/ABS($P14)&lt;=0.000001,"right","wrong")),"wrong"),IF(ISERROR($N14),"right","wrong"))</f>
        <v>right</v>
      </c>
      <c r="W14" s="156" t="str">
        <f>IF(ISNUMBER($P14),IF(ISNUMBER($O14),IF($P14=0,IF(ABS($O14)&lt;=0.000001,"right","wrong"),IF(ABS($O14-$P14)/ABS($P14)&lt;=0.000001,"right","wrong")),"wrong"),IF(ISERROR($O14),"right","wrong"))</f>
        <v>right</v>
      </c>
      <c r="X14" s="225" t="s">
        <v>252</v>
      </c>
    </row>
    <row r="15" spans="1:26" x14ac:dyDescent="0.3">
      <c r="E15" s="151">
        <v>11</v>
      </c>
      <c r="F15" s="153" t="s">
        <v>228</v>
      </c>
      <c r="G15" s="153" t="s">
        <v>248</v>
      </c>
      <c r="H15" s="153" t="s">
        <v>236</v>
      </c>
      <c r="I15" s="153" t="s">
        <v>253</v>
      </c>
      <c r="J15" s="154">
        <v>1.0000000000000001E-18</v>
      </c>
      <c r="K15" s="154"/>
      <c r="L15" s="154"/>
      <c r="M15" s="154"/>
      <c r="N15" s="155" t="e">
        <f>_xlfn.NORM.S.INV(1-J15)</f>
        <v>#NUM!</v>
      </c>
      <c r="O15" s="155" cm="1">
        <f t="array" ref="O15">K_STATS_NormalStandard_InverseSurvival(J15)</f>
        <v>8.7572903487823144</v>
      </c>
      <c r="P15" s="155">
        <v>8.7572903487823162</v>
      </c>
      <c r="Q15" s="155">
        <f t="shared" si="0"/>
        <v>2.0284320476450222E-16</v>
      </c>
      <c r="R15" s="155" t="str">
        <f t="shared" si="1"/>
        <v/>
      </c>
      <c r="S15" s="153" t="s">
        <v>231</v>
      </c>
      <c r="T15" s="156" t="str">
        <f>IF($S15="#NUM!",IF(ISERROR($O15),"OK","FAIL"),IF(ISNUMBER($P15),IF(ISNUMBER($O15),IF($P15=0,IF(ABS($O15)&lt;=0.000001,"OK","CHECK"),IF(ABS($O15-$P15)/ABS($P15)&lt;=0.000001,"OK","CHECK")),"CHECK"),"?"))</f>
        <v>OK</v>
      </c>
      <c r="U15" s="153" t="s">
        <v>324</v>
      </c>
      <c r="V15" s="156" t="str">
        <f>IF(ISNUMBER($P15),IF(ISNUMBER($N15),IF($P15=0,IF(ABS($N15)&lt;=0.000001,"right","wrong"),IF(ABS($N15-$P15)/ABS($P15)&lt;=0.000001,"right","wrong")),"wrong"),IF(ISERROR($N15),"right","wrong"))</f>
        <v>wrong</v>
      </c>
      <c r="W15" s="156" t="str">
        <f>IF(ISNUMBER($P15),IF(ISNUMBER($O15),IF($P15=0,IF(ABS($O15)&lt;=0.000001,"right","wrong"),IF(ABS($O15-$P15)/ABS($P15)&lt;=0.000001,"right","wrong")),"wrong"),IF(ISERROR($O15),"right","wrong"))</f>
        <v>right</v>
      </c>
      <c r="X15" s="225" t="s">
        <v>254</v>
      </c>
    </row>
    <row r="16" spans="1:26" x14ac:dyDescent="0.3">
      <c r="E16" s="151">
        <v>12</v>
      </c>
      <c r="F16" s="153" t="s">
        <v>228</v>
      </c>
      <c r="G16" s="153" t="s">
        <v>248</v>
      </c>
      <c r="H16" s="153" t="s">
        <v>236</v>
      </c>
      <c r="I16" s="153" t="s">
        <v>255</v>
      </c>
      <c r="J16" s="154">
        <v>0</v>
      </c>
      <c r="K16" s="154"/>
      <c r="L16" s="154"/>
      <c r="M16" s="154"/>
      <c r="N16" s="155" t="e">
        <f>_xlfn.NORM.S.INV(1-J16)</f>
        <v>#NUM!</v>
      </c>
      <c r="O16" s="155" t="e" cm="1">
        <f t="array" ref="O16">K_STATS_NormalStandard_InverseSurvival(J16)</f>
        <v>#NUM!</v>
      </c>
      <c r="P16" s="155" t="e">
        <v>#NUM!</v>
      </c>
      <c r="Q16" s="155" t="str">
        <f t="shared" si="0"/>
        <v/>
      </c>
      <c r="R16" s="155" t="str">
        <f t="shared" si="1"/>
        <v/>
      </c>
      <c r="S16" s="153" t="s">
        <v>81</v>
      </c>
      <c r="T16" s="156" t="str">
        <f>IF($S16="#NUM!",IF(ISERROR($O16),"OK","FAIL"),IF(ISNUMBER($P16),IF(ISNUMBER($O16),IF($P16=0,IF(ABS($O16)&lt;=0.000001,"OK","CHECK"),IF(ABS($O16-$P16)/ABS($P16)&lt;=0.000001,"OK","CHECK")),"CHECK"),"?"))</f>
        <v>OK</v>
      </c>
      <c r="U16" s="153" t="s">
        <v>325</v>
      </c>
      <c r="V16" s="156" t="str">
        <f>IF(ISNUMBER($P16),IF(ISNUMBER($N16),IF($P16=0,IF(ABS($N16)&lt;=0.000001,"right","wrong"),IF(ABS($N16-$P16)/ABS($P16)&lt;=0.000001,"right","wrong")),"wrong"),IF(ISERROR($N16),"right","wrong"))</f>
        <v>right</v>
      </c>
      <c r="W16" s="156" t="str">
        <f>IF(ISNUMBER($P16),IF(ISNUMBER($O16),IF($P16=0,IF(ABS($O16)&lt;=0.000001,"right","wrong"),IF(ABS($O16-$P16)/ABS($P16)&lt;=0.000001,"right","wrong")),"wrong"),IF(ISERROR($O16),"right","wrong"))</f>
        <v>right</v>
      </c>
      <c r="X16" s="225" t="s">
        <v>246</v>
      </c>
    </row>
    <row r="17" spans="5:24" x14ac:dyDescent="0.3">
      <c r="E17" s="151">
        <v>13</v>
      </c>
      <c r="F17" s="153" t="s">
        <v>228</v>
      </c>
      <c r="G17" s="153" t="s">
        <v>256</v>
      </c>
      <c r="H17" s="153" t="s">
        <v>72</v>
      </c>
      <c r="I17" s="153" t="s">
        <v>257</v>
      </c>
      <c r="J17" s="154">
        <v>-1.96</v>
      </c>
      <c r="K17" s="154">
        <v>1.96</v>
      </c>
      <c r="L17" s="154"/>
      <c r="M17" s="154"/>
      <c r="N17" s="155">
        <f>_xlfn.NORM.S.DIST(K17,TRUE)-_xlfn.NORM.S.DIST(J17,TRUE)</f>
        <v>0.95000420970355903</v>
      </c>
      <c r="O17" s="155" cm="1">
        <f t="array" ref="O17">K_STATS_NormalStandard_IntervalProbability(J17,K17)</f>
        <v>0.95000420970355903</v>
      </c>
      <c r="P17" s="155">
        <v>0.95000420970355903</v>
      </c>
      <c r="Q17" s="155">
        <f t="shared" si="0"/>
        <v>0</v>
      </c>
      <c r="R17" s="155">
        <f t="shared" si="1"/>
        <v>0</v>
      </c>
      <c r="S17" s="153" t="s">
        <v>231</v>
      </c>
      <c r="T17" s="156" t="str">
        <f>IF($S17="#NUM!",IF(ISERROR($O17),"OK","FAIL"),IF(ISNUMBER($P17),IF(ISNUMBER($O17),IF($P17=0,IF(ABS($O17)&lt;=0.000001,"OK","CHECK"),IF(ABS($O17-$P17)/ABS($P17)&lt;=0.000001,"OK","CHECK")),"CHECK"),"?"))</f>
        <v>OK</v>
      </c>
      <c r="U17" s="153" t="s">
        <v>315</v>
      </c>
      <c r="V17" s="156" t="str">
        <f>IF(ISNUMBER($P17),IF(ISNUMBER($N17),IF($P17=0,IF(ABS($N17)&lt;=0.000001,"right","wrong"),IF(ABS($N17-$P17)/ABS($P17)&lt;=0.000001,"right","wrong")),"wrong"),IF(ISERROR($N17),"right","wrong"))</f>
        <v>right</v>
      </c>
      <c r="W17" s="156" t="str">
        <f>IF(ISNUMBER($P17),IF(ISNUMBER($O17),IF($P17=0,IF(ABS($O17)&lt;=0.000001,"right","wrong"),IF(ABS($O17-$P17)/ABS($P17)&lt;=0.000001,"right","wrong")),"wrong"),IF(ISERROR($O17),"right","wrong"))</f>
        <v>right</v>
      </c>
      <c r="X17" s="225" t="s">
        <v>258</v>
      </c>
    </row>
    <row r="18" spans="5:24" x14ac:dyDescent="0.3">
      <c r="E18" s="151">
        <v>14</v>
      </c>
      <c r="F18" s="153" t="s">
        <v>228</v>
      </c>
      <c r="G18" s="153" t="s">
        <v>256</v>
      </c>
      <c r="H18" s="153" t="s">
        <v>236</v>
      </c>
      <c r="I18" s="153" t="s">
        <v>259</v>
      </c>
      <c r="J18" s="154">
        <v>1</v>
      </c>
      <c r="K18" s="154">
        <v>-1</v>
      </c>
      <c r="L18" s="154"/>
      <c r="M18" s="154"/>
      <c r="N18" s="155">
        <f>_xlfn.NORM.S.DIST(K18,TRUE)-_xlfn.NORM.S.DIST(J18,TRUE)</f>
        <v>-0.68268949213708607</v>
      </c>
      <c r="O18" s="155" t="e" cm="1">
        <f t="array" ref="O18">K_STATS_NormalStandard_IntervalProbability(J18,K18)</f>
        <v>#NUM!</v>
      </c>
      <c r="P18" s="155" t="e">
        <v>#NUM!</v>
      </c>
      <c r="Q18" s="155" t="str">
        <f t="shared" si="0"/>
        <v/>
      </c>
      <c r="R18" s="155" t="str">
        <f t="shared" si="1"/>
        <v/>
      </c>
      <c r="S18" s="153" t="s">
        <v>81</v>
      </c>
      <c r="T18" s="156" t="str">
        <f>IF($S18="#NUM!",IF(ISERROR($O18),"OK","FAIL"),IF(ISNUMBER($P18),IF(ISNUMBER($O18),IF($P18=0,IF(ABS($O18)&lt;=0.000001,"OK","CHECK"),IF(ABS($O18-$P18)/ABS($P18)&lt;=0.000001,"OK","CHECK")),"CHECK"),"?"))</f>
        <v>OK</v>
      </c>
      <c r="U18" s="153" t="s">
        <v>324</v>
      </c>
      <c r="V18" s="156" t="str">
        <f>IF(ISNUMBER($P18),IF(ISNUMBER($N18),IF($P18=0,IF(ABS($N18)&lt;=0.000001,"right","wrong"),IF(ABS($N18-$P18)/ABS($P18)&lt;=0.000001,"right","wrong")),"wrong"),IF(ISERROR($N18),"right","wrong"))</f>
        <v>wrong</v>
      </c>
      <c r="W18" s="156" t="str">
        <f>IF(ISNUMBER($P18),IF(ISNUMBER($O18),IF($P18=0,IF(ABS($O18)&lt;=0.000001,"right","wrong"),IF(ABS($O18-$P18)/ABS($P18)&lt;=0.000001,"right","wrong")),"wrong"),IF(ISERROR($O18),"right","wrong"))</f>
        <v>right</v>
      </c>
      <c r="X18" s="225" t="s">
        <v>329</v>
      </c>
    </row>
    <row r="19" spans="5:24" x14ac:dyDescent="0.3">
      <c r="E19" s="151">
        <v>15</v>
      </c>
      <c r="F19" s="153" t="s">
        <v>228</v>
      </c>
      <c r="G19" s="153" t="s">
        <v>256</v>
      </c>
      <c r="H19" s="153" t="s">
        <v>236</v>
      </c>
      <c r="I19" s="153" t="s">
        <v>260</v>
      </c>
      <c r="J19" s="154">
        <v>1</v>
      </c>
      <c r="K19" s="154">
        <v>1</v>
      </c>
      <c r="L19" s="154"/>
      <c r="M19" s="154"/>
      <c r="N19" s="155">
        <f>_xlfn.NORM.S.DIST(K19,TRUE)-_xlfn.NORM.S.DIST(J19,TRUE)</f>
        <v>0</v>
      </c>
      <c r="O19" s="155" cm="1">
        <f t="array" ref="O19">K_STATS_NormalStandard_IntervalProbability(J19,K19)</f>
        <v>0</v>
      </c>
      <c r="P19" s="155">
        <v>0</v>
      </c>
      <c r="Q19" s="155" t="str">
        <f t="shared" si="0"/>
        <v/>
      </c>
      <c r="R19" s="155" t="str">
        <f t="shared" si="1"/>
        <v/>
      </c>
      <c r="S19" s="153" t="s">
        <v>231</v>
      </c>
      <c r="T19" s="156" t="str">
        <f>IF($S19="#NUM!",IF(ISERROR($O19),"OK","FAIL"),IF(ISNUMBER($P19),IF(ISNUMBER($O19),IF($P19=0,IF(ABS($O19)&lt;=0.000001,"OK","CHECK"),IF(ABS($O19-$P19)/ABS($P19)&lt;=0.000001,"OK","CHECK")),"CHECK"),"?"))</f>
        <v>OK</v>
      </c>
      <c r="U19" s="153" t="s">
        <v>315</v>
      </c>
      <c r="V19" s="156" t="str">
        <f>IF(ISNUMBER($P19),IF(ISNUMBER($N19),IF($P19=0,IF(ABS($N19)&lt;=0.000001,"right","wrong"),IF(ABS($N19-$P19)/ABS($P19)&lt;=0.000001,"right","wrong")),"wrong"),IF(ISERROR($N19),"right","wrong"))</f>
        <v>right</v>
      </c>
      <c r="W19" s="156" t="str">
        <f>IF(ISNUMBER($P19),IF(ISNUMBER($O19),IF($P19=0,IF(ABS($O19)&lt;=0.000001,"right","wrong"),IF(ABS($O19-$P19)/ABS($P19)&lt;=0.000001,"right","wrong")),"wrong"),IF(ISERROR($O19),"right","wrong"))</f>
        <v>right</v>
      </c>
      <c r="X19" s="225" t="s">
        <v>261</v>
      </c>
    </row>
    <row r="20" spans="5:24" x14ac:dyDescent="0.3">
      <c r="E20" s="151">
        <v>16</v>
      </c>
      <c r="F20" s="153" t="s">
        <v>228</v>
      </c>
      <c r="G20" s="153" t="s">
        <v>262</v>
      </c>
      <c r="H20" s="153" t="s">
        <v>72</v>
      </c>
      <c r="I20" s="153" t="s">
        <v>263</v>
      </c>
      <c r="J20" s="154">
        <v>0.97499999999999998</v>
      </c>
      <c r="K20" s="154"/>
      <c r="L20" s="154"/>
      <c r="M20" s="154"/>
      <c r="N20" s="155">
        <f>_xlfn.NORM.S.INV(J20)</f>
        <v>1.9599639845400536</v>
      </c>
      <c r="O20" s="155" cm="1">
        <f t="array" ref="O20">K_STATS_NormalStandard_InverseCumulativeFast(J20)</f>
        <v>1.9599639861187472</v>
      </c>
      <c r="P20" s="155">
        <v>1.959963984540054</v>
      </c>
      <c r="Q20" s="155">
        <f t="shared" si="0"/>
        <v>8.054705028448114E-10</v>
      </c>
      <c r="R20" s="155">
        <f t="shared" si="1"/>
        <v>2.2658029094053852E-16</v>
      </c>
      <c r="S20" s="153" t="s">
        <v>231</v>
      </c>
      <c r="T20" s="156" t="str">
        <f>IF($S20="#NUM!",IF(ISERROR($O20),"OK","FAIL"),IF(ISNUMBER($P20),IF(ISNUMBER($O20),IF($P20=0,IF(ABS($O20)&lt;=0.000001,"OK","CHECK"),IF(ABS($O20-$P20)/ABS($P20)&lt;=0.000001,"OK","CHECK")),"CHECK"),"?"))</f>
        <v>OK</v>
      </c>
      <c r="U20" s="153" t="s">
        <v>327</v>
      </c>
      <c r="V20" s="156" t="str">
        <f>IF(ISNUMBER($P20),IF(ISNUMBER($N20),IF($P20=0,IF(ABS($N20)&lt;=0.000001,"right","wrong"),IF(ABS($N20-$P20)/ABS($P20)&lt;=0.000001,"right","wrong")),"wrong"),IF(ISERROR($N20),"right","wrong"))</f>
        <v>right</v>
      </c>
      <c r="W20" s="156" t="str">
        <f>IF(ISNUMBER($P20),IF(ISNUMBER($O20),IF($P20=0,IF(ABS($O20)&lt;=0.000001,"right","wrong"),IF(ABS($O20-$P20)/ABS($P20)&lt;=0.000001,"right","wrong")),"wrong"),IF(ISERROR($O20),"right","wrong"))</f>
        <v>right</v>
      </c>
      <c r="X20" s="225" t="s">
        <v>264</v>
      </c>
    </row>
    <row r="21" spans="5:24" x14ac:dyDescent="0.3">
      <c r="E21" s="151">
        <v>17</v>
      </c>
      <c r="F21" s="153" t="s">
        <v>72</v>
      </c>
      <c r="G21" s="153" t="s">
        <v>265</v>
      </c>
      <c r="H21" s="153" t="s">
        <v>72</v>
      </c>
      <c r="I21" s="153" t="s">
        <v>266</v>
      </c>
      <c r="J21" s="154">
        <v>1.96</v>
      </c>
      <c r="K21" s="154">
        <v>0</v>
      </c>
      <c r="L21" s="154">
        <v>1</v>
      </c>
      <c r="M21" s="154"/>
      <c r="N21" s="155">
        <f>_xlfn.NORM.DIST(J21,K21,L21,FALSE)</f>
        <v>5.8440944333451469E-2</v>
      </c>
      <c r="O21" s="155" cm="1">
        <f t="array" ref="O21">K_STATS_Normal_Density(J21,K21,L21)</f>
        <v>5.8440944333451469E-2</v>
      </c>
      <c r="P21" s="155">
        <v>5.8440944333451476E-2</v>
      </c>
      <c r="Q21" s="155">
        <f t="shared" si="0"/>
        <v>1.1873343223742913E-16</v>
      </c>
      <c r="R21" s="155">
        <f t="shared" si="1"/>
        <v>1.1873343223742913E-16</v>
      </c>
      <c r="S21" s="153" t="s">
        <v>231</v>
      </c>
      <c r="T21" s="156" t="str">
        <f>IF($S21="#NUM!",IF(ISERROR($O21),"OK","FAIL"),IF(ISNUMBER($P21),IF(ISNUMBER($O21),IF($P21=0,IF(ABS($O21)&lt;=0.000001,"OK","CHECK"),IF(ABS($O21-$P21)/ABS($P21)&lt;=0.000001,"OK","CHECK")),"CHECK"),"?"))</f>
        <v>OK</v>
      </c>
      <c r="U21" s="153" t="s">
        <v>315</v>
      </c>
      <c r="V21" s="156" t="str">
        <f>IF(ISNUMBER($P21),IF(ISNUMBER($N21),IF($P21=0,IF(ABS($N21)&lt;=0.000001,"right","wrong"),IF(ABS($N21-$P21)/ABS($P21)&lt;=0.000001,"right","wrong")),"wrong"),IF(ISERROR($N21),"right","wrong"))</f>
        <v>right</v>
      </c>
      <c r="W21" s="156" t="str">
        <f>IF(ISNUMBER($P21),IF(ISNUMBER($O21),IF($P21=0,IF(ABS($O21)&lt;=0.000001,"right","wrong"),IF(ABS($O21-$P21)/ABS($P21)&lt;=0.000001,"right","wrong")),"wrong"),IF(ISERROR($O21),"right","wrong"))</f>
        <v>right</v>
      </c>
      <c r="X21" s="225" t="s">
        <v>315</v>
      </c>
    </row>
    <row r="22" spans="5:24" x14ac:dyDescent="0.3">
      <c r="E22" s="151">
        <v>18</v>
      </c>
      <c r="F22" s="153" t="s">
        <v>72</v>
      </c>
      <c r="G22" s="153" t="s">
        <v>265</v>
      </c>
      <c r="H22" s="153" t="s">
        <v>236</v>
      </c>
      <c r="I22" s="153" t="s">
        <v>267</v>
      </c>
      <c r="J22" s="154">
        <v>1.96</v>
      </c>
      <c r="K22" s="154">
        <v>0</v>
      </c>
      <c r="L22" s="154">
        <v>0</v>
      </c>
      <c r="M22" s="154"/>
      <c r="N22" s="155" t="e">
        <f>_xlfn.NORM.DIST(J22,K22,L22,FALSE)</f>
        <v>#NUM!</v>
      </c>
      <c r="O22" s="155" t="e" cm="1">
        <f t="array" ref="O22">K_STATS_Normal_Density(J22,K22,L22)</f>
        <v>#NUM!</v>
      </c>
      <c r="P22" s="155" t="e">
        <v>#NUM!</v>
      </c>
      <c r="Q22" s="155" t="str">
        <f t="shared" si="0"/>
        <v/>
      </c>
      <c r="R22" s="155" t="str">
        <f t="shared" si="1"/>
        <v/>
      </c>
      <c r="S22" s="153" t="s">
        <v>81</v>
      </c>
      <c r="T22" s="156" t="str">
        <f>IF($S22="#NUM!",IF(ISERROR($O22),"OK","FAIL"),IF(ISNUMBER($P22),IF(ISNUMBER($O22),IF($P22=0,IF(ABS($O22)&lt;=0.000001,"OK","CHECK"),IF(ABS($O22-$P22)/ABS($P22)&lt;=0.000001,"OK","CHECK")),"CHECK"),"?"))</f>
        <v>OK</v>
      </c>
      <c r="U22" s="153" t="s">
        <v>325</v>
      </c>
      <c r="V22" s="156" t="str">
        <f>IF(ISNUMBER($P22),IF(ISNUMBER($N22),IF($P22=0,IF(ABS($N22)&lt;=0.000001,"right","wrong"),IF(ABS($N22-$P22)/ABS($P22)&lt;=0.000001,"right","wrong")),"wrong"),IF(ISERROR($N22),"right","wrong"))</f>
        <v>right</v>
      </c>
      <c r="W22" s="156" t="str">
        <f>IF(ISNUMBER($P22),IF(ISNUMBER($O22),IF($P22=0,IF(ABS($O22)&lt;=0.000001,"right","wrong"),IF(ABS($O22-$P22)/ABS($P22)&lt;=0.000001,"right","wrong")),"wrong"),IF(ISERROR($O22),"right","wrong"))</f>
        <v>right</v>
      </c>
      <c r="X22" s="225" t="s">
        <v>268</v>
      </c>
    </row>
    <row r="23" spans="5:24" x14ac:dyDescent="0.3">
      <c r="E23" s="151">
        <v>19</v>
      </c>
      <c r="F23" s="153" t="s">
        <v>72</v>
      </c>
      <c r="G23" s="153" t="s">
        <v>269</v>
      </c>
      <c r="H23" s="153" t="s">
        <v>72</v>
      </c>
      <c r="I23" s="153" t="s">
        <v>266</v>
      </c>
      <c r="J23" s="154">
        <v>1.96</v>
      </c>
      <c r="K23" s="154">
        <v>0</v>
      </c>
      <c r="L23" s="154">
        <v>1</v>
      </c>
      <c r="M23" s="154"/>
      <c r="N23" s="155">
        <f>_xlfn.NORM.DIST(J23,K23,L23,TRUE)</f>
        <v>0.97500210485177952</v>
      </c>
      <c r="O23" s="155" cm="1">
        <f t="array" ref="O23">K_STATS_Normal_Cumulative(J23,K23,L23)</f>
        <v>0.97500210485177952</v>
      </c>
      <c r="P23" s="155">
        <v>0.97500210485177952</v>
      </c>
      <c r="Q23" s="155">
        <f t="shared" si="0"/>
        <v>0</v>
      </c>
      <c r="R23" s="155">
        <f t="shared" si="1"/>
        <v>0</v>
      </c>
      <c r="S23" s="153" t="s">
        <v>231</v>
      </c>
      <c r="T23" s="156" t="str">
        <f>IF($S23="#NUM!",IF(ISERROR($O23),"OK","FAIL"),IF(ISNUMBER($P23),IF(ISNUMBER($O23),IF($P23=0,IF(ABS($O23)&lt;=0.000001,"OK","CHECK"),IF(ABS($O23-$P23)/ABS($P23)&lt;=0.000001,"OK","CHECK")),"CHECK"),"?"))</f>
        <v>OK</v>
      </c>
      <c r="U23" s="153" t="s">
        <v>315</v>
      </c>
      <c r="V23" s="156" t="str">
        <f>IF(ISNUMBER($P23),IF(ISNUMBER($N23),IF($P23=0,IF(ABS($N23)&lt;=0.000001,"right","wrong"),IF(ABS($N23-$P23)/ABS($P23)&lt;=0.000001,"right","wrong")),"wrong"),IF(ISERROR($N23),"right","wrong"))</f>
        <v>right</v>
      </c>
      <c r="W23" s="156" t="str">
        <f>IF(ISNUMBER($P23),IF(ISNUMBER($O23),IF($P23=0,IF(ABS($O23)&lt;=0.000001,"right","wrong"),IF(ABS($O23-$P23)/ABS($P23)&lt;=0.000001,"right","wrong")),"wrong"),IF(ISERROR($O23),"right","wrong"))</f>
        <v>right</v>
      </c>
      <c r="X23" s="225" t="s">
        <v>315</v>
      </c>
    </row>
    <row r="24" spans="5:24" x14ac:dyDescent="0.3">
      <c r="E24" s="151">
        <v>20</v>
      </c>
      <c r="F24" s="153" t="s">
        <v>72</v>
      </c>
      <c r="G24" s="153" t="s">
        <v>269</v>
      </c>
      <c r="H24" s="153" t="s">
        <v>236</v>
      </c>
      <c r="I24" s="153" t="s">
        <v>270</v>
      </c>
      <c r="J24" s="154">
        <v>1</v>
      </c>
      <c r="K24" s="154">
        <v>0</v>
      </c>
      <c r="L24" s="154">
        <v>-1</v>
      </c>
      <c r="M24" s="154"/>
      <c r="N24" s="155" t="e">
        <f>_xlfn.NORM.DIST(J24,K24,L24,TRUE)</f>
        <v>#NUM!</v>
      </c>
      <c r="O24" s="155" t="e" cm="1">
        <f t="array" ref="O24">K_STATS_Normal_Cumulative(J24,K24,L24)</f>
        <v>#NUM!</v>
      </c>
      <c r="P24" s="155" t="e">
        <v>#NUM!</v>
      </c>
      <c r="Q24" s="155" t="str">
        <f t="shared" si="0"/>
        <v/>
      </c>
      <c r="R24" s="155" t="str">
        <f t="shared" si="1"/>
        <v/>
      </c>
      <c r="S24" s="153" t="s">
        <v>81</v>
      </c>
      <c r="T24" s="156" t="str">
        <f>IF($S24="#NUM!",IF(ISERROR($O24),"OK","FAIL"),IF(ISNUMBER($P24),IF(ISNUMBER($O24),IF($P24=0,IF(ABS($O24)&lt;=0.000001,"OK","CHECK"),IF(ABS($O24-$P24)/ABS($P24)&lt;=0.000001,"OK","CHECK")),"CHECK"),"?"))</f>
        <v>OK</v>
      </c>
      <c r="U24" s="153" t="s">
        <v>325</v>
      </c>
      <c r="V24" s="156" t="str">
        <f>IF(ISNUMBER($P24),IF(ISNUMBER($N24),IF($P24=0,IF(ABS($N24)&lt;=0.000001,"right","wrong"),IF(ABS($N24-$P24)/ABS($P24)&lt;=0.000001,"right","wrong")),"wrong"),IF(ISERROR($N24),"right","wrong"))</f>
        <v>right</v>
      </c>
      <c r="W24" s="156" t="str">
        <f>IF(ISNUMBER($P24),IF(ISNUMBER($O24),IF($P24=0,IF(ABS($O24)&lt;=0.000001,"right","wrong"),IF(ABS($O24-$P24)/ABS($P24)&lt;=0.000001,"right","wrong")),"wrong"),IF(ISERROR($O24),"right","wrong"))</f>
        <v>right</v>
      </c>
      <c r="X24" s="225" t="s">
        <v>271</v>
      </c>
    </row>
    <row r="25" spans="5:24" x14ac:dyDescent="0.3">
      <c r="E25" s="151">
        <v>21</v>
      </c>
      <c r="F25" s="153" t="s">
        <v>72</v>
      </c>
      <c r="G25" s="153" t="s">
        <v>272</v>
      </c>
      <c r="H25" s="153" t="s">
        <v>72</v>
      </c>
      <c r="I25" s="153" t="s">
        <v>266</v>
      </c>
      <c r="J25" s="154">
        <v>1.96</v>
      </c>
      <c r="K25" s="154">
        <v>0</v>
      </c>
      <c r="L25" s="154">
        <v>1</v>
      </c>
      <c r="M25" s="154"/>
      <c r="N25" s="155">
        <f>1-_xlfn.NORM.DIST(J25,K25,L25,TRUE)</f>
        <v>2.4997895148220484E-2</v>
      </c>
      <c r="O25" s="155" cm="1">
        <f t="array" ref="O25">K_STATS_Normal_Survival(J25,K25,L25)</f>
        <v>2.4997895148220456E-2</v>
      </c>
      <c r="P25" s="155">
        <v>2.4997895148220435E-2</v>
      </c>
      <c r="Q25" s="155">
        <f t="shared" si="0"/>
        <v>8.3273738001911713E-16</v>
      </c>
      <c r="R25" s="155">
        <f t="shared" si="1"/>
        <v>1.9430538867112732E-15</v>
      </c>
      <c r="S25" s="153" t="s">
        <v>231</v>
      </c>
      <c r="T25" s="156" t="str">
        <f>IF($S25="#NUM!",IF(ISERROR($O25),"OK","FAIL"),IF(ISNUMBER($P25),IF(ISNUMBER($O25),IF($P25=0,IF(ABS($O25)&lt;=0.000001,"OK","CHECK"),IF(ABS($O25-$P25)/ABS($P25)&lt;=0.000001,"OK","CHECK")),"CHECK"),"?"))</f>
        <v>OK</v>
      </c>
      <c r="U25" s="153" t="s">
        <v>315</v>
      </c>
      <c r="V25" s="156" t="str">
        <f>IF(ISNUMBER($P25),IF(ISNUMBER($N25),IF($P25=0,IF(ABS($N25)&lt;=0.000001,"right","wrong"),IF(ABS($N25-$P25)/ABS($P25)&lt;=0.000001,"right","wrong")),"wrong"),IF(ISERROR($N25),"right","wrong"))</f>
        <v>right</v>
      </c>
      <c r="W25" s="156" t="str">
        <f>IF(ISNUMBER($P25),IF(ISNUMBER($O25),IF($P25=0,IF(ABS($O25)&lt;=0.000001,"right","wrong"),IF(ABS($O25-$P25)/ABS($P25)&lt;=0.000001,"right","wrong")),"wrong"),IF(ISERROR($O25),"right","wrong"))</f>
        <v>right</v>
      </c>
      <c r="X25" s="225" t="s">
        <v>315</v>
      </c>
    </row>
    <row r="26" spans="5:24" x14ac:dyDescent="0.3">
      <c r="E26" s="151">
        <v>22</v>
      </c>
      <c r="F26" s="153" t="s">
        <v>72</v>
      </c>
      <c r="G26" s="153" t="s">
        <v>272</v>
      </c>
      <c r="H26" s="153" t="s">
        <v>236</v>
      </c>
      <c r="I26" s="153" t="s">
        <v>273</v>
      </c>
      <c r="J26" s="154">
        <v>9</v>
      </c>
      <c r="K26" s="154">
        <v>0</v>
      </c>
      <c r="L26" s="154">
        <v>1</v>
      </c>
      <c r="M26" s="154"/>
      <c r="N26" s="155">
        <f>1-_xlfn.NORM.DIST(J26,K26,L26,TRUE)</f>
        <v>0</v>
      </c>
      <c r="O26" s="155" cm="1">
        <f t="array" ref="O26">K_STATS_Normal_Survival(J26,K26,L26)</f>
        <v>1.1285884059538408E-19</v>
      </c>
      <c r="P26" s="155">
        <v>1.1285884059538324E-19</v>
      </c>
      <c r="Q26" s="155">
        <f t="shared" si="0"/>
        <v>7.4659135804012865E-15</v>
      </c>
      <c r="R26" s="155">
        <f t="shared" si="1"/>
        <v>1</v>
      </c>
      <c r="S26" s="153" t="s">
        <v>231</v>
      </c>
      <c r="T26" s="156" t="str">
        <f>IF($S26="#NUM!",IF(ISERROR($O26),"OK","FAIL"),IF(ISNUMBER($P26),IF(ISNUMBER($O26),IF($P26=0,IF(ABS($O26)&lt;=0.000001,"OK","CHECK"),IF(ABS($O26-$P26)/ABS($P26)&lt;=0.000001,"OK","CHECK")),"CHECK"),"?"))</f>
        <v>OK</v>
      </c>
      <c r="U26" s="153" t="s">
        <v>324</v>
      </c>
      <c r="V26" s="156" t="str">
        <f>IF(ISNUMBER($P26),IF(ISNUMBER($N26),IF($P26=0,IF(ABS($N26)&lt;=0.000001,"right","wrong"),IF(ABS($N26-$P26)/ABS($P26)&lt;=0.000001,"right","wrong")),"wrong"),IF(ISERROR($N26),"right","wrong"))</f>
        <v>wrong</v>
      </c>
      <c r="W26" s="156" t="str">
        <f>IF(ISNUMBER($P26),IF(ISNUMBER($O26),IF($P26=0,IF(ABS($O26)&lt;=0.000001,"right","wrong"),IF(ABS($O26-$P26)/ABS($P26)&lt;=0.000001,"right","wrong")),"wrong"),IF(ISERROR($O26),"right","wrong"))</f>
        <v>right</v>
      </c>
      <c r="X26" s="225" t="s">
        <v>274</v>
      </c>
    </row>
    <row r="27" spans="5:24" x14ac:dyDescent="0.3">
      <c r="E27" s="151">
        <v>23</v>
      </c>
      <c r="F27" s="153" t="s">
        <v>72</v>
      </c>
      <c r="G27" s="153" t="s">
        <v>275</v>
      </c>
      <c r="H27" s="153" t="s">
        <v>72</v>
      </c>
      <c r="I27" s="153" t="s">
        <v>276</v>
      </c>
      <c r="J27" s="154">
        <v>0.99</v>
      </c>
      <c r="K27" s="154">
        <v>100</v>
      </c>
      <c r="L27" s="154">
        <v>15</v>
      </c>
      <c r="M27" s="154"/>
      <c r="N27" s="155">
        <f>_xlfn.NORM.INV(J27,K27,L27)</f>
        <v>134.8952181106126</v>
      </c>
      <c r="O27" s="155" cm="1">
        <f t="array" ref="O27">K_STATS_Normal_InverseCumulative(J27,K27,L27)</f>
        <v>134.89521811061263</v>
      </c>
      <c r="P27" s="155">
        <v>134.8952181106126</v>
      </c>
      <c r="Q27" s="155">
        <f t="shared" si="0"/>
        <v>2.1069471422699741E-16</v>
      </c>
      <c r="R27" s="155">
        <f t="shared" si="1"/>
        <v>0</v>
      </c>
      <c r="S27" s="153" t="s">
        <v>231</v>
      </c>
      <c r="T27" s="156" t="str">
        <f>IF($S27="#NUM!",IF(ISERROR($O27),"OK","FAIL"),IF(ISNUMBER($P27),IF(ISNUMBER($O27),IF($P27=0,IF(ABS($O27)&lt;=0.000001,"OK","CHECK"),IF(ABS($O27-$P27)/ABS($P27)&lt;=0.000001,"OK","CHECK")),"CHECK"),"?"))</f>
        <v>OK</v>
      </c>
      <c r="U27" s="153" t="s">
        <v>315</v>
      </c>
      <c r="V27" s="156" t="str">
        <f>IF(ISNUMBER($P27),IF(ISNUMBER($N27),IF($P27=0,IF(ABS($N27)&lt;=0.000001,"right","wrong"),IF(ABS($N27-$P27)/ABS($P27)&lt;=0.000001,"right","wrong")),"wrong"),IF(ISERROR($N27),"right","wrong"))</f>
        <v>right</v>
      </c>
      <c r="W27" s="156" t="str">
        <f>IF(ISNUMBER($P27),IF(ISNUMBER($O27),IF($P27=0,IF(ABS($O27)&lt;=0.000001,"right","wrong"),IF(ABS($O27-$P27)/ABS($P27)&lt;=0.000001,"right","wrong")),"wrong"),IF(ISERROR($O27),"right","wrong"))</f>
        <v>right</v>
      </c>
      <c r="X27" s="225" t="s">
        <v>315</v>
      </c>
    </row>
    <row r="28" spans="5:24" x14ac:dyDescent="0.3">
      <c r="E28" s="151">
        <v>24</v>
      </c>
      <c r="F28" s="153" t="s">
        <v>72</v>
      </c>
      <c r="G28" s="153" t="s">
        <v>275</v>
      </c>
      <c r="H28" s="153" t="s">
        <v>236</v>
      </c>
      <c r="I28" s="153" t="s">
        <v>247</v>
      </c>
      <c r="J28" s="154">
        <v>1</v>
      </c>
      <c r="K28" s="154">
        <v>100</v>
      </c>
      <c r="L28" s="154">
        <v>15</v>
      </c>
      <c r="M28" s="154"/>
      <c r="N28" s="155" t="e">
        <f>_xlfn.NORM.INV(J28,K28,L28)</f>
        <v>#NUM!</v>
      </c>
      <c r="O28" s="155" t="e" cm="1">
        <f t="array" ref="O28">K_STATS_Normal_InverseCumulative(J28,K28,L28)</f>
        <v>#NUM!</v>
      </c>
      <c r="P28" s="155" t="e">
        <v>#NUM!</v>
      </c>
      <c r="Q28" s="155" t="str">
        <f t="shared" si="0"/>
        <v/>
      </c>
      <c r="R28" s="155" t="str">
        <f t="shared" si="1"/>
        <v/>
      </c>
      <c r="S28" s="153" t="s">
        <v>81</v>
      </c>
      <c r="T28" s="156" t="str">
        <f>IF($S28="#NUM!",IF(ISERROR($O28),"OK","FAIL"),IF(ISNUMBER($P28),IF(ISNUMBER($O28),IF($P28=0,IF(ABS($O28)&lt;=0.000001,"OK","CHECK"),IF(ABS($O28-$P28)/ABS($P28)&lt;=0.000001,"OK","CHECK")),"CHECK"),"?"))</f>
        <v>OK</v>
      </c>
      <c r="U28" s="153" t="s">
        <v>325</v>
      </c>
      <c r="V28" s="156" t="str">
        <f>IF(ISNUMBER($P28),IF(ISNUMBER($N28),IF($P28=0,IF(ABS($N28)&lt;=0.000001,"right","wrong"),IF(ABS($N28-$P28)/ABS($P28)&lt;=0.000001,"right","wrong")),"wrong"),IF(ISERROR($N28),"right","wrong"))</f>
        <v>right</v>
      </c>
      <c r="W28" s="156" t="str">
        <f>IF(ISNUMBER($P28),IF(ISNUMBER($O28),IF($P28=0,IF(ABS($O28)&lt;=0.000001,"right","wrong"),IF(ABS($O28-$P28)/ABS($P28)&lt;=0.000001,"right","wrong")),"wrong"),IF(ISERROR($O28),"right","wrong"))</f>
        <v>right</v>
      </c>
      <c r="X28" s="225" t="s">
        <v>246</v>
      </c>
    </row>
    <row r="29" spans="5:24" x14ac:dyDescent="0.3">
      <c r="E29" s="151">
        <v>25</v>
      </c>
      <c r="F29" s="153" t="s">
        <v>72</v>
      </c>
      <c r="G29" s="153" t="s">
        <v>277</v>
      </c>
      <c r="H29" s="153" t="s">
        <v>72</v>
      </c>
      <c r="I29" s="153" t="s">
        <v>278</v>
      </c>
      <c r="J29" s="154">
        <v>2.5000000000000001E-2</v>
      </c>
      <c r="K29" s="154">
        <v>10</v>
      </c>
      <c r="L29" s="154">
        <v>2</v>
      </c>
      <c r="M29" s="154"/>
      <c r="N29" s="155">
        <f>_xlfn.NORM.INV(1-J29,K29,L29)</f>
        <v>13.919927969080106</v>
      </c>
      <c r="O29" s="155" cm="1">
        <f t="array" ref="O29">K_STATS_Normal_InverseSurvival(J29,K29,L29)</f>
        <v>13.91992796908011</v>
      </c>
      <c r="P29" s="155">
        <v>13.91992796908011</v>
      </c>
      <c r="Q29" s="155">
        <f t="shared" si="0"/>
        <v>0</v>
      </c>
      <c r="R29" s="155">
        <f t="shared" si="1"/>
        <v>2.5522500451812897E-16</v>
      </c>
      <c r="S29" s="153" t="s">
        <v>231</v>
      </c>
      <c r="T29" s="156" t="str">
        <f>IF($S29="#NUM!",IF(ISERROR($O29),"OK","FAIL"),IF(ISNUMBER($P29),IF(ISNUMBER($O29),IF($P29=0,IF(ABS($O29)&lt;=0.000001,"OK","CHECK"),IF(ABS($O29-$P29)/ABS($P29)&lt;=0.000001,"OK","CHECK")),"CHECK"),"?"))</f>
        <v>OK</v>
      </c>
      <c r="U29" s="153" t="s">
        <v>315</v>
      </c>
      <c r="V29" s="156" t="str">
        <f>IF(ISNUMBER($P29),IF(ISNUMBER($N29),IF($P29=0,IF(ABS($N29)&lt;=0.000001,"right","wrong"),IF(ABS($N29-$P29)/ABS($P29)&lt;=0.000001,"right","wrong")),"wrong"),IF(ISERROR($N29),"right","wrong"))</f>
        <v>right</v>
      </c>
      <c r="W29" s="156" t="str">
        <f>IF(ISNUMBER($P29),IF(ISNUMBER($O29),IF($P29=0,IF(ABS($O29)&lt;=0.000001,"right","wrong"),IF(ABS($O29-$P29)/ABS($P29)&lt;=0.000001,"right","wrong")),"wrong"),IF(ISERROR($O29),"right","wrong"))</f>
        <v>right</v>
      </c>
      <c r="X29" s="225" t="s">
        <v>316</v>
      </c>
    </row>
    <row r="30" spans="5:24" x14ac:dyDescent="0.3">
      <c r="E30" s="151">
        <v>26</v>
      </c>
      <c r="F30" s="153" t="s">
        <v>72</v>
      </c>
      <c r="G30" s="153" t="s">
        <v>277</v>
      </c>
      <c r="H30" s="153" t="s">
        <v>236</v>
      </c>
      <c r="I30" s="153" t="s">
        <v>279</v>
      </c>
      <c r="J30" s="154">
        <v>1.0000000000000001E-18</v>
      </c>
      <c r="K30" s="154">
        <v>10</v>
      </c>
      <c r="L30" s="154">
        <v>2</v>
      </c>
      <c r="M30" s="154"/>
      <c r="N30" s="155" t="e">
        <f>_xlfn.NORM.INV(1-J30,K30,L30)</f>
        <v>#NUM!</v>
      </c>
      <c r="O30" s="155" cm="1">
        <f t="array" ref="O30">K_STATS_Normal_InverseSurvival(J30,K30,L30)</f>
        <v>27.514580697564629</v>
      </c>
      <c r="P30" s="155">
        <v>27.514580697564632</v>
      </c>
      <c r="Q30" s="155">
        <f t="shared" si="0"/>
        <v>1.2912112737065835E-16</v>
      </c>
      <c r="R30" s="155" t="str">
        <f t="shared" si="1"/>
        <v/>
      </c>
      <c r="S30" s="153" t="s">
        <v>231</v>
      </c>
      <c r="T30" s="156" t="str">
        <f>IF($S30="#NUM!",IF(ISERROR($O30),"OK","FAIL"),IF(ISNUMBER($P30),IF(ISNUMBER($O30),IF($P30=0,IF(ABS($O30)&lt;=0.000001,"OK","CHECK"),IF(ABS($O30-$P30)/ABS($P30)&lt;=0.000001,"OK","CHECK")),"CHECK"),"?"))</f>
        <v>OK</v>
      </c>
      <c r="U30" s="153" t="s">
        <v>324</v>
      </c>
      <c r="V30" s="156" t="str">
        <f>IF(ISNUMBER($P30),IF(ISNUMBER($N30),IF($P30=0,IF(ABS($N30)&lt;=0.000001,"right","wrong"),IF(ABS($N30-$P30)/ABS($P30)&lt;=0.000001,"right","wrong")),"wrong"),IF(ISERROR($N30),"right","wrong"))</f>
        <v>wrong</v>
      </c>
      <c r="W30" s="156" t="str">
        <f>IF(ISNUMBER($P30),IF(ISNUMBER($O30),IF($P30=0,IF(ABS($O30)&lt;=0.000001,"right","wrong"),IF(ABS($O30-$P30)/ABS($P30)&lt;=0.000001,"right","wrong")),"wrong"),IF(ISERROR($O30),"right","wrong"))</f>
        <v>right</v>
      </c>
      <c r="X30" s="225" t="s">
        <v>274</v>
      </c>
    </row>
    <row r="31" spans="5:24" x14ac:dyDescent="0.3">
      <c r="E31" s="151">
        <v>27</v>
      </c>
      <c r="F31" s="153" t="s">
        <v>72</v>
      </c>
      <c r="G31" s="153" t="s">
        <v>280</v>
      </c>
      <c r="H31" s="153" t="s">
        <v>72</v>
      </c>
      <c r="I31" s="153" t="s">
        <v>281</v>
      </c>
      <c r="J31" s="154">
        <v>10</v>
      </c>
      <c r="K31" s="154">
        <v>4</v>
      </c>
      <c r="L31" s="154">
        <v>2</v>
      </c>
      <c r="M31" s="154"/>
      <c r="N31" s="155">
        <f>STANDARDIZE(J31,K31,L31)</f>
        <v>3</v>
      </c>
      <c r="O31" s="155" cm="1">
        <f t="array" ref="O31">K_STATS_Normal_ZScore(J31,K31,L31)</f>
        <v>3</v>
      </c>
      <c r="P31" s="155">
        <v>3</v>
      </c>
      <c r="Q31" s="155">
        <f t="shared" si="0"/>
        <v>0</v>
      </c>
      <c r="R31" s="155">
        <f t="shared" si="1"/>
        <v>0</v>
      </c>
      <c r="S31" s="153" t="s">
        <v>231</v>
      </c>
      <c r="T31" s="156" t="str">
        <f>IF($S31="#NUM!",IF(ISERROR($O31),"OK","FAIL"),IF(ISNUMBER($P31),IF(ISNUMBER($O31),IF($P31=0,IF(ABS($O31)&lt;=0.000001,"OK","CHECK"),IF(ABS($O31-$P31)/ABS($P31)&lt;=0.000001,"OK","CHECK")),"CHECK"),"?"))</f>
        <v>OK</v>
      </c>
      <c r="U31" s="153" t="s">
        <v>315</v>
      </c>
      <c r="V31" s="156" t="str">
        <f>IF(ISNUMBER($P31),IF(ISNUMBER($N31),IF($P31=0,IF(ABS($N31)&lt;=0.000001,"right","wrong"),IF(ABS($N31-$P31)/ABS($P31)&lt;=0.000001,"right","wrong")),"wrong"),IF(ISERROR($N31),"right","wrong"))</f>
        <v>right</v>
      </c>
      <c r="W31" s="156" t="str">
        <f>IF(ISNUMBER($P31),IF(ISNUMBER($O31),IF($P31=0,IF(ABS($O31)&lt;=0.000001,"right","wrong"),IF(ABS($O31-$P31)/ABS($P31)&lt;=0.000001,"right","wrong")),"wrong"),IF(ISERROR($O31),"right","wrong"))</f>
        <v>right</v>
      </c>
      <c r="X31" s="225" t="s">
        <v>317</v>
      </c>
    </row>
    <row r="32" spans="5:24" x14ac:dyDescent="0.3">
      <c r="E32" s="151">
        <v>28</v>
      </c>
      <c r="F32" s="153" t="s">
        <v>72</v>
      </c>
      <c r="G32" s="153" t="s">
        <v>280</v>
      </c>
      <c r="H32" s="153" t="s">
        <v>236</v>
      </c>
      <c r="I32" s="153" t="s">
        <v>267</v>
      </c>
      <c r="J32" s="154">
        <v>10</v>
      </c>
      <c r="K32" s="154">
        <v>4</v>
      </c>
      <c r="L32" s="154">
        <v>0</v>
      </c>
      <c r="M32" s="154"/>
      <c r="N32" s="155" t="e">
        <f>STANDARDIZE(J32,K32,L32)</f>
        <v>#NUM!</v>
      </c>
      <c r="O32" s="155" t="e" cm="1">
        <f t="array" ref="O32">K_STATS_Normal_ZScore(J32,K32,L32)</f>
        <v>#NUM!</v>
      </c>
      <c r="P32" s="155" t="e">
        <v>#NUM!</v>
      </c>
      <c r="Q32" s="155" t="str">
        <f t="shared" si="0"/>
        <v/>
      </c>
      <c r="R32" s="155" t="str">
        <f t="shared" si="1"/>
        <v/>
      </c>
      <c r="S32" s="153" t="s">
        <v>81</v>
      </c>
      <c r="T32" s="156" t="str">
        <f>IF($S32="#NUM!",IF(ISERROR($O32),"OK","FAIL"),IF(ISNUMBER($P32),IF(ISNUMBER($O32),IF($P32=0,IF(ABS($O32)&lt;=0.000001,"OK","CHECK"),IF(ABS($O32-$P32)/ABS($P32)&lt;=0.000001,"OK","CHECK")),"CHECK"),"?"))</f>
        <v>OK</v>
      </c>
      <c r="U32" s="153" t="s">
        <v>325</v>
      </c>
      <c r="V32" s="156" t="str">
        <f>IF(ISNUMBER($P32),IF(ISNUMBER($N32),IF($P32=0,IF(ABS($N32)&lt;=0.000001,"right","wrong"),IF(ABS($N32-$P32)/ABS($P32)&lt;=0.000001,"right","wrong")),"wrong"),IF(ISERROR($N32),"right","wrong"))</f>
        <v>right</v>
      </c>
      <c r="W32" s="156" t="str">
        <f>IF(ISNUMBER($P32),IF(ISNUMBER($O32),IF($P32=0,IF(ABS($O32)&lt;=0.000001,"right","wrong"),IF(ABS($O32-$P32)/ABS($P32)&lt;=0.000001,"right","wrong")),"wrong"),IF(ISERROR($O32),"right","wrong"))</f>
        <v>right</v>
      </c>
      <c r="X32" s="225" t="s">
        <v>268</v>
      </c>
    </row>
    <row r="33" spans="5:24" x14ac:dyDescent="0.3">
      <c r="E33" s="151">
        <v>29</v>
      </c>
      <c r="F33" s="153" t="s">
        <v>72</v>
      </c>
      <c r="G33" s="153" t="s">
        <v>282</v>
      </c>
      <c r="H33" s="153" t="s">
        <v>72</v>
      </c>
      <c r="I33" s="153" t="s">
        <v>283</v>
      </c>
      <c r="J33" s="154">
        <v>8</v>
      </c>
      <c r="K33" s="154">
        <v>12</v>
      </c>
      <c r="L33" s="154">
        <v>10</v>
      </c>
      <c r="M33" s="154">
        <v>2</v>
      </c>
      <c r="N33" s="155">
        <f>_xlfn.NORM.DIST(K33,L33,M33,TRUE)-_xlfn.NORM.DIST(J33,L33,M33,TRUE)</f>
        <v>0.68268949213708607</v>
      </c>
      <c r="O33" s="155" cm="1">
        <f t="array" ref="O33">K_STATS_Normal_IntervalProbability(J33,K33,L33,M33)</f>
        <v>0.68268949213708585</v>
      </c>
      <c r="P33" s="155">
        <v>0.68268949213708585</v>
      </c>
      <c r="Q33" s="155">
        <f t="shared" si="0"/>
        <v>0</v>
      </c>
      <c r="R33" s="155">
        <f t="shared" si="1"/>
        <v>3.2524977677618063E-16</v>
      </c>
      <c r="S33" s="153" t="s">
        <v>231</v>
      </c>
      <c r="T33" s="156" t="str">
        <f>IF($S33="#NUM!",IF(ISERROR($O33),"OK","FAIL"),IF(ISNUMBER($P33),IF(ISNUMBER($O33),IF($P33=0,IF(ABS($O33)&lt;=0.000001,"OK","CHECK"),IF(ABS($O33-$P33)/ABS($P33)&lt;=0.000001,"OK","CHECK")),"CHECK"),"?"))</f>
        <v>OK</v>
      </c>
      <c r="U33" s="153" t="s">
        <v>315</v>
      </c>
      <c r="V33" s="156" t="str">
        <f>IF(ISNUMBER($P33),IF(ISNUMBER($N33),IF($P33=0,IF(ABS($N33)&lt;=0.000001,"right","wrong"),IF(ABS($N33-$P33)/ABS($P33)&lt;=0.000001,"right","wrong")),"wrong"),IF(ISERROR($N33),"right","wrong"))</f>
        <v>right</v>
      </c>
      <c r="W33" s="156" t="str">
        <f>IF(ISNUMBER($P33),IF(ISNUMBER($O33),IF($P33=0,IF(ABS($O33)&lt;=0.000001,"right","wrong"),IF(ABS($O33-$P33)/ABS($P33)&lt;=0.000001,"right","wrong")),"wrong"),IF(ISERROR($O33),"right","wrong"))</f>
        <v>right</v>
      </c>
      <c r="X33" s="225" t="s">
        <v>284</v>
      </c>
    </row>
    <row r="34" spans="5:24" x14ac:dyDescent="0.3">
      <c r="E34" s="151">
        <v>30</v>
      </c>
      <c r="F34" s="153" t="s">
        <v>72</v>
      </c>
      <c r="G34" s="153" t="s">
        <v>282</v>
      </c>
      <c r="H34" s="153" t="s">
        <v>236</v>
      </c>
      <c r="I34" s="153" t="s">
        <v>285</v>
      </c>
      <c r="J34" s="154">
        <v>12</v>
      </c>
      <c r="K34" s="154">
        <v>8</v>
      </c>
      <c r="L34" s="154">
        <v>10</v>
      </c>
      <c r="M34" s="154">
        <v>2</v>
      </c>
      <c r="N34" s="155">
        <f>_xlfn.NORM.DIST(K34,L34,M34,TRUE)-_xlfn.NORM.DIST(J34,L34,M34,TRUE)</f>
        <v>-0.68268949213708607</v>
      </c>
      <c r="O34" s="155" t="e" cm="1">
        <f t="array" ref="O34">K_STATS_Normal_IntervalProbability(J34,K34,L34,M34)</f>
        <v>#NUM!</v>
      </c>
      <c r="P34" s="155" t="e">
        <v>#NUM!</v>
      </c>
      <c r="Q34" s="155" t="str">
        <f t="shared" si="0"/>
        <v/>
      </c>
      <c r="R34" s="155" t="str">
        <f t="shared" si="1"/>
        <v/>
      </c>
      <c r="S34" s="153" t="s">
        <v>81</v>
      </c>
      <c r="T34" s="156" t="str">
        <f>IF($S34="#NUM!",IF(ISERROR($O34),"OK","FAIL"),IF(ISNUMBER($P34),IF(ISNUMBER($O34),IF($P34=0,IF(ABS($O34)&lt;=0.000001,"OK","CHECK"),IF(ABS($O34-$P34)/ABS($P34)&lt;=0.000001,"OK","CHECK")),"CHECK"),"?"))</f>
        <v>OK</v>
      </c>
      <c r="U34" s="153" t="s">
        <v>324</v>
      </c>
      <c r="V34" s="156" t="str">
        <f>IF(ISNUMBER($P34),IF(ISNUMBER($N34),IF($P34=0,IF(ABS($N34)&lt;=0.000001,"right","wrong"),IF(ABS($N34-$P34)/ABS($P34)&lt;=0.000001,"right","wrong")),"wrong"),IF(ISERROR($N34),"right","wrong"))</f>
        <v>wrong</v>
      </c>
      <c r="W34" s="156" t="str">
        <f>IF(ISNUMBER($P34),IF(ISNUMBER($O34),IF($P34=0,IF(ABS($O34)&lt;=0.000001,"right","wrong"),IF(ABS($O34-$P34)/ABS($P34)&lt;=0.000001,"right","wrong")),"wrong"),IF(ISERROR($O34),"right","wrong"))</f>
        <v>right</v>
      </c>
      <c r="X34" s="225" t="s">
        <v>329</v>
      </c>
    </row>
    <row r="35" spans="5:24" x14ac:dyDescent="0.3">
      <c r="E35" s="151">
        <v>31</v>
      </c>
      <c r="F35" s="153" t="s">
        <v>73</v>
      </c>
      <c r="G35" s="153" t="s">
        <v>286</v>
      </c>
      <c r="H35" s="153" t="s">
        <v>72</v>
      </c>
      <c r="I35" s="153" t="s">
        <v>287</v>
      </c>
      <c r="J35" s="154">
        <v>1</v>
      </c>
      <c r="K35" s="154">
        <v>0</v>
      </c>
      <c r="L35" s="154">
        <v>1</v>
      </c>
      <c r="M35" s="154"/>
      <c r="N35" s="155">
        <f>_xlfn.LOGNORM.DIST(J35,K35,L35,FALSE)</f>
        <v>0.39894228040143265</v>
      </c>
      <c r="O35" s="155" cm="1">
        <f t="array" ref="O35">K_STATS_Lognormal_Density(J35,K35,L35)</f>
        <v>0.3989422804014327</v>
      </c>
      <c r="P35" s="155">
        <v>0.3989422804014327</v>
      </c>
      <c r="Q35" s="155">
        <f t="shared" si="0"/>
        <v>0</v>
      </c>
      <c r="R35" s="155">
        <f t="shared" si="1"/>
        <v>1.3914582123358833E-16</v>
      </c>
      <c r="S35" s="153" t="s">
        <v>231</v>
      </c>
      <c r="T35" s="156" t="str">
        <f>IF($S35="#NUM!",IF(ISERROR($O35),"OK","FAIL"),IF(ISNUMBER($P35),IF(ISNUMBER($O35),IF($P35=0,IF(ABS($O35)&lt;=0.000001,"OK","CHECK"),IF(ABS($O35-$P35)/ABS($P35)&lt;=0.000001,"OK","CHECK")),"CHECK"),"?"))</f>
        <v>OK</v>
      </c>
      <c r="U35" s="153" t="s">
        <v>315</v>
      </c>
      <c r="V35" s="156" t="str">
        <f>IF(ISNUMBER($P35),IF(ISNUMBER($N35),IF($P35=0,IF(ABS($N35)&lt;=0.000001,"right","wrong"),IF(ABS($N35-$P35)/ABS($P35)&lt;=0.000001,"right","wrong")),"wrong"),IF(ISERROR($N35),"right","wrong"))</f>
        <v>right</v>
      </c>
      <c r="W35" s="156" t="str">
        <f>IF(ISNUMBER($P35),IF(ISNUMBER($O35),IF($P35=0,IF(ABS($O35)&lt;=0.000001,"right","wrong"),IF(ABS($O35-$P35)/ABS($P35)&lt;=0.000001,"right","wrong")),"wrong"),IF(ISERROR($O35),"right","wrong"))</f>
        <v>right</v>
      </c>
      <c r="X35" s="225" t="s">
        <v>315</v>
      </c>
    </row>
    <row r="36" spans="5:24" x14ac:dyDescent="0.3">
      <c r="E36" s="151">
        <v>32</v>
      </c>
      <c r="F36" s="153" t="s">
        <v>73</v>
      </c>
      <c r="G36" s="153" t="s">
        <v>286</v>
      </c>
      <c r="H36" s="153" t="s">
        <v>236</v>
      </c>
      <c r="I36" s="153" t="s">
        <v>289</v>
      </c>
      <c r="J36" s="154">
        <v>0</v>
      </c>
      <c r="K36" s="154">
        <v>0</v>
      </c>
      <c r="L36" s="154">
        <v>1</v>
      </c>
      <c r="M36" s="154"/>
      <c r="N36" s="155" t="e">
        <f>_xlfn.LOGNORM.DIST(J36,K36,L36,FALSE)</f>
        <v>#NUM!</v>
      </c>
      <c r="O36" s="155" cm="1">
        <f t="array" ref="O36">K_STATS_Lognormal_Density(J36,K36,L36)</f>
        <v>0</v>
      </c>
      <c r="P36" s="155">
        <v>0</v>
      </c>
      <c r="Q36" s="155" t="str">
        <f t="shared" si="0"/>
        <v/>
      </c>
      <c r="R36" s="155" t="str">
        <f t="shared" si="1"/>
        <v/>
      </c>
      <c r="S36" s="153" t="s">
        <v>231</v>
      </c>
      <c r="T36" s="156" t="str">
        <f>IF($S36="#NUM!",IF(ISERROR($O36),"OK","FAIL"),IF(ISNUMBER($P36),IF(ISNUMBER($O36),IF($P36=0,IF(ABS($O36)&lt;=0.000001,"OK","CHECK"),IF(ABS($O36-$P36)/ABS($P36)&lt;=0.000001,"OK","CHECK")),"CHECK"),"?"))</f>
        <v>OK</v>
      </c>
      <c r="U36" s="153" t="s">
        <v>324</v>
      </c>
      <c r="V36" s="156" t="str">
        <f>IF(ISNUMBER($P36),IF(ISNUMBER($N36),IF($P36=0,IF(ABS($N36)&lt;=0.000001,"right","wrong"),IF(ABS($N36-$P36)/ABS($P36)&lt;=0.000001,"right","wrong")),"wrong"),IF(ISERROR($N36),"right","wrong"))</f>
        <v>wrong</v>
      </c>
      <c r="W36" s="156" t="str">
        <f>IF(ISNUMBER($P36),IF(ISNUMBER($O36),IF($P36=0,IF(ABS($O36)&lt;=0.000001,"right","wrong"),IF(ABS($O36-$P36)/ABS($P36)&lt;=0.000001,"right","wrong")),"wrong"),IF(ISERROR($O36),"right","wrong"))</f>
        <v>right</v>
      </c>
      <c r="X36" s="225" t="s">
        <v>290</v>
      </c>
    </row>
    <row r="37" spans="5:24" x14ac:dyDescent="0.3">
      <c r="E37" s="151">
        <v>33</v>
      </c>
      <c r="F37" s="153" t="s">
        <v>73</v>
      </c>
      <c r="G37" s="153" t="s">
        <v>288</v>
      </c>
      <c r="H37" s="153" t="s">
        <v>72</v>
      </c>
      <c r="I37" s="153" t="s">
        <v>287</v>
      </c>
      <c r="J37" s="154">
        <v>1</v>
      </c>
      <c r="K37" s="154">
        <v>0</v>
      </c>
      <c r="L37" s="154">
        <v>1</v>
      </c>
      <c r="M37" s="154"/>
      <c r="N37" s="155">
        <f>_xlfn.LOGNORM.DIST(J37,K37,L37,TRUE)</f>
        <v>0.5</v>
      </c>
      <c r="O37" s="155" cm="1">
        <f t="array" ref="O37">K_STATS_Lognormal_Cumulative(J37,K37,L37)</f>
        <v>0.5</v>
      </c>
      <c r="P37" s="155">
        <v>0.5</v>
      </c>
      <c r="Q37" s="155">
        <f t="shared" ref="Q37:Q55" si="2">IF(ISNUMBER(P37),IF(ISNUMBER(O37),IF(P37&lt;&gt;0,ABS(O37-P37)/ABS(P37),""),""),"")</f>
        <v>0</v>
      </c>
      <c r="R37" s="155">
        <f t="shared" ref="R37:R55" si="3">IF(ISNUMBER(P37),IF(ISNUMBER(N37),IF(P37&lt;&gt;0,ABS(N37-P37)/ABS(P37),""),""),"")</f>
        <v>0</v>
      </c>
      <c r="S37" s="153" t="s">
        <v>231</v>
      </c>
      <c r="T37" s="156" t="str">
        <f>IF($S37="#NUM!",IF(ISERROR($O37),"OK","FAIL"),IF(ISNUMBER($P37),IF(ISNUMBER($O37),IF($P37=0,IF(ABS($O37)&lt;=0.000001,"OK","CHECK"),IF(ABS($O37-$P37)/ABS($P37)&lt;=0.000001,"OK","CHECK")),"CHECK"),"?"))</f>
        <v>OK</v>
      </c>
      <c r="U37" s="153" t="s">
        <v>315</v>
      </c>
      <c r="V37" s="156" t="str">
        <f>IF(ISNUMBER($P37),IF(ISNUMBER($N37),IF($P37=0,IF(ABS($N37)&lt;=0.000001,"right","wrong"),IF(ABS($N37-$P37)/ABS($P37)&lt;=0.000001,"right","wrong")),"wrong"),IF(ISERROR($N37),"right","wrong"))</f>
        <v>right</v>
      </c>
      <c r="W37" s="156" t="str">
        <f>IF(ISNUMBER($P37),IF(ISNUMBER($O37),IF($P37=0,IF(ABS($O37)&lt;=0.000001,"right","wrong"),IF(ABS($O37-$P37)/ABS($P37)&lt;=0.000001,"right","wrong")),"wrong"),IF(ISERROR($O37),"right","wrong"))</f>
        <v>right</v>
      </c>
      <c r="X37" s="225" t="s">
        <v>77</v>
      </c>
    </row>
    <row r="38" spans="5:24" x14ac:dyDescent="0.3">
      <c r="E38" s="151">
        <v>34</v>
      </c>
      <c r="F38" s="153" t="s">
        <v>73</v>
      </c>
      <c r="G38" s="153" t="s">
        <v>288</v>
      </c>
      <c r="H38" s="153" t="s">
        <v>236</v>
      </c>
      <c r="I38" s="153" t="s">
        <v>289</v>
      </c>
      <c r="J38" s="154">
        <v>0</v>
      </c>
      <c r="K38" s="154">
        <v>0</v>
      </c>
      <c r="L38" s="154">
        <v>1</v>
      </c>
      <c r="M38" s="154"/>
      <c r="N38" s="155" t="e">
        <f>_xlfn.LOGNORM.DIST(J38,K38,L38,TRUE)</f>
        <v>#NUM!</v>
      </c>
      <c r="O38" s="155" cm="1">
        <f t="array" ref="O38">K_STATS_Lognormal_Cumulative(J38,K38,L38)</f>
        <v>0</v>
      </c>
      <c r="P38" s="155">
        <v>0</v>
      </c>
      <c r="Q38" s="155" t="str">
        <f t="shared" si="2"/>
        <v/>
      </c>
      <c r="R38" s="155" t="str">
        <f t="shared" si="3"/>
        <v/>
      </c>
      <c r="S38" s="153" t="s">
        <v>231</v>
      </c>
      <c r="T38" s="156" t="str">
        <f>IF($S38="#NUM!",IF(ISERROR($O38),"OK","FAIL"),IF(ISNUMBER($P38),IF(ISNUMBER($O38),IF($P38=0,IF(ABS($O38)&lt;=0.000001,"OK","CHECK"),IF(ABS($O38-$P38)/ABS($P38)&lt;=0.000001,"OK","CHECK")),"CHECK"),"?"))</f>
        <v>OK</v>
      </c>
      <c r="U38" s="153" t="s">
        <v>324</v>
      </c>
      <c r="V38" s="156" t="str">
        <f>IF(ISNUMBER($P38),IF(ISNUMBER($N38),IF($P38=0,IF(ABS($N38)&lt;=0.000001,"right","wrong"),IF(ABS($N38-$P38)/ABS($P38)&lt;=0.000001,"right","wrong")),"wrong"),IF(ISERROR($N38),"right","wrong"))</f>
        <v>wrong</v>
      </c>
      <c r="W38" s="156" t="str">
        <f>IF(ISNUMBER($P38),IF(ISNUMBER($O38),IF($P38=0,IF(ABS($O38)&lt;=0.000001,"right","wrong"),IF(ABS($O38-$P38)/ABS($P38)&lt;=0.000001,"right","wrong")),"wrong"),IF(ISERROR($O38),"right","wrong"))</f>
        <v>right</v>
      </c>
      <c r="X38" s="225" t="s">
        <v>290</v>
      </c>
    </row>
    <row r="39" spans="5:24" x14ac:dyDescent="0.3">
      <c r="E39" s="151">
        <v>35</v>
      </c>
      <c r="F39" s="153" t="s">
        <v>73</v>
      </c>
      <c r="G39" s="153" t="s">
        <v>291</v>
      </c>
      <c r="H39" s="153" t="s">
        <v>72</v>
      </c>
      <c r="I39" s="153" t="s">
        <v>287</v>
      </c>
      <c r="J39" s="154">
        <v>1</v>
      </c>
      <c r="K39" s="154">
        <v>0</v>
      </c>
      <c r="L39" s="154">
        <v>1</v>
      </c>
      <c r="M39" s="154"/>
      <c r="N39" s="155">
        <f>1-_xlfn.LOGNORM.DIST(J39,K39,L39,TRUE)</f>
        <v>0.5</v>
      </c>
      <c r="O39" s="155" cm="1">
        <f t="array" ref="O39">K_STATS_Lognormal_Survival(J39,K39,L39)</f>
        <v>0.5</v>
      </c>
      <c r="P39" s="155">
        <v>0.5</v>
      </c>
      <c r="Q39" s="155">
        <f t="shared" si="2"/>
        <v>0</v>
      </c>
      <c r="R39" s="155">
        <f t="shared" si="3"/>
        <v>0</v>
      </c>
      <c r="S39" s="153" t="s">
        <v>231</v>
      </c>
      <c r="T39" s="156" t="str">
        <f>IF($S39="#NUM!",IF(ISERROR($O39),"OK","FAIL"),IF(ISNUMBER($P39),IF(ISNUMBER($O39),IF($P39=0,IF(ABS($O39)&lt;=0.000001,"OK","CHECK"),IF(ABS($O39-$P39)/ABS($P39)&lt;=0.000001,"OK","CHECK")),"CHECK"),"?"))</f>
        <v>OK</v>
      </c>
      <c r="U39" s="153" t="s">
        <v>315</v>
      </c>
      <c r="V39" s="156" t="str">
        <f>IF(ISNUMBER($P39),IF(ISNUMBER($N39),IF($P39=0,IF(ABS($N39)&lt;=0.000001,"right","wrong"),IF(ABS($N39-$P39)/ABS($P39)&lt;=0.000001,"right","wrong")),"wrong"),IF(ISERROR($N39),"right","wrong"))</f>
        <v>right</v>
      </c>
      <c r="W39" s="156" t="str">
        <f>IF(ISNUMBER($P39),IF(ISNUMBER($O39),IF($P39=0,IF(ABS($O39)&lt;=0.000001,"right","wrong"),IF(ABS($O39-$P39)/ABS($P39)&lt;=0.000001,"right","wrong")),"wrong"),IF(ISERROR($O39),"right","wrong"))</f>
        <v>right</v>
      </c>
      <c r="X39" s="225" t="s">
        <v>77</v>
      </c>
    </row>
    <row r="40" spans="5:24" x14ac:dyDescent="0.3">
      <c r="E40" s="151">
        <v>36</v>
      </c>
      <c r="F40" s="153" t="s">
        <v>73</v>
      </c>
      <c r="G40" s="153" t="s">
        <v>291</v>
      </c>
      <c r="H40" s="153" t="s">
        <v>236</v>
      </c>
      <c r="I40" s="153" t="s">
        <v>292</v>
      </c>
      <c r="J40" s="154">
        <v>0</v>
      </c>
      <c r="K40" s="154">
        <v>0</v>
      </c>
      <c r="L40" s="154">
        <v>1</v>
      </c>
      <c r="M40" s="154"/>
      <c r="N40" s="155" t="e">
        <f>1-_xlfn.LOGNORM.DIST(J40,K40,L40,TRUE)</f>
        <v>#NUM!</v>
      </c>
      <c r="O40" s="155" cm="1">
        <f t="array" ref="O40">K_STATS_Lognormal_Survival(J40,K40,L40)</f>
        <v>1</v>
      </c>
      <c r="P40" s="155">
        <v>1</v>
      </c>
      <c r="Q40" s="155">
        <f t="shared" si="2"/>
        <v>0</v>
      </c>
      <c r="R40" s="155" t="str">
        <f t="shared" si="3"/>
        <v/>
      </c>
      <c r="S40" s="153" t="s">
        <v>231</v>
      </c>
      <c r="T40" s="156" t="str">
        <f>IF($S40="#NUM!",IF(ISERROR($O40),"OK","FAIL"),IF(ISNUMBER($P40),IF(ISNUMBER($O40),IF($P40=0,IF(ABS($O40)&lt;=0.000001,"OK","CHECK"),IF(ABS($O40-$P40)/ABS($P40)&lt;=0.000001,"OK","CHECK")),"CHECK"),"?"))</f>
        <v>OK</v>
      </c>
      <c r="U40" s="153" t="s">
        <v>324</v>
      </c>
      <c r="V40" s="156" t="str">
        <f>IF(ISNUMBER($P40),IF(ISNUMBER($N40),IF($P40=0,IF(ABS($N40)&lt;=0.000001,"right","wrong"),IF(ABS($N40-$P40)/ABS($P40)&lt;=0.000001,"right","wrong")),"wrong"),IF(ISERROR($N40),"right","wrong"))</f>
        <v>wrong</v>
      </c>
      <c r="W40" s="156" t="str">
        <f>IF(ISNUMBER($P40),IF(ISNUMBER($O40),IF($P40=0,IF(ABS($O40)&lt;=0.000001,"right","wrong"),IF(ABS($O40-$P40)/ABS($P40)&lt;=0.000001,"right","wrong")),"wrong"),IF(ISERROR($O40),"right","wrong"))</f>
        <v>right</v>
      </c>
      <c r="X40" s="225" t="s">
        <v>293</v>
      </c>
    </row>
    <row r="41" spans="5:24" x14ac:dyDescent="0.3">
      <c r="E41" s="151">
        <v>37</v>
      </c>
      <c r="F41" s="153" t="s">
        <v>73</v>
      </c>
      <c r="G41" s="153" t="s">
        <v>294</v>
      </c>
      <c r="H41" s="153" t="s">
        <v>72</v>
      </c>
      <c r="I41" s="153" t="s">
        <v>295</v>
      </c>
      <c r="J41" s="154">
        <v>0.5</v>
      </c>
      <c r="K41" s="154">
        <v>0</v>
      </c>
      <c r="L41" s="154">
        <v>1</v>
      </c>
      <c r="M41" s="154"/>
      <c r="N41" s="155">
        <f>_xlfn.LOGNORM.INV(J41,K41,L41)</f>
        <v>1</v>
      </c>
      <c r="O41" s="155" cm="1">
        <f t="array" ref="O41">K_STATS_Lognormal_InverseCumulative(J41,K41,L41)</f>
        <v>1</v>
      </c>
      <c r="P41" s="155">
        <v>1</v>
      </c>
      <c r="Q41" s="155">
        <f t="shared" si="2"/>
        <v>0</v>
      </c>
      <c r="R41" s="155">
        <f t="shared" si="3"/>
        <v>0</v>
      </c>
      <c r="S41" s="153" t="s">
        <v>231</v>
      </c>
      <c r="T41" s="156" t="str">
        <f>IF($S41="#NUM!",IF(ISERROR($O41),"OK","FAIL"),IF(ISNUMBER($P41),IF(ISNUMBER($O41),IF($P41=0,IF(ABS($O41)&lt;=0.000001,"OK","CHECK"),IF(ABS($O41-$P41)/ABS($P41)&lt;=0.000001,"OK","CHECK")),"CHECK"),"?"))</f>
        <v>OK</v>
      </c>
      <c r="U41" s="153" t="s">
        <v>315</v>
      </c>
      <c r="V41" s="156" t="str">
        <f>IF(ISNUMBER($P41),IF(ISNUMBER($N41),IF($P41=0,IF(ABS($N41)&lt;=0.000001,"right","wrong"),IF(ABS($N41-$P41)/ABS($P41)&lt;=0.000001,"right","wrong")),"wrong"),IF(ISERROR($N41),"right","wrong"))</f>
        <v>right</v>
      </c>
      <c r="W41" s="156" t="str">
        <f>IF(ISNUMBER($P41),IF(ISNUMBER($O41),IF($P41=0,IF(ABS($O41)&lt;=0.000001,"right","wrong"),IF(ABS($O41-$P41)/ABS($P41)&lt;=0.000001,"right","wrong")),"wrong"),IF(ISERROR($O41),"right","wrong"))</f>
        <v>right</v>
      </c>
      <c r="X41" s="225" t="s">
        <v>318</v>
      </c>
    </row>
    <row r="42" spans="5:24" x14ac:dyDescent="0.3">
      <c r="E42" s="151">
        <v>38</v>
      </c>
      <c r="F42" s="153" t="s">
        <v>73</v>
      </c>
      <c r="G42" s="153" t="s">
        <v>294</v>
      </c>
      <c r="H42" s="153" t="s">
        <v>236</v>
      </c>
      <c r="I42" s="153" t="s">
        <v>245</v>
      </c>
      <c r="J42" s="154">
        <v>0</v>
      </c>
      <c r="K42" s="154">
        <v>0</v>
      </c>
      <c r="L42" s="154">
        <v>1</v>
      </c>
      <c r="M42" s="154"/>
      <c r="N42" s="155" t="e">
        <f>_xlfn.LOGNORM.INV(J42,K42,L42)</f>
        <v>#NUM!</v>
      </c>
      <c r="O42" s="155" t="e" cm="1">
        <f t="array" ref="O42">K_STATS_Lognormal_InverseCumulative(J42,K42,L42)</f>
        <v>#NUM!</v>
      </c>
      <c r="P42" s="155">
        <v>0</v>
      </c>
      <c r="Q42" s="155" t="str">
        <f t="shared" si="2"/>
        <v/>
      </c>
      <c r="R42" s="155" t="str">
        <f t="shared" si="3"/>
        <v/>
      </c>
      <c r="S42" s="153" t="s">
        <v>81</v>
      </c>
      <c r="T42" s="156" t="str">
        <f>IF($S42="#NUM!",IF(ISERROR($O42),"OK","FAIL"),IF(ISNUMBER($P42),IF(ISNUMBER($O42),IF($P42=0,IF(ABS($O42)&lt;=0.000001,"OK","CHECK"),IF(ABS($O42-$P42)/ABS($P42)&lt;=0.000001,"OK","CHECK")),"CHECK"),"?"))</f>
        <v>OK</v>
      </c>
      <c r="U42" s="153" t="s">
        <v>326</v>
      </c>
      <c r="V42" s="156" t="str">
        <f>IF(ISNUMBER($P42),IF(ISNUMBER($N42),IF($P42=0,IF(ABS($N42)&lt;=0.000001,"right","wrong"),IF(ABS($N42-$P42)/ABS($P42)&lt;=0.000001,"right","wrong")),"wrong"),IF(ISERROR($N42),"right","wrong"))</f>
        <v>wrong</v>
      </c>
      <c r="W42" s="156" t="str">
        <f>IF(ISNUMBER($P42),IF(ISNUMBER($O42),IF($P42=0,IF(ABS($O42)&lt;=0.000001,"right","wrong"),IF(ABS($O42-$P42)/ABS($P42)&lt;=0.000001,"right","wrong")),"wrong"),IF(ISERROR($O42),"right","wrong"))</f>
        <v>wrong</v>
      </c>
      <c r="X42" s="225" t="s">
        <v>246</v>
      </c>
    </row>
    <row r="43" spans="5:24" x14ac:dyDescent="0.3">
      <c r="E43" s="151">
        <v>39</v>
      </c>
      <c r="F43" s="153" t="s">
        <v>73</v>
      </c>
      <c r="G43" s="153" t="s">
        <v>296</v>
      </c>
      <c r="H43" s="153" t="s">
        <v>72</v>
      </c>
      <c r="I43" s="153" t="s">
        <v>297</v>
      </c>
      <c r="J43" s="154">
        <v>0.5</v>
      </c>
      <c r="K43" s="154">
        <v>0</v>
      </c>
      <c r="L43" s="154">
        <v>1</v>
      </c>
      <c r="M43" s="154"/>
      <c r="N43" s="155">
        <f>_xlfn.LOGNORM.INV(1-J43,K43,L43)</f>
        <v>1</v>
      </c>
      <c r="O43" s="155" cm="1">
        <f t="array" ref="O43">K_STATS_Lognormal_InverseSurvival(J43,K43,L43)</f>
        <v>1</v>
      </c>
      <c r="P43" s="155">
        <v>1</v>
      </c>
      <c r="Q43" s="155">
        <f t="shared" si="2"/>
        <v>0</v>
      </c>
      <c r="R43" s="155">
        <f t="shared" si="3"/>
        <v>0</v>
      </c>
      <c r="S43" s="153" t="s">
        <v>231</v>
      </c>
      <c r="T43" s="156" t="str">
        <f>IF($S43="#NUM!",IF(ISERROR($O43),"OK","FAIL"),IF(ISNUMBER($P43),IF(ISNUMBER($O43),IF($P43=0,IF(ABS($O43)&lt;=0.000001,"OK","CHECK"),IF(ABS($O43-$P43)/ABS($P43)&lt;=0.000001,"OK","CHECK")),"CHECK"),"?"))</f>
        <v>OK</v>
      </c>
      <c r="U43" s="153" t="s">
        <v>315</v>
      </c>
      <c r="V43" s="156" t="str">
        <f>IF(ISNUMBER($P43),IF(ISNUMBER($N43),IF($P43=0,IF(ABS($N43)&lt;=0.000001,"right","wrong"),IF(ABS($N43-$P43)/ABS($P43)&lt;=0.000001,"right","wrong")),"wrong"),IF(ISERROR($N43),"right","wrong"))</f>
        <v>right</v>
      </c>
      <c r="W43" s="156" t="str">
        <f>IF(ISNUMBER($P43),IF(ISNUMBER($O43),IF($P43=0,IF(ABS($O43)&lt;=0.000001,"right","wrong"),IF(ABS($O43-$P43)/ABS($P43)&lt;=0.000001,"right","wrong")),"wrong"),IF(ISERROR($O43),"right","wrong"))</f>
        <v>right</v>
      </c>
      <c r="X43" s="225" t="s">
        <v>318</v>
      </c>
    </row>
    <row r="44" spans="5:24" x14ac:dyDescent="0.3">
      <c r="E44" s="151">
        <v>40</v>
      </c>
      <c r="F44" s="153" t="s">
        <v>73</v>
      </c>
      <c r="G44" s="153" t="s">
        <v>296</v>
      </c>
      <c r="H44" s="153" t="s">
        <v>72</v>
      </c>
      <c r="I44" s="153" t="s">
        <v>298</v>
      </c>
      <c r="J44" s="154">
        <v>2.5000000000000001E-2</v>
      </c>
      <c r="K44" s="154">
        <v>0</v>
      </c>
      <c r="L44" s="154">
        <v>1</v>
      </c>
      <c r="M44" s="154"/>
      <c r="N44" s="155">
        <f>_xlfn.LOGNORM.INV(1-J44,K44,L44)</f>
        <v>7.0990713842313315</v>
      </c>
      <c r="O44" s="155" cm="1">
        <f t="array" ref="O44">K_STATS_Lognormal_InverseSurvival(J44,K44,L44)</f>
        <v>7.0990713842313378</v>
      </c>
      <c r="P44" s="155">
        <v>7.0990713842313378</v>
      </c>
      <c r="Q44" s="155">
        <f t="shared" si="2"/>
        <v>0</v>
      </c>
      <c r="R44" s="155">
        <f t="shared" si="3"/>
        <v>8.7578340904006256E-16</v>
      </c>
      <c r="S44" s="153" t="s">
        <v>231</v>
      </c>
      <c r="T44" s="156" t="str">
        <f>IF($S44="#NUM!",IF(ISERROR($O44),"OK","FAIL"),IF(ISNUMBER($P44),IF(ISNUMBER($O44),IF($P44=0,IF(ABS($O44)&lt;=0.000001,"OK","CHECK"),IF(ABS($O44-$P44)/ABS($P44)&lt;=0.000001,"OK","CHECK")),"CHECK"),"?"))</f>
        <v>OK</v>
      </c>
      <c r="U44" s="153" t="s">
        <v>315</v>
      </c>
      <c r="V44" s="156" t="str">
        <f>IF(ISNUMBER($P44),IF(ISNUMBER($N44),IF($P44=0,IF(ABS($N44)&lt;=0.000001,"right","wrong"),IF(ABS($N44-$P44)/ABS($P44)&lt;=0.000001,"right","wrong")),"wrong"),IF(ISERROR($N44),"right","wrong"))</f>
        <v>right</v>
      </c>
      <c r="W44" s="156" t="str">
        <f>IF(ISNUMBER($P44),IF(ISNUMBER($O44),IF($P44=0,IF(ABS($O44)&lt;=0.000001,"right","wrong"),IF(ABS($O44-$P44)/ABS($P44)&lt;=0.000001,"right","wrong")),"wrong"),IF(ISERROR($O44),"right","wrong"))</f>
        <v>right</v>
      </c>
      <c r="X44" s="225" t="s">
        <v>319</v>
      </c>
    </row>
    <row r="45" spans="5:24" x14ac:dyDescent="0.3">
      <c r="E45" s="151">
        <v>41</v>
      </c>
      <c r="F45" s="153" t="s">
        <v>73</v>
      </c>
      <c r="G45" s="153" t="s">
        <v>299</v>
      </c>
      <c r="H45" s="153" t="s">
        <v>72</v>
      </c>
      <c r="I45" s="153" t="s">
        <v>300</v>
      </c>
      <c r="J45" s="154">
        <v>0</v>
      </c>
      <c r="K45" s="154">
        <v>1</v>
      </c>
      <c r="L45" s="154"/>
      <c r="M45" s="154"/>
      <c r="N45" s="155">
        <f>EXP(J45+0.5*K45^2)</f>
        <v>1.6487212707001282</v>
      </c>
      <c r="O45" s="155" cm="1">
        <f t="array" ref="O45">K_STATS_Lognormal_Mean(J45,K45)</f>
        <v>1.6487212707001282</v>
      </c>
      <c r="P45" s="155">
        <v>1.6487212707001282</v>
      </c>
      <c r="Q45" s="155">
        <f t="shared" si="2"/>
        <v>0</v>
      </c>
      <c r="R45" s="155">
        <f t="shared" si="3"/>
        <v>0</v>
      </c>
      <c r="S45" s="153" t="s">
        <v>231</v>
      </c>
      <c r="T45" s="156" t="str">
        <f>IF($S45="#NUM!",IF(ISERROR($O45),"OK","FAIL"),IF(ISNUMBER($P45),IF(ISNUMBER($O45),IF($P45=0,IF(ABS($O45)&lt;=0.000001,"OK","CHECK"),IF(ABS($O45-$P45)/ABS($P45)&lt;=0.000001,"OK","CHECK")),"CHECK"),"?"))</f>
        <v>OK</v>
      </c>
      <c r="U45" s="153" t="s">
        <v>315</v>
      </c>
      <c r="V45" s="156" t="str">
        <f>IF(ISNUMBER($P45),IF(ISNUMBER($N45),IF($P45=0,IF(ABS($N45)&lt;=0.000001,"right","wrong"),IF(ABS($N45-$P45)/ABS($P45)&lt;=0.000001,"right","wrong")),"wrong"),IF(ISERROR($N45),"right","wrong"))</f>
        <v>right</v>
      </c>
      <c r="W45" s="156" t="str">
        <f>IF(ISNUMBER($P45),IF(ISNUMBER($O45),IF($P45=0,IF(ABS($O45)&lt;=0.000001,"right","wrong"),IF(ABS($O45-$P45)/ABS($P45)&lt;=0.000001,"right","wrong")),"wrong"),IF(ISERROR($O45),"right","wrong"))</f>
        <v>right</v>
      </c>
      <c r="X45" s="225" t="s">
        <v>301</v>
      </c>
    </row>
    <row r="46" spans="5:24" x14ac:dyDescent="0.3">
      <c r="E46" s="151">
        <v>42</v>
      </c>
      <c r="F46" s="153" t="s">
        <v>73</v>
      </c>
      <c r="G46" s="153" t="s">
        <v>299</v>
      </c>
      <c r="H46" s="153" t="s">
        <v>236</v>
      </c>
      <c r="I46" s="153" t="s">
        <v>302</v>
      </c>
      <c r="J46" s="154">
        <v>1000</v>
      </c>
      <c r="K46" s="154">
        <v>1</v>
      </c>
      <c r="L46" s="154"/>
      <c r="M46" s="154"/>
      <c r="N46" s="155" t="e">
        <f>EXP(J46+0.5*K46^2)</f>
        <v>#NUM!</v>
      </c>
      <c r="O46" s="155" t="e" cm="1">
        <f t="array" ref="O46">K_STATS_Lognormal_Mean(J46,K46)</f>
        <v>#NUM!</v>
      </c>
      <c r="P46" s="155" t="e">
        <v>#NUM!</v>
      </c>
      <c r="Q46" s="155" t="str">
        <f t="shared" si="2"/>
        <v/>
      </c>
      <c r="R46" s="155" t="str">
        <f t="shared" si="3"/>
        <v/>
      </c>
      <c r="S46" s="153" t="s">
        <v>81</v>
      </c>
      <c r="T46" s="156" t="str">
        <f>IF($S46="#NUM!",IF(ISERROR($O46),"OK","FAIL"),IF(ISNUMBER($P46),IF(ISNUMBER($O46),IF($P46=0,IF(ABS($O46)&lt;=0.000001,"OK","CHECK"),IF(ABS($O46-$P46)/ABS($P46)&lt;=0.000001,"OK","CHECK")),"CHECK"),"?"))</f>
        <v>OK</v>
      </c>
      <c r="U46" s="153" t="s">
        <v>328</v>
      </c>
      <c r="V46" s="156" t="str">
        <f>IF(ISNUMBER($P46),IF(ISNUMBER($N46),IF($P46=0,IF(ABS($N46)&lt;=0.000001,"right","wrong"),IF(ABS($N46-$P46)/ABS($P46)&lt;=0.000001,"right","wrong")),"wrong"),IF(ISERROR($N46),"right","wrong"))</f>
        <v>right</v>
      </c>
      <c r="W46" s="156" t="str">
        <f>IF(ISNUMBER($P46),IF(ISNUMBER($O46),IF($P46=0,IF(ABS($O46)&lt;=0.000001,"right","wrong"),IF(ABS($O46-$P46)/ABS($P46)&lt;=0.000001,"right","wrong")),"wrong"),IF(ISERROR($O46),"right","wrong"))</f>
        <v>right</v>
      </c>
      <c r="X46" s="225" t="s">
        <v>303</v>
      </c>
    </row>
    <row r="47" spans="5:24" x14ac:dyDescent="0.3">
      <c r="E47" s="151">
        <v>43</v>
      </c>
      <c r="F47" s="153" t="s">
        <v>73</v>
      </c>
      <c r="G47" s="153" t="s">
        <v>299</v>
      </c>
      <c r="H47" s="153" t="s">
        <v>236</v>
      </c>
      <c r="I47" s="153" t="s">
        <v>304</v>
      </c>
      <c r="J47" s="154">
        <v>-1000</v>
      </c>
      <c r="K47" s="154">
        <v>1</v>
      </c>
      <c r="L47" s="154"/>
      <c r="M47" s="154"/>
      <c r="N47" s="155">
        <f>EXP(J47+0.5*K47^2)</f>
        <v>0</v>
      </c>
      <c r="O47" s="155" cm="1">
        <f t="array" ref="O47">K_STATS_Lognormal_Mean(J47,K47)</f>
        <v>0</v>
      </c>
      <c r="P47" s="155">
        <v>0</v>
      </c>
      <c r="Q47" s="155" t="str">
        <f t="shared" si="2"/>
        <v/>
      </c>
      <c r="R47" s="155" t="str">
        <f t="shared" si="3"/>
        <v/>
      </c>
      <c r="S47" s="153" t="s">
        <v>231</v>
      </c>
      <c r="T47" s="156" t="str">
        <f>IF($S47="#NUM!",IF(ISERROR($O47),"OK","FAIL"),IF(ISNUMBER($P47),IF(ISNUMBER($O47),IF($P47=0,IF(ABS($O47)&lt;=0.000001,"OK","CHECK"),IF(ABS($O47-$P47)/ABS($P47)&lt;=0.000001,"OK","CHECK")),"CHECK"),"?"))</f>
        <v>OK</v>
      </c>
      <c r="U47" s="153" t="s">
        <v>315</v>
      </c>
      <c r="V47" s="156" t="str">
        <f>IF(ISNUMBER($P47),IF(ISNUMBER($N47),IF($P47=0,IF(ABS($N47)&lt;=0.000001,"right","wrong"),IF(ABS($N47-$P47)/ABS($P47)&lt;=0.000001,"right","wrong")),"wrong"),IF(ISERROR($N47),"right","wrong"))</f>
        <v>right</v>
      </c>
      <c r="W47" s="156" t="str">
        <f>IF(ISNUMBER($P47),IF(ISNUMBER($O47),IF($P47=0,IF(ABS($O47)&lt;=0.000001,"right","wrong"),IF(ABS($O47-$P47)/ABS($P47)&lt;=0.000001,"right","wrong")),"wrong"),IF(ISERROR($O47),"right","wrong"))</f>
        <v>right</v>
      </c>
      <c r="X47" s="225" t="s">
        <v>305</v>
      </c>
    </row>
    <row r="48" spans="5:24" x14ac:dyDescent="0.3">
      <c r="E48" s="151">
        <v>44</v>
      </c>
      <c r="F48" s="153" t="s">
        <v>73</v>
      </c>
      <c r="G48" s="153" t="s">
        <v>306</v>
      </c>
      <c r="H48" s="153" t="s">
        <v>72</v>
      </c>
      <c r="I48" s="153" t="s">
        <v>300</v>
      </c>
      <c r="J48" s="154">
        <v>0</v>
      </c>
      <c r="K48" s="154">
        <v>1</v>
      </c>
      <c r="L48" s="154"/>
      <c r="M48" s="154"/>
      <c r="N48" s="155">
        <f>(EXP(K48^2)-1)*EXP(2*J48+K48^2)</f>
        <v>4.670774270471604</v>
      </c>
      <c r="O48" s="155" cm="1">
        <f t="array" ref="O48">K_STATS_Lognormal_Variance(J48,K48)</f>
        <v>4.670774270471604</v>
      </c>
      <c r="P48" s="155">
        <v>4.670774270471604</v>
      </c>
      <c r="Q48" s="155">
        <f t="shared" si="2"/>
        <v>0</v>
      </c>
      <c r="R48" s="155">
        <f t="shared" si="3"/>
        <v>0</v>
      </c>
      <c r="S48" s="153" t="s">
        <v>231</v>
      </c>
      <c r="T48" s="156" t="str">
        <f>IF($S48="#NUM!",IF(ISERROR($O48),"OK","FAIL"),IF(ISNUMBER($P48),IF(ISNUMBER($O48),IF($P48=0,IF(ABS($O48)&lt;=0.000001,"OK","CHECK"),IF(ABS($O48-$P48)/ABS($P48)&lt;=0.000001,"OK","CHECK")),"CHECK"),"?"))</f>
        <v>OK</v>
      </c>
      <c r="U48" s="153" t="s">
        <v>315</v>
      </c>
      <c r="V48" s="156" t="str">
        <f>IF(ISNUMBER($P48),IF(ISNUMBER($N48),IF($P48=0,IF(ABS($N48)&lt;=0.000001,"right","wrong"),IF(ABS($N48-$P48)/ABS($P48)&lt;=0.000001,"right","wrong")),"wrong"),IF(ISERROR($N48),"right","wrong"))</f>
        <v>right</v>
      </c>
      <c r="W48" s="156" t="str">
        <f>IF(ISNUMBER($P48),IF(ISNUMBER($O48),IF($P48=0,IF(ABS($O48)&lt;=0.000001,"right","wrong"),IF(ABS($O48-$P48)/ABS($P48)&lt;=0.000001,"right","wrong")),"wrong"),IF(ISERROR($O48),"right","wrong"))</f>
        <v>right</v>
      </c>
      <c r="X48" s="225" t="s">
        <v>315</v>
      </c>
    </row>
    <row r="49" spans="5:24" x14ac:dyDescent="0.3">
      <c r="E49" s="151">
        <v>45</v>
      </c>
      <c r="F49" s="153" t="s">
        <v>73</v>
      </c>
      <c r="G49" s="153" t="s">
        <v>306</v>
      </c>
      <c r="H49" s="153" t="s">
        <v>236</v>
      </c>
      <c r="I49" s="153" t="s">
        <v>302</v>
      </c>
      <c r="J49" s="154">
        <v>1000</v>
      </c>
      <c r="K49" s="154">
        <v>1</v>
      </c>
      <c r="L49" s="154"/>
      <c r="M49" s="154"/>
      <c r="N49" s="155" t="e">
        <f>(EXP(K49^2)-1)*EXP(2*J49+K49^2)</f>
        <v>#NUM!</v>
      </c>
      <c r="O49" s="155" t="e" cm="1">
        <f t="array" ref="O49">K_STATS_Lognormal_Variance(J49,K49)</f>
        <v>#NUM!</v>
      </c>
      <c r="P49" s="155" t="e">
        <v>#NUM!</v>
      </c>
      <c r="Q49" s="155" t="str">
        <f t="shared" si="2"/>
        <v/>
      </c>
      <c r="R49" s="155" t="str">
        <f t="shared" si="3"/>
        <v/>
      </c>
      <c r="S49" s="153" t="s">
        <v>81</v>
      </c>
      <c r="T49" s="156" t="str">
        <f>IF($S49="#NUM!",IF(ISERROR($O49),"OK","FAIL"),IF(ISNUMBER($P49),IF(ISNUMBER($O49),IF($P49=0,IF(ABS($O49)&lt;=0.000001,"OK","CHECK"),IF(ABS($O49-$P49)/ABS($P49)&lt;=0.000001,"OK","CHECK")),"CHECK"),"?"))</f>
        <v>OK</v>
      </c>
      <c r="U49" s="153" t="s">
        <v>328</v>
      </c>
      <c r="V49" s="156" t="str">
        <f>IF(ISNUMBER($P49),IF(ISNUMBER($N49),IF($P49=0,IF(ABS($N49)&lt;=0.000001,"right","wrong"),IF(ABS($N49-$P49)/ABS($P49)&lt;=0.000001,"right","wrong")),"wrong"),IF(ISERROR($N49),"right","wrong"))</f>
        <v>right</v>
      </c>
      <c r="W49" s="156" t="str">
        <f>IF(ISNUMBER($P49),IF(ISNUMBER($O49),IF($P49=0,IF(ABS($O49)&lt;=0.000001,"right","wrong"),IF(ABS($O49-$P49)/ABS($P49)&lt;=0.000001,"right","wrong")),"wrong"),IF(ISERROR($O49),"right","wrong"))</f>
        <v>right</v>
      </c>
      <c r="X49" s="225" t="s">
        <v>307</v>
      </c>
    </row>
    <row r="50" spans="5:24" x14ac:dyDescent="0.3">
      <c r="E50" s="151">
        <v>46</v>
      </c>
      <c r="F50" s="153" t="s">
        <v>73</v>
      </c>
      <c r="G50" s="153" t="s">
        <v>308</v>
      </c>
      <c r="H50" s="153" t="s">
        <v>72</v>
      </c>
      <c r="I50" s="153" t="s">
        <v>300</v>
      </c>
      <c r="J50" s="154">
        <v>0</v>
      </c>
      <c r="K50" s="154">
        <v>1</v>
      </c>
      <c r="L50" s="154"/>
      <c r="M50" s="154"/>
      <c r="N50" s="155">
        <f>SQRT(EXP(K50^2)-1)*EXP(J50+0.5*K50^2)</f>
        <v>2.1611974158950877</v>
      </c>
      <c r="O50" s="155" cm="1">
        <f t="array" ref="O50">K_STATS_Lognormal_StdDev(J50,K50)</f>
        <v>2.1611974158950877</v>
      </c>
      <c r="P50" s="155">
        <v>2.1611974158950877</v>
      </c>
      <c r="Q50" s="155">
        <f t="shared" si="2"/>
        <v>0</v>
      </c>
      <c r="R50" s="155">
        <f t="shared" si="3"/>
        <v>0</v>
      </c>
      <c r="S50" s="153" t="s">
        <v>231</v>
      </c>
      <c r="T50" s="156" t="str">
        <f>IF($S50="#NUM!",IF(ISERROR($O50),"OK","FAIL"),IF(ISNUMBER($P50),IF(ISNUMBER($O50),IF($P50=0,IF(ABS($O50)&lt;=0.000001,"OK","CHECK"),IF(ABS($O50-$P50)/ABS($P50)&lt;=0.000001,"OK","CHECK")),"CHECK"),"?"))</f>
        <v>OK</v>
      </c>
      <c r="U50" s="153" t="s">
        <v>315</v>
      </c>
      <c r="V50" s="156" t="str">
        <f>IF(ISNUMBER($P50),IF(ISNUMBER($N50),IF($P50=0,IF(ABS($N50)&lt;=0.000001,"right","wrong"),IF(ABS($N50-$P50)/ABS($P50)&lt;=0.000001,"right","wrong")),"wrong"),IF(ISERROR($N50),"right","wrong"))</f>
        <v>right</v>
      </c>
      <c r="W50" s="156" t="str">
        <f>IF(ISNUMBER($P50),IF(ISNUMBER($O50),IF($P50=0,IF(ABS($O50)&lt;=0.000001,"right","wrong"),IF(ABS($O50-$P50)/ABS($P50)&lt;=0.000001,"right","wrong")),"wrong"),IF(ISERROR($O50),"right","wrong"))</f>
        <v>right</v>
      </c>
      <c r="X50" s="225" t="s">
        <v>315</v>
      </c>
    </row>
    <row r="51" spans="5:24" x14ac:dyDescent="0.3">
      <c r="E51" s="151">
        <v>47</v>
      </c>
      <c r="F51" s="153" t="s">
        <v>73</v>
      </c>
      <c r="G51" s="153" t="s">
        <v>308</v>
      </c>
      <c r="H51" s="153" t="s">
        <v>236</v>
      </c>
      <c r="I51" s="153" t="s">
        <v>302</v>
      </c>
      <c r="J51" s="154">
        <v>1000</v>
      </c>
      <c r="K51" s="154">
        <v>1</v>
      </c>
      <c r="L51" s="154"/>
      <c r="M51" s="154"/>
      <c r="N51" s="155" t="e">
        <f>SQRT(EXP(K51^2)-1)*EXP(J51+0.5*K51^2)</f>
        <v>#NUM!</v>
      </c>
      <c r="O51" s="155" t="e" cm="1">
        <f t="array" ref="O51">K_STATS_Lognormal_StdDev(J51,K51)</f>
        <v>#NUM!</v>
      </c>
      <c r="P51" s="155" t="e">
        <v>#NUM!</v>
      </c>
      <c r="Q51" s="155" t="str">
        <f t="shared" si="2"/>
        <v/>
      </c>
      <c r="R51" s="155" t="str">
        <f t="shared" si="3"/>
        <v/>
      </c>
      <c r="S51" s="153" t="s">
        <v>81</v>
      </c>
      <c r="T51" s="156" t="str">
        <f>IF($S51="#NUM!",IF(ISERROR($O51),"OK","FAIL"),IF(ISNUMBER($P51),IF(ISNUMBER($O51),IF($P51=0,IF(ABS($O51)&lt;=0.000001,"OK","CHECK"),IF(ABS($O51-$P51)/ABS($P51)&lt;=0.000001,"OK","CHECK")),"CHECK"),"?"))</f>
        <v>OK</v>
      </c>
      <c r="U51" s="153" t="s">
        <v>328</v>
      </c>
      <c r="V51" s="156" t="str">
        <f>IF(ISNUMBER($P51),IF(ISNUMBER($N51),IF($P51=0,IF(ABS($N51)&lt;=0.000001,"right","wrong"),IF(ABS($N51-$P51)/ABS($P51)&lt;=0.000001,"right","wrong")),"wrong"),IF(ISERROR($N51),"right","wrong"))</f>
        <v>right</v>
      </c>
      <c r="W51" s="156" t="str">
        <f>IF(ISNUMBER($P51),IF(ISNUMBER($O51),IF($P51=0,IF(ABS($O51)&lt;=0.000001,"right","wrong"),IF(ABS($O51-$P51)/ABS($P51)&lt;=0.000001,"right","wrong")),"wrong"),IF(ISERROR($O51),"right","wrong"))</f>
        <v>right</v>
      </c>
      <c r="X51" s="225" t="s">
        <v>307</v>
      </c>
    </row>
    <row r="52" spans="5:24" x14ac:dyDescent="0.3">
      <c r="E52" s="151">
        <v>48</v>
      </c>
      <c r="F52" s="153" t="s">
        <v>73</v>
      </c>
      <c r="G52" s="153" t="s">
        <v>309</v>
      </c>
      <c r="H52" s="153" t="s">
        <v>72</v>
      </c>
      <c r="I52" s="153" t="s">
        <v>310</v>
      </c>
      <c r="J52" s="154">
        <v>2</v>
      </c>
      <c r="K52" s="154">
        <v>0.5</v>
      </c>
      <c r="L52" s="154"/>
      <c r="M52" s="154"/>
      <c r="N52" s="155">
        <f>LN(J52)-0.5*LN(1+(K52/J52)^2)</f>
        <v>0.66283486965172789</v>
      </c>
      <c r="O52" s="155">
        <f>INDEX(K_STATS_Lognormal_ParametersFromMeanStdDev(J52,K52),1,1)</f>
        <v>0.66283486965172789</v>
      </c>
      <c r="P52" s="155">
        <v>0.66283486965172789</v>
      </c>
      <c r="Q52" s="155">
        <f t="shared" si="2"/>
        <v>0</v>
      </c>
      <c r="R52" s="155">
        <f t="shared" si="3"/>
        <v>0</v>
      </c>
      <c r="S52" s="153" t="s">
        <v>231</v>
      </c>
      <c r="T52" s="156" t="str">
        <f>IF($S52="#NUM!",IF(ISERROR($O52),"OK","FAIL"),IF(ISNUMBER($P52),IF(ISNUMBER($O52),IF($P52=0,IF(ABS($O52)&lt;=0.000001,"OK","CHECK"),IF(ABS($O52-$P52)/ABS($P52)&lt;=0.000001,"OK","CHECK")),"CHECK"),"?"))</f>
        <v>OK</v>
      </c>
      <c r="U52" s="153" t="s">
        <v>315</v>
      </c>
      <c r="V52" s="156" t="str">
        <f>IF(ISNUMBER($P52),IF(ISNUMBER($N52),IF($P52=0,IF(ABS($N52)&lt;=0.000001,"right","wrong"),IF(ABS($N52-$P52)/ABS($P52)&lt;=0.000001,"right","wrong")),"wrong"),IF(ISERROR($N52),"right","wrong"))</f>
        <v>right</v>
      </c>
      <c r="W52" s="156" t="str">
        <f>IF(ISNUMBER($P52),IF(ISNUMBER($O52),IF($P52=0,IF(ABS($O52)&lt;=0.000001,"right","wrong"),IF(ABS($O52-$P52)/ABS($P52)&lt;=0.000001,"right","wrong")),"wrong"),IF(ISERROR($O52),"right","wrong"))</f>
        <v>right</v>
      </c>
      <c r="X52" s="225" t="s">
        <v>330</v>
      </c>
    </row>
    <row r="53" spans="5:24" x14ac:dyDescent="0.3">
      <c r="E53" s="151">
        <v>49</v>
      </c>
      <c r="F53" s="153" t="s">
        <v>73</v>
      </c>
      <c r="G53" s="153" t="s">
        <v>311</v>
      </c>
      <c r="H53" s="153" t="s">
        <v>72</v>
      </c>
      <c r="I53" s="153" t="s">
        <v>310</v>
      </c>
      <c r="J53" s="154">
        <v>2</v>
      </c>
      <c r="K53" s="154">
        <v>0.5</v>
      </c>
      <c r="L53" s="154"/>
      <c r="M53" s="154"/>
      <c r="N53" s="155">
        <f>SQRT(LN(1+(K53/J53)^2))</f>
        <v>0.24622067706923975</v>
      </c>
      <c r="O53" s="155">
        <f>INDEX(K_STATS_Lognormal_ParametersFromMeanStdDev(J53,K53),1,2)</f>
        <v>0.24622067706923975</v>
      </c>
      <c r="P53" s="155">
        <v>0.24622067706923975</v>
      </c>
      <c r="Q53" s="155">
        <f t="shared" si="2"/>
        <v>0</v>
      </c>
      <c r="R53" s="155">
        <f t="shared" si="3"/>
        <v>0</v>
      </c>
      <c r="S53" s="153" t="s">
        <v>231</v>
      </c>
      <c r="T53" s="156" t="str">
        <f>IF($S53="#NUM!",IF(ISERROR($O53),"OK","FAIL"),IF(ISNUMBER($P53),IF(ISNUMBER($O53),IF($P53=0,IF(ABS($O53)&lt;=0.000001,"OK","CHECK"),IF(ABS($O53-$P53)/ABS($P53)&lt;=0.000001,"OK","CHECK")),"CHECK"),"?"))</f>
        <v>OK</v>
      </c>
      <c r="U53" s="153" t="s">
        <v>315</v>
      </c>
      <c r="V53" s="156" t="str">
        <f>IF(ISNUMBER($P53),IF(ISNUMBER($N53),IF($P53=0,IF(ABS($N53)&lt;=0.000001,"right","wrong"),IF(ABS($N53-$P53)/ABS($P53)&lt;=0.000001,"right","wrong")),"wrong"),IF(ISERROR($N53),"right","wrong"))</f>
        <v>right</v>
      </c>
      <c r="W53" s="156" t="str">
        <f>IF(ISNUMBER($P53),IF(ISNUMBER($O53),IF($P53=0,IF(ABS($O53)&lt;=0.000001,"right","wrong"),IF(ABS($O53-$P53)/ABS($P53)&lt;=0.000001,"right","wrong")),"wrong"),IF(ISERROR($O53),"right","wrong"))</f>
        <v>right</v>
      </c>
      <c r="X53" s="225" t="s">
        <v>331</v>
      </c>
    </row>
    <row r="54" spans="5:24" x14ac:dyDescent="0.3">
      <c r="E54" s="151">
        <v>50</v>
      </c>
      <c r="F54" s="153" t="s">
        <v>73</v>
      </c>
      <c r="G54" s="153" t="s">
        <v>312</v>
      </c>
      <c r="H54" s="153" t="s">
        <v>236</v>
      </c>
      <c r="I54" s="153" t="s">
        <v>332</v>
      </c>
      <c r="J54" s="154">
        <v>2</v>
      </c>
      <c r="K54" s="154">
        <v>0</v>
      </c>
      <c r="L54" s="154"/>
      <c r="M54" s="154"/>
      <c r="N54" s="155">
        <f>LN(J54)-0.5*LN(1+(K54/J54)^2)</f>
        <v>0.69314718055994529</v>
      </c>
      <c r="O54" s="155">
        <f>INDEX(K_STATS_Lognormal_ParametersFromMeanStdDev(J54,K54),1,1)</f>
        <v>0.69314718055994529</v>
      </c>
      <c r="P54" s="155">
        <v>0.69314718055994529</v>
      </c>
      <c r="Q54" s="155">
        <f t="shared" si="2"/>
        <v>0</v>
      </c>
      <c r="R54" s="155">
        <f t="shared" si="3"/>
        <v>0</v>
      </c>
      <c r="S54" s="153" t="s">
        <v>231</v>
      </c>
      <c r="T54" s="156" t="str">
        <f>IF($S54="#NUM!",IF(ISERROR($O54),"OK","FAIL"),IF(ISNUMBER($P54),IF(ISNUMBER($O54),IF($P54=0,IF(ABS($O54)&lt;=0.000001,"OK","CHECK"),IF(ABS($O54-$P54)/ABS($P54)&lt;=0.000001,"OK","CHECK")),"CHECK"),"?"))</f>
        <v>OK</v>
      </c>
      <c r="U54" s="153" t="s">
        <v>315</v>
      </c>
      <c r="V54" s="156" t="str">
        <f>IF(ISNUMBER($P54),IF(ISNUMBER($N54),IF($P54=0,IF(ABS($N54)&lt;=0.000001,"right","wrong"),IF(ABS($N54-$P54)/ABS($P54)&lt;=0.000001,"right","wrong")),"wrong"),IF(ISERROR($N54),"right","wrong"))</f>
        <v>right</v>
      </c>
      <c r="W54" s="156" t="str">
        <f>IF(ISNUMBER($P54),IF(ISNUMBER($O54),IF($P54=0,IF(ABS($O54)&lt;=0.000001,"right","wrong"),IF(ABS($O54-$P54)/ABS($P54)&lt;=0.000001,"right","wrong")),"wrong"),IF(ISERROR($O54),"right","wrong"))</f>
        <v>right</v>
      </c>
      <c r="X54" s="225" t="s">
        <v>333</v>
      </c>
    </row>
    <row r="55" spans="5:24" x14ac:dyDescent="0.3">
      <c r="E55" s="152">
        <v>51</v>
      </c>
      <c r="F55" s="226" t="s">
        <v>73</v>
      </c>
      <c r="G55" s="226" t="s">
        <v>312</v>
      </c>
      <c r="H55" s="226" t="s">
        <v>236</v>
      </c>
      <c r="I55" s="226" t="s">
        <v>313</v>
      </c>
      <c r="J55" s="227">
        <v>0</v>
      </c>
      <c r="K55" s="227">
        <v>1</v>
      </c>
      <c r="L55" s="227"/>
      <c r="M55" s="227"/>
      <c r="N55" s="228" t="e">
        <f>LN(J55)-0.5*LN(1+(K55/J55)^2)</f>
        <v>#NUM!</v>
      </c>
      <c r="O55" s="228" t="e">
        <f>INDEX(K_STATS_Lognormal_ParametersFromMeanStdDev(J55,K55),1,1)</f>
        <v>#NUM!</v>
      </c>
      <c r="P55" s="228" t="e">
        <v>#NUM!</v>
      </c>
      <c r="Q55" s="228" t="str">
        <f t="shared" si="2"/>
        <v/>
      </c>
      <c r="R55" s="228" t="str">
        <f t="shared" si="3"/>
        <v/>
      </c>
      <c r="S55" s="226" t="s">
        <v>81</v>
      </c>
      <c r="T55" s="229" t="str">
        <f>IF($S55="#NUM!",IF(ISERROR($O55),"OK","FAIL"),IF(ISNUMBER($P55),IF(ISNUMBER($O55),IF($P55=0,IF(ABS($O55)&lt;=0.000001,"OK","CHECK"),IF(ABS($O55-$P55)/ABS($P55)&lt;=0.000001,"OK","CHECK")),"CHECK"),"?"))</f>
        <v>OK</v>
      </c>
      <c r="U55" s="226" t="s">
        <v>325</v>
      </c>
      <c r="V55" s="229" t="str">
        <f>IF(ISNUMBER($P55),IF(ISNUMBER($N55),IF($P55=0,IF(ABS($N55)&lt;=0.000001,"right","wrong"),IF(ABS($N55-$P55)/ABS($P55)&lt;=0.000001,"right","wrong")),"wrong"),IF(ISERROR($N55),"right","wrong"))</f>
        <v>right</v>
      </c>
      <c r="W55" s="229" t="str">
        <f>IF(ISNUMBER($P55),IF(ISNUMBER($O55),IF($P55=0,IF(ABS($O55)&lt;=0.000001,"right","wrong"),IF(ABS($O55-$P55)/ABS($P55)&lt;=0.000001,"right","wrong")),"wrong"),IF(ISERROR($O55),"right","wrong"))</f>
        <v>right</v>
      </c>
      <c r="X55" s="230" t="s">
        <v>334</v>
      </c>
    </row>
    <row r="56" spans="5:24" x14ac:dyDescent="0.3">
      <c r="E56" s="150"/>
      <c r="F56" s="150"/>
      <c r="G56" s="150"/>
      <c r="H56" s="150"/>
      <c r="R56" s="150"/>
      <c r="T56" s="150"/>
      <c r="W56" s="150"/>
    </row>
    <row r="57" spans="5:24" x14ac:dyDescent="0.3">
      <c r="E57" s="150"/>
      <c r="F57" s="150"/>
      <c r="G57" s="150"/>
      <c r="H57" s="150"/>
      <c r="R57" s="150"/>
      <c r="T57" s="150"/>
      <c r="W57" s="150"/>
    </row>
    <row r="58" spans="5:24" x14ac:dyDescent="0.3">
      <c r="E58" s="150"/>
      <c r="F58" s="150"/>
      <c r="G58" s="150"/>
      <c r="H58" s="150"/>
      <c r="R58" s="150"/>
      <c r="T58" s="150"/>
      <c r="W58" s="150"/>
    </row>
    <row r="59" spans="5:24" x14ac:dyDescent="0.3">
      <c r="E59" s="150"/>
      <c r="F59" s="150"/>
      <c r="G59" s="150"/>
      <c r="H59" s="150"/>
      <c r="R59" s="150"/>
      <c r="T59" s="150"/>
      <c r="W59" s="150"/>
    </row>
    <row r="60" spans="5:24" x14ac:dyDescent="0.3">
      <c r="E60" s="150"/>
      <c r="F60" s="150"/>
      <c r="G60" s="150"/>
      <c r="H60" s="150"/>
      <c r="R60" s="150"/>
      <c r="T60" s="150"/>
      <c r="W60" s="150"/>
    </row>
    <row r="61" spans="5:24" x14ac:dyDescent="0.3">
      <c r="E61" s="150"/>
      <c r="F61" s="150"/>
      <c r="G61" s="150"/>
      <c r="H61" s="150"/>
      <c r="R61" s="150"/>
      <c r="T61" s="150"/>
      <c r="W61" s="150"/>
    </row>
    <row r="62" spans="5:24" x14ac:dyDescent="0.3">
      <c r="E62" s="150"/>
      <c r="F62" s="150"/>
      <c r="G62" s="150"/>
      <c r="H62" s="150"/>
      <c r="R62" s="150"/>
      <c r="T62" s="150"/>
      <c r="W62" s="150"/>
    </row>
    <row r="63" spans="5:24" x14ac:dyDescent="0.3">
      <c r="E63" s="150"/>
      <c r="F63" s="150"/>
      <c r="G63" s="150"/>
      <c r="H63" s="150"/>
      <c r="R63" s="150"/>
      <c r="T63" s="150"/>
      <c r="W63" s="150"/>
    </row>
    <row r="64" spans="5:24" x14ac:dyDescent="0.3">
      <c r="E64" s="150"/>
      <c r="F64" s="150"/>
      <c r="G64" s="150"/>
      <c r="H64" s="150"/>
      <c r="R64" s="150"/>
      <c r="T64" s="150"/>
      <c r="W64" s="150"/>
    </row>
    <row r="65" spans="5:23" x14ac:dyDescent="0.3">
      <c r="E65" s="150"/>
      <c r="F65" s="150"/>
      <c r="G65" s="150"/>
      <c r="H65" s="150"/>
      <c r="R65" s="150"/>
      <c r="T65" s="150"/>
      <c r="W65" s="150"/>
    </row>
    <row r="66" spans="5:23" x14ac:dyDescent="0.3">
      <c r="E66" s="150"/>
      <c r="F66" s="150"/>
      <c r="G66" s="150"/>
      <c r="H66" s="150"/>
      <c r="R66" s="150"/>
      <c r="T66" s="150"/>
      <c r="W66" s="150"/>
    </row>
    <row r="67" spans="5:23" x14ac:dyDescent="0.3">
      <c r="E67" s="150"/>
      <c r="F67" s="150"/>
      <c r="G67" s="150"/>
      <c r="H67" s="150"/>
      <c r="R67" s="150"/>
      <c r="T67" s="150"/>
      <c r="W67" s="150"/>
    </row>
    <row r="68" spans="5:23" x14ac:dyDescent="0.3">
      <c r="E68" s="150"/>
      <c r="F68" s="150"/>
      <c r="G68" s="150"/>
      <c r="H68" s="150"/>
      <c r="R68" s="150"/>
      <c r="T68" s="150"/>
      <c r="W68" s="150"/>
    </row>
    <row r="69" spans="5:23" x14ac:dyDescent="0.3">
      <c r="E69" s="150"/>
      <c r="F69" s="150"/>
      <c r="G69" s="150"/>
      <c r="H69" s="150"/>
      <c r="R69" s="150"/>
      <c r="T69" s="150"/>
      <c r="W69" s="150"/>
    </row>
    <row r="70" spans="5:23" x14ac:dyDescent="0.3">
      <c r="E70" s="150"/>
      <c r="F70" s="150"/>
      <c r="G70" s="150"/>
      <c r="H70" s="150"/>
      <c r="R70" s="150"/>
      <c r="T70" s="150"/>
      <c r="W70" s="150"/>
    </row>
    <row r="71" spans="5:23" x14ac:dyDescent="0.3">
      <c r="E71" s="150"/>
      <c r="F71" s="150"/>
      <c r="G71" s="150"/>
      <c r="H71" s="150"/>
      <c r="R71" s="150"/>
      <c r="T71" s="150"/>
      <c r="W71" s="150"/>
    </row>
    <row r="72" spans="5:23" x14ac:dyDescent="0.3">
      <c r="E72" s="150"/>
      <c r="F72" s="150"/>
      <c r="G72" s="150"/>
      <c r="H72" s="150"/>
      <c r="R72" s="150"/>
      <c r="T72" s="150"/>
      <c r="W72" s="150"/>
    </row>
    <row r="73" spans="5:23" x14ac:dyDescent="0.3">
      <c r="E73" s="150"/>
      <c r="F73" s="150"/>
      <c r="G73" s="150"/>
      <c r="H73" s="150"/>
      <c r="R73" s="150"/>
      <c r="T73" s="150"/>
      <c r="W73" s="150"/>
    </row>
    <row r="74" spans="5:23" x14ac:dyDescent="0.3">
      <c r="E74" s="150"/>
      <c r="F74" s="150"/>
      <c r="G74" s="150"/>
      <c r="H74" s="150"/>
      <c r="R74" s="150"/>
      <c r="T74" s="150"/>
      <c r="W74" s="150"/>
    </row>
    <row r="75" spans="5:23" x14ac:dyDescent="0.3">
      <c r="E75" s="150"/>
      <c r="F75" s="150"/>
      <c r="G75" s="150"/>
      <c r="H75" s="150"/>
      <c r="R75" s="150"/>
      <c r="T75" s="150"/>
      <c r="W75" s="150"/>
    </row>
    <row r="76" spans="5:23" x14ac:dyDescent="0.3">
      <c r="E76" s="150"/>
      <c r="F76" s="150"/>
      <c r="G76" s="150"/>
      <c r="H76" s="150"/>
      <c r="R76" s="150"/>
      <c r="T76" s="150"/>
      <c r="W76" s="150"/>
    </row>
    <row r="77" spans="5:23" x14ac:dyDescent="0.3">
      <c r="E77" s="150"/>
      <c r="F77" s="150"/>
      <c r="G77" s="150"/>
      <c r="H77" s="150"/>
      <c r="R77" s="150"/>
      <c r="T77" s="150"/>
      <c r="W77" s="150"/>
    </row>
    <row r="78" spans="5:23" x14ac:dyDescent="0.3">
      <c r="E78" s="150"/>
      <c r="F78" s="150"/>
      <c r="G78" s="150"/>
      <c r="H78" s="150"/>
      <c r="R78" s="150"/>
      <c r="T78" s="150"/>
      <c r="W78" s="150"/>
    </row>
    <row r="79" spans="5:23" x14ac:dyDescent="0.3">
      <c r="E79" s="150"/>
      <c r="F79" s="150"/>
      <c r="G79" s="150"/>
      <c r="H79" s="150"/>
      <c r="R79" s="150"/>
      <c r="T79" s="150"/>
      <c r="W79" s="150"/>
    </row>
    <row r="80" spans="5:23" x14ac:dyDescent="0.3">
      <c r="E80" s="150"/>
      <c r="F80" s="150"/>
      <c r="G80" s="150"/>
      <c r="H80" s="150"/>
      <c r="R80" s="150"/>
      <c r="T80" s="150"/>
      <c r="W80" s="150"/>
    </row>
    <row r="81" spans="5:23" x14ac:dyDescent="0.3">
      <c r="E81" s="150"/>
      <c r="F81" s="150"/>
      <c r="G81" s="150"/>
      <c r="H81" s="150"/>
      <c r="R81" s="150"/>
      <c r="T81" s="150"/>
      <c r="W81" s="150"/>
    </row>
    <row r="82" spans="5:23" x14ac:dyDescent="0.3">
      <c r="E82" s="150"/>
      <c r="F82" s="150"/>
      <c r="G82" s="150"/>
      <c r="H82" s="150"/>
      <c r="R82" s="150"/>
      <c r="T82" s="150"/>
      <c r="W82" s="150"/>
    </row>
    <row r="83" spans="5:23" x14ac:dyDescent="0.3">
      <c r="E83" s="150"/>
      <c r="F83" s="150"/>
      <c r="G83" s="150"/>
      <c r="H83" s="150"/>
      <c r="R83" s="150"/>
      <c r="T83" s="150"/>
      <c r="W83" s="150"/>
    </row>
    <row r="84" spans="5:23" x14ac:dyDescent="0.3">
      <c r="E84" s="150"/>
      <c r="F84" s="150"/>
      <c r="G84" s="150"/>
      <c r="H84" s="150"/>
      <c r="R84" s="150"/>
      <c r="T84" s="150"/>
      <c r="W84" s="150"/>
    </row>
    <row r="85" spans="5:23" x14ac:dyDescent="0.3">
      <c r="E85" s="150"/>
      <c r="F85" s="150"/>
      <c r="G85" s="150"/>
      <c r="H85" s="150"/>
      <c r="R85" s="150"/>
      <c r="T85" s="150"/>
      <c r="W85" s="150"/>
    </row>
    <row r="86" spans="5:23" x14ac:dyDescent="0.3">
      <c r="E86" s="150"/>
      <c r="F86" s="150"/>
      <c r="G86" s="150"/>
      <c r="H86" s="150"/>
      <c r="R86" s="150"/>
      <c r="T86" s="150"/>
      <c r="W86" s="150"/>
    </row>
    <row r="87" spans="5:23" x14ac:dyDescent="0.3">
      <c r="E87" s="150"/>
      <c r="F87" s="150"/>
      <c r="G87" s="150"/>
      <c r="H87" s="150"/>
      <c r="R87" s="150"/>
      <c r="T87" s="150"/>
      <c r="W87" s="150"/>
    </row>
    <row r="88" spans="5:23" x14ac:dyDescent="0.3">
      <c r="E88" s="150"/>
      <c r="F88" s="150"/>
      <c r="G88" s="150"/>
      <c r="H88" s="150"/>
      <c r="R88" s="150"/>
      <c r="T88" s="150"/>
      <c r="W88" s="150"/>
    </row>
    <row r="89" spans="5:23" x14ac:dyDescent="0.3">
      <c r="E89" s="150"/>
      <c r="F89" s="150"/>
      <c r="G89" s="150"/>
      <c r="H89" s="150"/>
      <c r="R89" s="150"/>
      <c r="T89" s="150"/>
      <c r="W89" s="150"/>
    </row>
    <row r="90" spans="5:23" x14ac:dyDescent="0.3">
      <c r="E90" s="150"/>
      <c r="F90" s="150"/>
      <c r="G90" s="150"/>
      <c r="H90" s="150"/>
      <c r="R90" s="150"/>
      <c r="T90" s="150"/>
      <c r="W90" s="150"/>
    </row>
    <row r="91" spans="5:23" x14ac:dyDescent="0.3">
      <c r="E91" s="150"/>
      <c r="F91" s="150"/>
      <c r="G91" s="150"/>
      <c r="H91" s="150"/>
      <c r="R91" s="150"/>
      <c r="T91" s="150"/>
      <c r="W91" s="150"/>
    </row>
    <row r="92" spans="5:23" x14ac:dyDescent="0.3">
      <c r="E92" s="150"/>
      <c r="F92" s="150"/>
      <c r="G92" s="150"/>
      <c r="H92" s="150"/>
      <c r="R92" s="150"/>
      <c r="T92" s="150"/>
      <c r="W92" s="150"/>
    </row>
    <row r="93" spans="5:23" x14ac:dyDescent="0.3">
      <c r="E93" s="150"/>
      <c r="F93" s="150"/>
      <c r="G93" s="150"/>
      <c r="H93" s="150"/>
      <c r="R93" s="150"/>
      <c r="T93" s="150"/>
      <c r="W93" s="150"/>
    </row>
    <row r="94" spans="5:23" x14ac:dyDescent="0.3">
      <c r="E94" s="150"/>
      <c r="F94" s="150"/>
      <c r="G94" s="150"/>
      <c r="H94" s="150"/>
      <c r="R94" s="150"/>
      <c r="T94" s="150"/>
      <c r="W94" s="150"/>
    </row>
    <row r="95" spans="5:23" x14ac:dyDescent="0.3">
      <c r="E95" s="150"/>
      <c r="F95" s="150"/>
      <c r="G95" s="150"/>
      <c r="H95" s="150"/>
      <c r="R95" s="150"/>
      <c r="T95" s="150"/>
      <c r="W95" s="150"/>
    </row>
    <row r="96" spans="5:23" x14ac:dyDescent="0.3">
      <c r="E96" s="150"/>
      <c r="F96" s="150"/>
      <c r="G96" s="150"/>
      <c r="H96" s="150"/>
      <c r="R96" s="150"/>
      <c r="T96" s="150"/>
      <c r="W96" s="150"/>
    </row>
    <row r="97" spans="5:23" x14ac:dyDescent="0.3">
      <c r="E97" s="150"/>
      <c r="F97" s="150"/>
      <c r="G97" s="150"/>
      <c r="H97" s="150"/>
      <c r="R97" s="150"/>
      <c r="T97" s="150"/>
      <c r="W97" s="150"/>
    </row>
    <row r="98" spans="5:23" x14ac:dyDescent="0.3">
      <c r="E98" s="150"/>
      <c r="F98" s="150"/>
      <c r="G98" s="150"/>
      <c r="H98" s="150"/>
      <c r="R98" s="150"/>
      <c r="T98" s="150"/>
      <c r="W98" s="150"/>
    </row>
    <row r="99" spans="5:23" x14ac:dyDescent="0.3">
      <c r="E99" s="150"/>
      <c r="F99" s="150"/>
      <c r="G99" s="150"/>
      <c r="H99" s="150"/>
      <c r="R99" s="150"/>
      <c r="T99" s="150"/>
      <c r="W99" s="150"/>
    </row>
    <row r="100" spans="5:23" x14ac:dyDescent="0.3">
      <c r="E100" s="150"/>
      <c r="F100" s="150"/>
      <c r="G100" s="150"/>
      <c r="H100" s="150"/>
      <c r="R100" s="150"/>
      <c r="T100" s="150"/>
      <c r="W100" s="150"/>
    </row>
    <row r="101" spans="5:23" x14ac:dyDescent="0.3">
      <c r="E101" s="150"/>
      <c r="F101" s="150"/>
      <c r="G101" s="150"/>
      <c r="H101" s="150"/>
      <c r="R101" s="150"/>
      <c r="T101" s="150"/>
      <c r="W101" s="150"/>
    </row>
    <row r="102" spans="5:23" x14ac:dyDescent="0.3">
      <c r="E102" s="150"/>
      <c r="F102" s="150"/>
      <c r="G102" s="150"/>
      <c r="H102" s="150"/>
      <c r="R102" s="150"/>
      <c r="T102" s="150"/>
      <c r="W102" s="150"/>
    </row>
    <row r="103" spans="5:23" x14ac:dyDescent="0.3">
      <c r="E103" s="150"/>
      <c r="F103" s="150"/>
      <c r="G103" s="150"/>
      <c r="H103" s="150"/>
      <c r="R103" s="150"/>
      <c r="T103" s="150"/>
      <c r="W103" s="150"/>
    </row>
    <row r="104" spans="5:23" x14ac:dyDescent="0.3">
      <c r="E104" s="150"/>
      <c r="F104" s="150"/>
      <c r="G104" s="150"/>
      <c r="H104" s="150"/>
      <c r="R104" s="150"/>
      <c r="T104" s="150"/>
      <c r="W104" s="150"/>
    </row>
    <row r="105" spans="5:23" x14ac:dyDescent="0.3">
      <c r="E105" s="150"/>
      <c r="F105" s="150"/>
      <c r="G105" s="150"/>
      <c r="H105" s="150"/>
      <c r="R105" s="150"/>
      <c r="T105" s="150"/>
      <c r="W105" s="150"/>
    </row>
    <row r="106" spans="5:23" x14ac:dyDescent="0.3">
      <c r="E106" s="150"/>
      <c r="F106" s="150"/>
      <c r="G106" s="150"/>
      <c r="H106" s="150"/>
      <c r="R106" s="150"/>
      <c r="T106" s="150"/>
      <c r="W106" s="150"/>
    </row>
    <row r="107" spans="5:23" x14ac:dyDescent="0.3">
      <c r="E107" s="150"/>
      <c r="F107" s="150"/>
      <c r="G107" s="150"/>
      <c r="H107" s="150"/>
      <c r="R107" s="150"/>
      <c r="T107" s="150"/>
      <c r="W107" s="150"/>
    </row>
    <row r="108" spans="5:23" x14ac:dyDescent="0.3">
      <c r="E108" s="150"/>
      <c r="F108" s="150"/>
      <c r="G108" s="150"/>
      <c r="H108" s="150"/>
      <c r="R108" s="150"/>
      <c r="T108" s="150"/>
      <c r="W108" s="150"/>
    </row>
    <row r="109" spans="5:23" x14ac:dyDescent="0.3">
      <c r="E109" s="150"/>
      <c r="F109" s="150"/>
      <c r="G109" s="150"/>
      <c r="H109" s="150"/>
      <c r="R109" s="150"/>
      <c r="T109" s="150"/>
      <c r="W109" s="150"/>
    </row>
    <row r="110" spans="5:23" x14ac:dyDescent="0.3">
      <c r="E110" s="150"/>
      <c r="F110" s="150"/>
      <c r="G110" s="150"/>
      <c r="H110" s="150"/>
      <c r="R110" s="150"/>
      <c r="T110" s="150"/>
      <c r="W110" s="150"/>
    </row>
    <row r="111" spans="5:23" x14ac:dyDescent="0.3">
      <c r="E111" s="150"/>
      <c r="F111" s="150"/>
      <c r="G111" s="150"/>
      <c r="H111" s="150"/>
      <c r="R111" s="150"/>
      <c r="T111" s="150"/>
      <c r="W111" s="150"/>
    </row>
    <row r="112" spans="5:23" x14ac:dyDescent="0.3">
      <c r="E112" s="150"/>
      <c r="F112" s="150"/>
      <c r="G112" s="150"/>
      <c r="H112" s="150"/>
      <c r="R112" s="150"/>
      <c r="T112" s="150"/>
      <c r="W112" s="150"/>
    </row>
    <row r="113" spans="5:23" x14ac:dyDescent="0.3">
      <c r="E113" s="150"/>
      <c r="F113" s="150"/>
      <c r="G113" s="150"/>
      <c r="H113" s="150"/>
      <c r="R113" s="150"/>
      <c r="T113" s="150"/>
      <c r="W113" s="150"/>
    </row>
    <row r="114" spans="5:23" x14ac:dyDescent="0.3">
      <c r="E114" s="150"/>
      <c r="F114" s="150"/>
      <c r="G114" s="150"/>
      <c r="H114" s="150"/>
      <c r="R114" s="150"/>
      <c r="T114" s="150"/>
      <c r="W114" s="150"/>
    </row>
    <row r="115" spans="5:23" x14ac:dyDescent="0.3">
      <c r="E115" s="150"/>
      <c r="F115" s="150"/>
      <c r="G115" s="150"/>
      <c r="H115" s="150"/>
      <c r="R115" s="150"/>
      <c r="T115" s="150"/>
      <c r="W115" s="150"/>
    </row>
    <row r="116" spans="5:23" x14ac:dyDescent="0.3">
      <c r="E116" s="150"/>
      <c r="F116" s="150"/>
      <c r="G116" s="150"/>
      <c r="H116" s="150"/>
      <c r="R116" s="150"/>
      <c r="T116" s="150"/>
      <c r="W116" s="150"/>
    </row>
    <row r="117" spans="5:23" x14ac:dyDescent="0.3">
      <c r="E117" s="150"/>
      <c r="F117" s="150"/>
      <c r="G117" s="150"/>
      <c r="H117" s="150"/>
      <c r="R117" s="150"/>
      <c r="T117" s="150"/>
      <c r="W117" s="150"/>
    </row>
    <row r="118" spans="5:23" x14ac:dyDescent="0.3">
      <c r="E118" s="150"/>
      <c r="F118" s="150"/>
      <c r="G118" s="150"/>
      <c r="H118" s="150"/>
      <c r="R118" s="150"/>
      <c r="T118" s="150"/>
      <c r="W118" s="150"/>
    </row>
    <row r="119" spans="5:23" x14ac:dyDescent="0.3">
      <c r="E119" s="150"/>
      <c r="F119" s="150"/>
      <c r="G119" s="150"/>
      <c r="H119" s="150"/>
      <c r="R119" s="150"/>
      <c r="T119" s="150"/>
      <c r="W119" s="150"/>
    </row>
    <row r="120" spans="5:23" x14ac:dyDescent="0.3">
      <c r="E120" s="150"/>
      <c r="F120" s="150"/>
      <c r="G120" s="150"/>
      <c r="H120" s="150"/>
      <c r="R120" s="150"/>
      <c r="T120" s="150"/>
      <c r="W120" s="150"/>
    </row>
    <row r="121" spans="5:23" x14ac:dyDescent="0.3">
      <c r="E121" s="150"/>
      <c r="F121" s="150"/>
      <c r="G121" s="150"/>
      <c r="H121" s="150"/>
      <c r="R121" s="150"/>
      <c r="T121" s="150"/>
      <c r="W121" s="150"/>
    </row>
    <row r="122" spans="5:23" x14ac:dyDescent="0.3">
      <c r="E122" s="150"/>
      <c r="F122" s="150"/>
      <c r="G122" s="150"/>
      <c r="H122" s="150"/>
      <c r="R122" s="150"/>
      <c r="T122" s="150"/>
      <c r="W122" s="150"/>
    </row>
    <row r="123" spans="5:23" x14ac:dyDescent="0.3">
      <c r="E123" s="150"/>
      <c r="F123" s="150"/>
      <c r="G123" s="150"/>
      <c r="H123" s="150"/>
      <c r="R123" s="150"/>
      <c r="T123" s="150"/>
      <c r="W123" s="150"/>
    </row>
    <row r="124" spans="5:23" x14ac:dyDescent="0.3">
      <c r="E124" s="150"/>
      <c r="F124" s="150"/>
      <c r="G124" s="150"/>
      <c r="H124" s="150"/>
      <c r="R124" s="150"/>
      <c r="T124" s="150"/>
      <c r="W124" s="150"/>
    </row>
    <row r="125" spans="5:23" x14ac:dyDescent="0.3">
      <c r="E125" s="150"/>
      <c r="F125" s="150"/>
      <c r="G125" s="150"/>
      <c r="H125" s="150"/>
      <c r="R125" s="150"/>
      <c r="T125" s="150"/>
      <c r="W125" s="150"/>
    </row>
    <row r="126" spans="5:23" x14ac:dyDescent="0.3">
      <c r="E126" s="150"/>
      <c r="F126" s="150"/>
      <c r="G126" s="150"/>
      <c r="H126" s="150"/>
      <c r="R126" s="150"/>
      <c r="T126" s="150"/>
      <c r="W126" s="150"/>
    </row>
    <row r="127" spans="5:23" x14ac:dyDescent="0.3">
      <c r="E127" s="150"/>
      <c r="F127" s="150"/>
      <c r="G127" s="150"/>
      <c r="H127" s="150"/>
      <c r="R127" s="150"/>
      <c r="T127" s="150"/>
      <c r="W127" s="150"/>
    </row>
    <row r="128" spans="5:23" x14ac:dyDescent="0.3">
      <c r="E128" s="150"/>
      <c r="F128" s="150"/>
      <c r="G128" s="150"/>
      <c r="H128" s="150"/>
      <c r="R128" s="150"/>
      <c r="T128" s="150"/>
      <c r="W128" s="150"/>
    </row>
    <row r="129" spans="5:23" x14ac:dyDescent="0.3">
      <c r="E129" s="150"/>
      <c r="F129" s="150"/>
      <c r="G129" s="150"/>
      <c r="H129" s="150"/>
      <c r="R129" s="150"/>
      <c r="T129" s="150"/>
      <c r="W129" s="150"/>
    </row>
    <row r="130" spans="5:23" x14ac:dyDescent="0.3">
      <c r="E130" s="150"/>
      <c r="F130" s="150"/>
      <c r="G130" s="150"/>
      <c r="H130" s="150"/>
      <c r="R130" s="150"/>
      <c r="T130" s="150"/>
      <c r="W130" s="150"/>
    </row>
    <row r="131" spans="5:23" x14ac:dyDescent="0.3">
      <c r="E131" s="150"/>
      <c r="F131" s="150"/>
      <c r="G131" s="150"/>
      <c r="H131" s="150"/>
      <c r="R131" s="150"/>
      <c r="T131" s="150"/>
      <c r="W131" s="150"/>
    </row>
    <row r="132" spans="5:23" x14ac:dyDescent="0.3">
      <c r="E132" s="150"/>
      <c r="F132" s="150"/>
      <c r="G132" s="150"/>
      <c r="H132" s="150"/>
      <c r="R132" s="150"/>
      <c r="T132" s="150"/>
      <c r="W132" s="150"/>
    </row>
    <row r="133" spans="5:23" x14ac:dyDescent="0.3">
      <c r="E133" s="150"/>
      <c r="F133" s="150"/>
      <c r="G133" s="150"/>
      <c r="H133" s="150"/>
      <c r="R133" s="150"/>
      <c r="T133" s="150"/>
      <c r="W133" s="150"/>
    </row>
    <row r="134" spans="5:23" x14ac:dyDescent="0.3">
      <c r="E134" s="150"/>
      <c r="F134" s="150"/>
      <c r="G134" s="150"/>
      <c r="H134" s="150"/>
      <c r="R134" s="150"/>
      <c r="T134" s="150"/>
      <c r="W134" s="150"/>
    </row>
    <row r="135" spans="5:23" x14ac:dyDescent="0.3">
      <c r="E135" s="150"/>
      <c r="F135" s="150"/>
      <c r="G135" s="150"/>
      <c r="H135" s="150"/>
      <c r="R135" s="150"/>
      <c r="T135" s="150"/>
      <c r="W135" s="150"/>
    </row>
    <row r="136" spans="5:23" x14ac:dyDescent="0.3">
      <c r="E136" s="150"/>
      <c r="F136" s="150"/>
      <c r="G136" s="150"/>
      <c r="H136" s="150"/>
      <c r="R136" s="150"/>
      <c r="T136" s="150"/>
      <c r="W136" s="150"/>
    </row>
    <row r="137" spans="5:23" x14ac:dyDescent="0.3">
      <c r="E137" s="150"/>
      <c r="F137" s="150"/>
      <c r="G137" s="150"/>
      <c r="H137" s="150"/>
      <c r="R137" s="150"/>
      <c r="T137" s="150"/>
      <c r="W137" s="150"/>
    </row>
    <row r="138" spans="5:23" x14ac:dyDescent="0.3">
      <c r="E138" s="150"/>
      <c r="F138" s="150"/>
      <c r="G138" s="150"/>
      <c r="H138" s="150"/>
      <c r="R138" s="150"/>
      <c r="T138" s="150"/>
      <c r="W138" s="150"/>
    </row>
    <row r="139" spans="5:23" x14ac:dyDescent="0.3">
      <c r="E139" s="150"/>
      <c r="F139" s="150"/>
      <c r="G139" s="150"/>
      <c r="H139" s="150"/>
      <c r="R139" s="150"/>
      <c r="T139" s="150"/>
      <c r="W139" s="150"/>
    </row>
    <row r="140" spans="5:23" x14ac:dyDescent="0.3">
      <c r="E140" s="150"/>
      <c r="F140" s="150"/>
      <c r="G140" s="150"/>
      <c r="H140" s="150"/>
      <c r="R140" s="150"/>
      <c r="T140" s="150"/>
      <c r="W140" s="150"/>
    </row>
    <row r="141" spans="5:23" x14ac:dyDescent="0.3">
      <c r="E141" s="150"/>
      <c r="F141" s="150"/>
      <c r="G141" s="150"/>
      <c r="H141" s="150"/>
      <c r="R141" s="150"/>
      <c r="T141" s="150"/>
      <c r="W141" s="150"/>
    </row>
    <row r="142" spans="5:23" x14ac:dyDescent="0.3">
      <c r="E142" s="150"/>
      <c r="F142" s="150"/>
      <c r="G142" s="150"/>
      <c r="H142" s="150"/>
      <c r="R142" s="150"/>
      <c r="T142" s="150"/>
      <c r="W142" s="150"/>
    </row>
    <row r="143" spans="5:23" x14ac:dyDescent="0.3">
      <c r="E143" s="150"/>
      <c r="F143" s="150"/>
      <c r="G143" s="150"/>
      <c r="H143" s="150"/>
      <c r="R143" s="150"/>
      <c r="T143" s="150"/>
      <c r="W143" s="150"/>
    </row>
    <row r="144" spans="5:23" x14ac:dyDescent="0.3">
      <c r="E144" s="150"/>
      <c r="F144" s="150"/>
      <c r="G144" s="150"/>
      <c r="H144" s="150"/>
      <c r="R144" s="150"/>
      <c r="T144" s="150"/>
      <c r="W144" s="150"/>
    </row>
    <row r="145" spans="5:23" x14ac:dyDescent="0.3">
      <c r="E145" s="150"/>
      <c r="F145" s="150"/>
      <c r="G145" s="150"/>
      <c r="H145" s="150"/>
      <c r="R145" s="150"/>
      <c r="T145" s="150"/>
      <c r="W145" s="150"/>
    </row>
    <row r="146" spans="5:23" x14ac:dyDescent="0.3">
      <c r="E146" s="150"/>
      <c r="F146" s="150"/>
      <c r="G146" s="150"/>
      <c r="H146" s="150"/>
      <c r="R146" s="150"/>
      <c r="T146" s="150"/>
      <c r="W146" s="150"/>
    </row>
    <row r="147" spans="5:23" x14ac:dyDescent="0.3">
      <c r="E147" s="150"/>
      <c r="F147" s="150"/>
      <c r="G147" s="150"/>
      <c r="H147" s="150"/>
      <c r="R147" s="150"/>
      <c r="T147" s="150"/>
      <c r="W147" s="150"/>
    </row>
    <row r="148" spans="5:23" x14ac:dyDescent="0.3">
      <c r="E148" s="150"/>
      <c r="F148" s="150"/>
      <c r="G148" s="150"/>
      <c r="H148" s="150"/>
      <c r="R148" s="150"/>
      <c r="T148" s="150"/>
      <c r="W148" s="150"/>
    </row>
    <row r="149" spans="5:23" x14ac:dyDescent="0.3">
      <c r="E149" s="150"/>
      <c r="F149" s="150"/>
      <c r="G149" s="150"/>
      <c r="H149" s="150"/>
      <c r="R149" s="150"/>
      <c r="T149" s="150"/>
      <c r="W149" s="150"/>
    </row>
    <row r="150" spans="5:23" x14ac:dyDescent="0.3">
      <c r="E150" s="150"/>
      <c r="F150" s="150"/>
      <c r="G150" s="150"/>
      <c r="H150" s="150"/>
      <c r="R150" s="150"/>
      <c r="T150" s="150"/>
      <c r="W150" s="150"/>
    </row>
    <row r="151" spans="5:23" x14ac:dyDescent="0.3">
      <c r="E151" s="150"/>
      <c r="F151" s="150"/>
      <c r="G151" s="150"/>
      <c r="H151" s="150"/>
      <c r="R151" s="150"/>
      <c r="T151" s="150"/>
      <c r="W151" s="150"/>
    </row>
    <row r="152" spans="5:23" x14ac:dyDescent="0.3">
      <c r="E152" s="150"/>
      <c r="F152" s="150"/>
      <c r="G152" s="150"/>
      <c r="H152" s="150"/>
      <c r="R152" s="150"/>
      <c r="T152" s="150"/>
      <c r="W152" s="150"/>
    </row>
    <row r="153" spans="5:23" x14ac:dyDescent="0.3">
      <c r="E153" s="150"/>
      <c r="F153" s="150"/>
      <c r="G153" s="150"/>
      <c r="H153" s="150"/>
      <c r="R153" s="150"/>
      <c r="T153" s="150"/>
      <c r="W153" s="150"/>
    </row>
    <row r="154" spans="5:23" x14ac:dyDescent="0.3">
      <c r="E154" s="150"/>
      <c r="F154" s="150"/>
      <c r="G154" s="150"/>
      <c r="H154" s="150"/>
      <c r="R154" s="150"/>
      <c r="T154" s="150"/>
      <c r="W154" s="150"/>
    </row>
    <row r="155" spans="5:23" x14ac:dyDescent="0.3">
      <c r="E155" s="150"/>
      <c r="F155" s="150"/>
      <c r="G155" s="150"/>
      <c r="H155" s="150"/>
      <c r="R155" s="150"/>
      <c r="T155" s="150"/>
      <c r="W155" s="150"/>
    </row>
    <row r="156" spans="5:23" x14ac:dyDescent="0.3">
      <c r="E156" s="150"/>
      <c r="F156" s="150"/>
      <c r="G156" s="150"/>
      <c r="H156" s="150"/>
      <c r="R156" s="150"/>
      <c r="T156" s="150"/>
      <c r="W156" s="150"/>
    </row>
    <row r="157" spans="5:23" x14ac:dyDescent="0.3">
      <c r="E157" s="150"/>
      <c r="F157" s="150"/>
      <c r="G157" s="150"/>
      <c r="H157" s="150"/>
      <c r="R157" s="150"/>
      <c r="T157" s="150"/>
      <c r="W157" s="150"/>
    </row>
    <row r="158" spans="5:23" x14ac:dyDescent="0.3">
      <c r="E158" s="150"/>
      <c r="F158" s="150"/>
      <c r="G158" s="150"/>
      <c r="H158" s="150"/>
      <c r="R158" s="150"/>
      <c r="T158" s="150"/>
      <c r="W158" s="150"/>
    </row>
    <row r="159" spans="5:23" x14ac:dyDescent="0.3">
      <c r="E159" s="150"/>
      <c r="F159" s="150"/>
      <c r="G159" s="150"/>
      <c r="H159" s="150"/>
      <c r="R159" s="150"/>
      <c r="T159" s="150"/>
      <c r="W159" s="150"/>
    </row>
    <row r="160" spans="5:23" x14ac:dyDescent="0.3">
      <c r="E160" s="150"/>
      <c r="F160" s="150"/>
      <c r="G160" s="150"/>
      <c r="H160" s="150"/>
      <c r="R160" s="150"/>
      <c r="T160" s="150"/>
      <c r="W160" s="150"/>
    </row>
    <row r="161" spans="5:23" x14ac:dyDescent="0.3">
      <c r="E161" s="150"/>
      <c r="F161" s="150"/>
      <c r="G161" s="150"/>
      <c r="H161" s="150"/>
      <c r="R161" s="150"/>
      <c r="T161" s="150"/>
      <c r="W161" s="150"/>
    </row>
    <row r="162" spans="5:23" x14ac:dyDescent="0.3">
      <c r="E162" s="150"/>
      <c r="F162" s="150"/>
      <c r="G162" s="150"/>
      <c r="H162" s="150"/>
      <c r="R162" s="150"/>
      <c r="T162" s="150"/>
      <c r="W162" s="150"/>
    </row>
    <row r="163" spans="5:23" x14ac:dyDescent="0.3">
      <c r="E163" s="150"/>
      <c r="F163" s="150"/>
      <c r="G163" s="150"/>
      <c r="H163" s="150"/>
      <c r="R163" s="150"/>
      <c r="T163" s="150"/>
      <c r="W163" s="150"/>
    </row>
    <row r="164" spans="5:23" x14ac:dyDescent="0.3">
      <c r="E164" s="150"/>
      <c r="F164" s="150"/>
      <c r="G164" s="150"/>
      <c r="H164" s="150"/>
      <c r="R164" s="150"/>
      <c r="T164" s="150"/>
      <c r="W164" s="150"/>
    </row>
    <row r="165" spans="5:23" x14ac:dyDescent="0.3">
      <c r="E165" s="150"/>
      <c r="F165" s="150"/>
      <c r="G165" s="150"/>
      <c r="H165" s="150"/>
      <c r="R165" s="150"/>
      <c r="T165" s="150"/>
      <c r="W165" s="150"/>
    </row>
    <row r="166" spans="5:23" x14ac:dyDescent="0.3">
      <c r="E166" s="150"/>
      <c r="F166" s="150"/>
      <c r="G166" s="150"/>
      <c r="H166" s="150"/>
      <c r="R166" s="150"/>
      <c r="T166" s="150"/>
      <c r="W166" s="150"/>
    </row>
    <row r="167" spans="5:23" x14ac:dyDescent="0.3">
      <c r="E167" s="150"/>
      <c r="F167" s="150"/>
      <c r="G167" s="150"/>
      <c r="H167" s="150"/>
      <c r="R167" s="150"/>
      <c r="T167" s="150"/>
      <c r="W167" s="150"/>
    </row>
    <row r="168" spans="5:23" x14ac:dyDescent="0.3">
      <c r="E168" s="150"/>
      <c r="F168" s="150"/>
      <c r="G168" s="150"/>
      <c r="H168" s="150"/>
      <c r="R168" s="150"/>
      <c r="T168" s="150"/>
      <c r="W168" s="150"/>
    </row>
    <row r="169" spans="5:23" x14ac:dyDescent="0.3">
      <c r="E169" s="150"/>
      <c r="F169" s="150"/>
      <c r="G169" s="150"/>
      <c r="H169" s="150"/>
      <c r="R169" s="150"/>
      <c r="T169" s="150"/>
      <c r="W169" s="150"/>
    </row>
    <row r="170" spans="5:23" x14ac:dyDescent="0.3">
      <c r="E170" s="150"/>
      <c r="F170" s="150"/>
      <c r="G170" s="150"/>
      <c r="H170" s="150"/>
      <c r="R170" s="150"/>
      <c r="T170" s="150"/>
      <c r="W170" s="150"/>
    </row>
    <row r="171" spans="5:23" x14ac:dyDescent="0.3">
      <c r="E171" s="150"/>
      <c r="F171" s="150"/>
      <c r="G171" s="150"/>
      <c r="H171" s="150"/>
      <c r="R171" s="150"/>
      <c r="T171" s="150"/>
      <c r="W171" s="150"/>
    </row>
    <row r="172" spans="5:23" x14ac:dyDescent="0.3">
      <c r="E172" s="150"/>
      <c r="F172" s="150"/>
      <c r="G172" s="150"/>
      <c r="H172" s="150"/>
      <c r="R172" s="150"/>
      <c r="T172" s="150"/>
      <c r="W172" s="150"/>
    </row>
    <row r="173" spans="5:23" x14ac:dyDescent="0.3">
      <c r="E173" s="150"/>
      <c r="F173" s="150"/>
      <c r="G173" s="150"/>
      <c r="H173" s="150"/>
      <c r="R173" s="150"/>
      <c r="T173" s="150"/>
      <c r="W173" s="150"/>
    </row>
    <row r="174" spans="5:23" x14ac:dyDescent="0.3">
      <c r="E174" s="150"/>
      <c r="F174" s="150"/>
      <c r="G174" s="150"/>
      <c r="H174" s="150"/>
      <c r="R174" s="150"/>
      <c r="T174" s="150"/>
      <c r="W174" s="150"/>
    </row>
    <row r="175" spans="5:23" x14ac:dyDescent="0.3">
      <c r="E175" s="150"/>
      <c r="F175" s="150"/>
      <c r="G175" s="150"/>
      <c r="H175" s="150"/>
      <c r="R175" s="150"/>
      <c r="T175" s="150"/>
      <c r="W175" s="150"/>
    </row>
    <row r="176" spans="5:23" x14ac:dyDescent="0.3">
      <c r="E176" s="150"/>
      <c r="F176" s="150"/>
      <c r="G176" s="150"/>
      <c r="H176" s="150"/>
      <c r="R176" s="150"/>
      <c r="T176" s="150"/>
      <c r="W176" s="150"/>
    </row>
    <row r="177" spans="5:23" x14ac:dyDescent="0.3">
      <c r="E177" s="150"/>
      <c r="F177" s="150"/>
      <c r="G177" s="150"/>
      <c r="H177" s="150"/>
      <c r="R177" s="150"/>
      <c r="T177" s="150"/>
      <c r="W177" s="150"/>
    </row>
    <row r="178" spans="5:23" x14ac:dyDescent="0.3">
      <c r="E178" s="150"/>
      <c r="F178" s="150"/>
      <c r="G178" s="150"/>
      <c r="H178" s="150"/>
      <c r="R178" s="150"/>
      <c r="T178" s="150"/>
      <c r="W178" s="150"/>
    </row>
    <row r="179" spans="5:23" x14ac:dyDescent="0.3">
      <c r="E179" s="150"/>
      <c r="F179" s="150"/>
      <c r="G179" s="150"/>
      <c r="H179" s="150"/>
      <c r="R179" s="150"/>
      <c r="T179" s="150"/>
      <c r="W179" s="150"/>
    </row>
    <row r="180" spans="5:23" x14ac:dyDescent="0.3">
      <c r="E180" s="150"/>
      <c r="F180" s="150"/>
      <c r="G180" s="150"/>
      <c r="H180" s="150"/>
      <c r="R180" s="150"/>
      <c r="T180" s="150"/>
      <c r="W180" s="150"/>
    </row>
    <row r="181" spans="5:23" x14ac:dyDescent="0.3">
      <c r="E181" s="150"/>
      <c r="F181" s="150"/>
      <c r="G181" s="150"/>
      <c r="H181" s="150"/>
      <c r="R181" s="150"/>
      <c r="T181" s="150"/>
      <c r="W181" s="150"/>
    </row>
    <row r="182" spans="5:23" x14ac:dyDescent="0.3">
      <c r="E182" s="150"/>
      <c r="F182" s="150"/>
      <c r="G182" s="150"/>
      <c r="H182" s="150"/>
      <c r="R182" s="150"/>
      <c r="T182" s="150"/>
      <c r="W182" s="150"/>
    </row>
    <row r="183" spans="5:23" x14ac:dyDescent="0.3">
      <c r="E183" s="150"/>
      <c r="F183" s="150"/>
      <c r="G183" s="150"/>
      <c r="H183" s="150"/>
      <c r="R183" s="150"/>
      <c r="T183" s="150"/>
      <c r="W183" s="150"/>
    </row>
    <row r="184" spans="5:23" x14ac:dyDescent="0.3">
      <c r="E184" s="150"/>
      <c r="F184" s="150"/>
      <c r="G184" s="150"/>
      <c r="H184" s="150"/>
      <c r="R184" s="150"/>
      <c r="T184" s="150"/>
      <c r="W184" s="150"/>
    </row>
    <row r="185" spans="5:23" x14ac:dyDescent="0.3">
      <c r="E185" s="150"/>
      <c r="F185" s="150"/>
      <c r="G185" s="150"/>
      <c r="H185" s="150"/>
      <c r="R185" s="150"/>
      <c r="T185" s="150"/>
      <c r="W185" s="150"/>
    </row>
    <row r="186" spans="5:23" x14ac:dyDescent="0.3">
      <c r="E186" s="150"/>
      <c r="F186" s="150"/>
      <c r="G186" s="150"/>
      <c r="H186" s="150"/>
      <c r="R186" s="150"/>
      <c r="T186" s="150"/>
      <c r="W186" s="150"/>
    </row>
    <row r="187" spans="5:23" x14ac:dyDescent="0.3">
      <c r="E187" s="150"/>
      <c r="F187" s="150"/>
      <c r="G187" s="150"/>
      <c r="H187" s="150"/>
      <c r="R187" s="150"/>
      <c r="T187" s="150"/>
      <c r="W187" s="150"/>
    </row>
    <row r="188" spans="5:23" x14ac:dyDescent="0.3">
      <c r="E188" s="150"/>
      <c r="F188" s="150"/>
      <c r="G188" s="150"/>
      <c r="H188" s="150"/>
      <c r="R188" s="150"/>
      <c r="T188" s="150"/>
      <c r="W188" s="150"/>
    </row>
    <row r="189" spans="5:23" x14ac:dyDescent="0.3">
      <c r="E189" s="150"/>
      <c r="F189" s="150"/>
      <c r="G189" s="150"/>
      <c r="H189" s="150"/>
      <c r="R189" s="150"/>
      <c r="T189" s="150"/>
      <c r="W189" s="150"/>
    </row>
    <row r="190" spans="5:23" x14ac:dyDescent="0.3">
      <c r="E190" s="150"/>
      <c r="F190" s="150"/>
      <c r="G190" s="150"/>
      <c r="H190" s="150"/>
      <c r="R190" s="150"/>
      <c r="T190" s="150"/>
      <c r="W190" s="150"/>
    </row>
    <row r="191" spans="5:23" x14ac:dyDescent="0.3">
      <c r="E191" s="150"/>
      <c r="F191" s="150"/>
      <c r="G191" s="150"/>
      <c r="H191" s="150"/>
      <c r="R191" s="150"/>
      <c r="T191" s="150"/>
      <c r="W191" s="150"/>
    </row>
    <row r="192" spans="5:23" x14ac:dyDescent="0.3">
      <c r="E192" s="150"/>
      <c r="F192" s="150"/>
      <c r="G192" s="150"/>
      <c r="H192" s="150"/>
      <c r="R192" s="150"/>
      <c r="T192" s="150"/>
      <c r="W192" s="150"/>
    </row>
    <row r="193" spans="5:23" x14ac:dyDescent="0.3">
      <c r="E193" s="150"/>
      <c r="F193" s="150"/>
      <c r="G193" s="150"/>
      <c r="H193" s="150"/>
      <c r="R193" s="150"/>
      <c r="T193" s="150"/>
      <c r="W193" s="150"/>
    </row>
    <row r="194" spans="5:23" x14ac:dyDescent="0.3">
      <c r="E194" s="150"/>
      <c r="F194" s="150"/>
      <c r="G194" s="150"/>
      <c r="H194" s="150"/>
      <c r="R194" s="150"/>
      <c r="T194" s="150"/>
      <c r="W194" s="150"/>
    </row>
    <row r="195" spans="5:23" x14ac:dyDescent="0.3">
      <c r="E195" s="150"/>
      <c r="F195" s="150"/>
      <c r="G195" s="150"/>
      <c r="H195" s="150"/>
      <c r="R195" s="150"/>
      <c r="T195" s="150"/>
      <c r="W195" s="150"/>
    </row>
    <row r="196" spans="5:23" x14ac:dyDescent="0.3">
      <c r="E196" s="150"/>
      <c r="F196" s="150"/>
      <c r="G196" s="150"/>
      <c r="H196" s="150"/>
      <c r="R196" s="150"/>
      <c r="T196" s="150"/>
      <c r="W196" s="150"/>
    </row>
    <row r="197" spans="5:23" x14ac:dyDescent="0.3">
      <c r="E197" s="150"/>
      <c r="F197" s="150"/>
      <c r="G197" s="150"/>
      <c r="H197" s="150"/>
      <c r="R197" s="150"/>
      <c r="T197" s="150"/>
      <c r="W197" s="150"/>
    </row>
    <row r="198" spans="5:23" x14ac:dyDescent="0.3">
      <c r="E198" s="150"/>
      <c r="F198" s="150"/>
      <c r="G198" s="150"/>
      <c r="H198" s="150"/>
      <c r="R198" s="150"/>
      <c r="T198" s="150"/>
      <c r="W198" s="150"/>
    </row>
    <row r="199" spans="5:23" x14ac:dyDescent="0.3">
      <c r="E199" s="150"/>
      <c r="F199" s="150"/>
      <c r="G199" s="150"/>
      <c r="H199" s="150"/>
      <c r="R199" s="150"/>
      <c r="T199" s="150"/>
      <c r="W199" s="150"/>
    </row>
    <row r="200" spans="5:23" x14ac:dyDescent="0.3">
      <c r="E200" s="150"/>
      <c r="F200" s="150"/>
      <c r="G200" s="150"/>
      <c r="H200" s="150"/>
      <c r="R200" s="150"/>
      <c r="T200" s="150"/>
      <c r="W200" s="150"/>
    </row>
    <row r="201" spans="5:23" x14ac:dyDescent="0.3">
      <c r="E201" s="150"/>
      <c r="F201" s="150"/>
      <c r="G201" s="150"/>
      <c r="H201" s="150"/>
      <c r="R201" s="150"/>
      <c r="T201" s="150"/>
      <c r="W201" s="150"/>
    </row>
    <row r="202" spans="5:23" x14ac:dyDescent="0.3">
      <c r="E202" s="150"/>
      <c r="F202" s="150"/>
      <c r="G202" s="150"/>
      <c r="H202" s="150"/>
      <c r="R202" s="150"/>
      <c r="T202" s="150"/>
      <c r="W202" s="150"/>
    </row>
    <row r="203" spans="5:23" x14ac:dyDescent="0.3">
      <c r="E203" s="150"/>
      <c r="F203" s="150"/>
      <c r="G203" s="150"/>
      <c r="H203" s="150"/>
      <c r="R203" s="150"/>
      <c r="T203" s="150"/>
      <c r="W203" s="150"/>
    </row>
    <row r="204" spans="5:23" x14ac:dyDescent="0.3">
      <c r="E204" s="150"/>
      <c r="F204" s="150"/>
      <c r="G204" s="150"/>
      <c r="H204" s="150"/>
      <c r="R204" s="150"/>
      <c r="T204" s="150"/>
      <c r="W204" s="150"/>
    </row>
    <row r="205" spans="5:23" x14ac:dyDescent="0.3">
      <c r="E205" s="150"/>
      <c r="F205" s="150"/>
      <c r="G205" s="150"/>
      <c r="H205" s="150"/>
      <c r="R205" s="150"/>
      <c r="T205" s="150"/>
      <c r="W205" s="150"/>
    </row>
    <row r="206" spans="5:23" x14ac:dyDescent="0.3">
      <c r="E206" s="150"/>
      <c r="F206" s="150"/>
      <c r="G206" s="150"/>
      <c r="H206" s="150"/>
      <c r="R206" s="150"/>
      <c r="T206" s="150"/>
      <c r="W206" s="150"/>
    </row>
    <row r="207" spans="5:23" x14ac:dyDescent="0.3">
      <c r="E207" s="150"/>
      <c r="F207" s="150"/>
      <c r="G207" s="150"/>
      <c r="H207" s="150"/>
      <c r="R207" s="150"/>
      <c r="T207" s="150"/>
      <c r="W207" s="150"/>
    </row>
    <row r="208" spans="5:23" x14ac:dyDescent="0.3">
      <c r="E208" s="150"/>
      <c r="F208" s="150"/>
      <c r="G208" s="150"/>
      <c r="H208" s="150"/>
      <c r="R208" s="150"/>
      <c r="T208" s="150"/>
      <c r="W208" s="150"/>
    </row>
    <row r="209" spans="5:23" x14ac:dyDescent="0.3">
      <c r="E209" s="150"/>
      <c r="F209" s="150"/>
      <c r="G209" s="150"/>
      <c r="H209" s="150"/>
      <c r="R209" s="150"/>
      <c r="T209" s="150"/>
      <c r="W209" s="150"/>
    </row>
    <row r="210" spans="5:23" x14ac:dyDescent="0.3">
      <c r="E210" s="150"/>
      <c r="F210" s="150"/>
      <c r="G210" s="150"/>
      <c r="H210" s="150"/>
      <c r="R210" s="150"/>
      <c r="T210" s="150"/>
      <c r="W210" s="150"/>
    </row>
    <row r="211" spans="5:23" x14ac:dyDescent="0.3">
      <c r="E211" s="150"/>
      <c r="F211" s="150"/>
      <c r="G211" s="150"/>
      <c r="H211" s="150"/>
      <c r="R211" s="150"/>
      <c r="T211" s="150"/>
      <c r="W211" s="150"/>
    </row>
    <row r="212" spans="5:23" x14ac:dyDescent="0.3">
      <c r="E212" s="150"/>
      <c r="F212" s="150"/>
      <c r="G212" s="150"/>
      <c r="H212" s="150"/>
      <c r="R212" s="150"/>
      <c r="T212" s="150"/>
      <c r="W212" s="150"/>
    </row>
    <row r="213" spans="5:23" x14ac:dyDescent="0.3">
      <c r="E213" s="150"/>
      <c r="F213" s="150"/>
      <c r="G213" s="150"/>
      <c r="H213" s="150"/>
      <c r="R213" s="150"/>
      <c r="T213" s="150"/>
      <c r="W213" s="150"/>
    </row>
    <row r="214" spans="5:23" x14ac:dyDescent="0.3">
      <c r="E214" s="150"/>
      <c r="F214" s="150"/>
      <c r="G214" s="150"/>
      <c r="H214" s="150"/>
      <c r="R214" s="150"/>
      <c r="T214" s="150"/>
      <c r="W214" s="150"/>
    </row>
    <row r="215" spans="5:23" x14ac:dyDescent="0.3">
      <c r="E215" s="150"/>
      <c r="F215" s="150"/>
      <c r="G215" s="150"/>
      <c r="H215" s="150"/>
      <c r="R215" s="150"/>
      <c r="T215" s="150"/>
      <c r="W215" s="150"/>
    </row>
    <row r="216" spans="5:23" x14ac:dyDescent="0.3">
      <c r="E216" s="150"/>
      <c r="F216" s="150"/>
      <c r="G216" s="150"/>
      <c r="H216" s="150"/>
      <c r="R216" s="150"/>
      <c r="T216" s="150"/>
      <c r="W216" s="150"/>
    </row>
    <row r="217" spans="5:23" x14ac:dyDescent="0.3">
      <c r="E217" s="150"/>
      <c r="F217" s="150"/>
      <c r="G217" s="150"/>
      <c r="H217" s="150"/>
      <c r="R217" s="150"/>
      <c r="T217" s="150"/>
      <c r="W217" s="150"/>
    </row>
    <row r="218" spans="5:23" x14ac:dyDescent="0.3">
      <c r="E218" s="150"/>
      <c r="F218" s="150"/>
      <c r="G218" s="150"/>
      <c r="H218" s="150"/>
      <c r="R218" s="150"/>
      <c r="T218" s="150"/>
      <c r="W218" s="150"/>
    </row>
    <row r="219" spans="5:23" x14ac:dyDescent="0.3">
      <c r="E219" s="150"/>
      <c r="F219" s="150"/>
      <c r="G219" s="150"/>
      <c r="H219" s="150"/>
      <c r="R219" s="150"/>
      <c r="T219" s="150"/>
      <c r="W219" s="150"/>
    </row>
    <row r="220" spans="5:23" x14ac:dyDescent="0.3">
      <c r="E220" s="150"/>
      <c r="F220" s="150"/>
      <c r="G220" s="150"/>
      <c r="H220" s="150"/>
      <c r="R220" s="150"/>
      <c r="T220" s="150"/>
      <c r="W220" s="150"/>
    </row>
    <row r="221" spans="5:23" x14ac:dyDescent="0.3">
      <c r="E221" s="150"/>
      <c r="F221" s="150"/>
      <c r="G221" s="150"/>
      <c r="H221" s="150"/>
      <c r="R221" s="150"/>
      <c r="T221" s="150"/>
      <c r="W221" s="150"/>
    </row>
    <row r="222" spans="5:23" x14ac:dyDescent="0.3">
      <c r="E222" s="150"/>
      <c r="F222" s="150"/>
      <c r="G222" s="150"/>
      <c r="H222" s="150"/>
      <c r="R222" s="150"/>
      <c r="T222" s="150"/>
      <c r="W222" s="150"/>
    </row>
    <row r="223" spans="5:23" x14ac:dyDescent="0.3">
      <c r="E223" s="150"/>
      <c r="F223" s="150"/>
      <c r="G223" s="150"/>
      <c r="H223" s="150"/>
      <c r="R223" s="150"/>
      <c r="T223" s="150"/>
      <c r="W223" s="150"/>
    </row>
    <row r="224" spans="5:23" x14ac:dyDescent="0.3">
      <c r="E224" s="150"/>
      <c r="F224" s="150"/>
      <c r="G224" s="150"/>
      <c r="H224" s="150"/>
      <c r="R224" s="150"/>
      <c r="T224" s="150"/>
      <c r="W224" s="150"/>
    </row>
    <row r="225" spans="5:23" x14ac:dyDescent="0.3">
      <c r="E225" s="150"/>
      <c r="F225" s="150"/>
      <c r="G225" s="150"/>
      <c r="H225" s="150"/>
      <c r="R225" s="150"/>
      <c r="T225" s="150"/>
      <c r="W225" s="150"/>
    </row>
    <row r="226" spans="5:23" x14ac:dyDescent="0.3">
      <c r="E226" s="150"/>
      <c r="F226" s="150"/>
      <c r="G226" s="150"/>
      <c r="H226" s="150"/>
      <c r="R226" s="150"/>
      <c r="T226" s="150"/>
      <c r="W226" s="150"/>
    </row>
    <row r="227" spans="5:23" x14ac:dyDescent="0.3">
      <c r="E227" s="150"/>
      <c r="F227" s="150"/>
      <c r="G227" s="150"/>
      <c r="H227" s="150"/>
      <c r="R227" s="150"/>
      <c r="T227" s="150"/>
      <c r="W227" s="150"/>
    </row>
    <row r="228" spans="5:23" x14ac:dyDescent="0.3">
      <c r="E228" s="150"/>
      <c r="F228" s="150"/>
      <c r="G228" s="150"/>
      <c r="H228" s="150"/>
      <c r="R228" s="150"/>
      <c r="T228" s="150"/>
      <c r="W228" s="150"/>
    </row>
    <row r="229" spans="5:23" x14ac:dyDescent="0.3">
      <c r="E229" s="150"/>
      <c r="F229" s="150"/>
      <c r="G229" s="150"/>
      <c r="H229" s="150"/>
      <c r="R229" s="150"/>
      <c r="T229" s="150"/>
      <c r="W229" s="150"/>
    </row>
    <row r="230" spans="5:23" x14ac:dyDescent="0.3">
      <c r="E230" s="150"/>
      <c r="F230" s="150"/>
      <c r="G230" s="150"/>
      <c r="H230" s="150"/>
      <c r="R230" s="150"/>
      <c r="T230" s="150"/>
      <c r="W230" s="150"/>
    </row>
    <row r="231" spans="5:23" x14ac:dyDescent="0.3">
      <c r="E231" s="150"/>
      <c r="F231" s="150"/>
      <c r="G231" s="150"/>
      <c r="H231" s="150"/>
      <c r="R231" s="150"/>
      <c r="T231" s="150"/>
      <c r="W231" s="150"/>
    </row>
    <row r="232" spans="5:23" x14ac:dyDescent="0.3">
      <c r="E232" s="150"/>
      <c r="F232" s="150"/>
      <c r="G232" s="150"/>
      <c r="H232" s="150"/>
      <c r="R232" s="150"/>
      <c r="T232" s="150"/>
      <c r="W232" s="150"/>
    </row>
    <row r="233" spans="5:23" x14ac:dyDescent="0.3">
      <c r="E233" s="150"/>
      <c r="F233" s="150"/>
      <c r="G233" s="150"/>
      <c r="H233" s="150"/>
      <c r="R233" s="150"/>
      <c r="T233" s="150"/>
      <c r="W233" s="150"/>
    </row>
    <row r="234" spans="5:23" x14ac:dyDescent="0.3">
      <c r="E234" s="150"/>
      <c r="F234" s="150"/>
      <c r="G234" s="150"/>
      <c r="H234" s="150"/>
      <c r="R234" s="150"/>
      <c r="T234" s="150"/>
      <c r="W234" s="150"/>
    </row>
    <row r="235" spans="5:23" x14ac:dyDescent="0.3">
      <c r="E235" s="150"/>
      <c r="F235" s="150"/>
      <c r="G235" s="150"/>
      <c r="H235" s="150"/>
      <c r="R235" s="150"/>
      <c r="T235" s="150"/>
      <c r="W235" s="150"/>
    </row>
    <row r="236" spans="5:23" x14ac:dyDescent="0.3">
      <c r="E236" s="150"/>
      <c r="F236" s="150"/>
      <c r="G236" s="150"/>
      <c r="H236" s="150"/>
      <c r="R236" s="150"/>
      <c r="T236" s="150"/>
      <c r="W236" s="150"/>
    </row>
    <row r="237" spans="5:23" x14ac:dyDescent="0.3">
      <c r="E237" s="150"/>
      <c r="F237" s="150"/>
      <c r="G237" s="150"/>
      <c r="H237" s="150"/>
      <c r="R237" s="150"/>
      <c r="T237" s="150"/>
      <c r="W237" s="150"/>
    </row>
    <row r="238" spans="5:23" x14ac:dyDescent="0.3">
      <c r="E238" s="150"/>
      <c r="F238" s="150"/>
      <c r="G238" s="150"/>
      <c r="H238" s="150"/>
      <c r="R238" s="150"/>
      <c r="T238" s="150"/>
      <c r="W238" s="150"/>
    </row>
    <row r="239" spans="5:23" x14ac:dyDescent="0.3">
      <c r="E239" s="150"/>
      <c r="F239" s="150"/>
      <c r="G239" s="150"/>
      <c r="H239" s="150"/>
      <c r="R239" s="150"/>
      <c r="T239" s="150"/>
      <c r="W239" s="150"/>
    </row>
    <row r="240" spans="5:23" x14ac:dyDescent="0.3">
      <c r="E240" s="150"/>
      <c r="F240" s="150"/>
      <c r="G240" s="150"/>
      <c r="H240" s="150"/>
      <c r="R240" s="150"/>
      <c r="T240" s="150"/>
      <c r="W240" s="150"/>
    </row>
    <row r="241" spans="5:23" x14ac:dyDescent="0.3">
      <c r="E241" s="150"/>
      <c r="F241" s="150"/>
      <c r="G241" s="150"/>
      <c r="H241" s="150"/>
      <c r="R241" s="150"/>
      <c r="T241" s="150"/>
      <c r="W241" s="150"/>
    </row>
    <row r="242" spans="5:23" x14ac:dyDescent="0.3">
      <c r="E242" s="150"/>
      <c r="F242" s="150"/>
      <c r="G242" s="150"/>
      <c r="H242" s="150"/>
      <c r="R242" s="150"/>
      <c r="T242" s="150"/>
      <c r="W242" s="150"/>
    </row>
    <row r="243" spans="5:23" x14ac:dyDescent="0.3">
      <c r="E243" s="150"/>
      <c r="F243" s="150"/>
      <c r="G243" s="150"/>
      <c r="H243" s="150"/>
      <c r="R243" s="150"/>
      <c r="T243" s="150"/>
      <c r="W243" s="150"/>
    </row>
    <row r="244" spans="5:23" x14ac:dyDescent="0.3">
      <c r="E244" s="150"/>
      <c r="F244" s="150"/>
      <c r="G244" s="150"/>
      <c r="H244" s="150"/>
      <c r="R244" s="150"/>
      <c r="T244" s="150"/>
      <c r="W244" s="150"/>
    </row>
    <row r="245" spans="5:23" x14ac:dyDescent="0.3">
      <c r="E245" s="150"/>
      <c r="F245" s="150"/>
      <c r="G245" s="150"/>
      <c r="H245" s="150"/>
      <c r="R245" s="150"/>
      <c r="T245" s="150"/>
      <c r="W245" s="150"/>
    </row>
    <row r="246" spans="5:23" x14ac:dyDescent="0.3">
      <c r="E246" s="150"/>
      <c r="F246" s="150"/>
      <c r="G246" s="150"/>
      <c r="H246" s="150"/>
      <c r="R246" s="150"/>
      <c r="T246" s="150"/>
      <c r="W246" s="150"/>
    </row>
    <row r="247" spans="5:23" x14ac:dyDescent="0.3">
      <c r="E247" s="150"/>
      <c r="F247" s="150"/>
      <c r="G247" s="150"/>
      <c r="H247" s="150"/>
      <c r="R247" s="150"/>
      <c r="T247" s="150"/>
      <c r="W247" s="150"/>
    </row>
    <row r="248" spans="5:23" x14ac:dyDescent="0.3">
      <c r="E248" s="150"/>
      <c r="F248" s="150"/>
      <c r="G248" s="150"/>
      <c r="H248" s="150"/>
      <c r="R248" s="150"/>
      <c r="T248" s="150"/>
      <c r="W248" s="150"/>
    </row>
    <row r="249" spans="5:23" x14ac:dyDescent="0.3">
      <c r="E249" s="150"/>
      <c r="F249" s="150"/>
      <c r="G249" s="150"/>
      <c r="H249" s="150"/>
      <c r="R249" s="150"/>
      <c r="T249" s="150"/>
      <c r="W249" s="150"/>
    </row>
    <row r="250" spans="5:23" x14ac:dyDescent="0.3">
      <c r="E250" s="150"/>
      <c r="F250" s="150"/>
      <c r="G250" s="150"/>
      <c r="H250" s="150"/>
      <c r="R250" s="150"/>
      <c r="T250" s="150"/>
      <c r="W250" s="150"/>
    </row>
    <row r="251" spans="5:23" x14ac:dyDescent="0.3">
      <c r="E251" s="150"/>
      <c r="F251" s="150"/>
      <c r="G251" s="150"/>
      <c r="H251" s="150"/>
      <c r="R251" s="150"/>
      <c r="T251" s="150"/>
      <c r="W251" s="150"/>
    </row>
    <row r="252" spans="5:23" x14ac:dyDescent="0.3">
      <c r="E252" s="150"/>
      <c r="F252" s="150"/>
      <c r="G252" s="150"/>
      <c r="H252" s="150"/>
      <c r="R252" s="150"/>
      <c r="T252" s="150"/>
      <c r="W252" s="150"/>
    </row>
    <row r="253" spans="5:23" x14ac:dyDescent="0.3">
      <c r="E253" s="150"/>
      <c r="F253" s="150"/>
      <c r="G253" s="150"/>
      <c r="H253" s="150"/>
      <c r="R253" s="150"/>
      <c r="T253" s="150"/>
      <c r="W253" s="150"/>
    </row>
    <row r="254" spans="5:23" x14ac:dyDescent="0.3">
      <c r="E254" s="150"/>
      <c r="F254" s="150"/>
      <c r="G254" s="150"/>
      <c r="H254" s="150"/>
      <c r="R254" s="150"/>
      <c r="T254" s="150"/>
      <c r="W254" s="150"/>
    </row>
    <row r="255" spans="5:23" x14ac:dyDescent="0.3">
      <c r="E255" s="150"/>
      <c r="F255" s="150"/>
      <c r="G255" s="150"/>
      <c r="H255" s="150"/>
      <c r="R255" s="150"/>
      <c r="T255" s="150"/>
      <c r="W255" s="150"/>
    </row>
    <row r="256" spans="5:23" x14ac:dyDescent="0.3">
      <c r="E256" s="150"/>
      <c r="F256" s="150"/>
      <c r="G256" s="150"/>
      <c r="H256" s="150"/>
      <c r="R256" s="150"/>
      <c r="T256" s="150"/>
      <c r="W256" s="150"/>
    </row>
    <row r="257" spans="5:23" x14ac:dyDescent="0.3">
      <c r="E257" s="150"/>
      <c r="F257" s="150"/>
      <c r="G257" s="150"/>
      <c r="H257" s="150"/>
      <c r="R257" s="150"/>
      <c r="T257" s="150"/>
      <c r="W257" s="150"/>
    </row>
    <row r="258" spans="5:23" x14ac:dyDescent="0.3">
      <c r="E258" s="150"/>
      <c r="F258" s="150"/>
      <c r="G258" s="150"/>
      <c r="H258" s="150"/>
      <c r="R258" s="150"/>
      <c r="T258" s="150"/>
      <c r="W258" s="150"/>
    </row>
    <row r="259" spans="5:23" x14ac:dyDescent="0.3">
      <c r="E259" s="150"/>
      <c r="F259" s="150"/>
      <c r="G259" s="150"/>
      <c r="H259" s="150"/>
      <c r="R259" s="150"/>
      <c r="T259" s="150"/>
      <c r="W259" s="150"/>
    </row>
    <row r="260" spans="5:23" x14ac:dyDescent="0.3">
      <c r="E260" s="150"/>
      <c r="F260" s="150"/>
      <c r="G260" s="150"/>
      <c r="H260" s="150"/>
      <c r="R260" s="150"/>
      <c r="T260" s="150"/>
      <c r="W260" s="150"/>
    </row>
    <row r="261" spans="5:23" x14ac:dyDescent="0.3">
      <c r="E261" s="150"/>
      <c r="F261" s="150"/>
      <c r="G261" s="150"/>
      <c r="H261" s="150"/>
      <c r="R261" s="150"/>
      <c r="T261" s="150"/>
      <c r="W261" s="150"/>
    </row>
    <row r="262" spans="5:23" x14ac:dyDescent="0.3">
      <c r="E262" s="150"/>
      <c r="F262" s="150"/>
      <c r="G262" s="150"/>
      <c r="H262" s="150"/>
      <c r="R262" s="150"/>
      <c r="T262" s="150"/>
      <c r="W262" s="150"/>
    </row>
    <row r="263" spans="5:23" x14ac:dyDescent="0.3">
      <c r="E263" s="150"/>
      <c r="F263" s="150"/>
      <c r="G263" s="150"/>
      <c r="H263" s="150"/>
      <c r="R263" s="150"/>
      <c r="T263" s="150"/>
      <c r="W263" s="150"/>
    </row>
    <row r="264" spans="5:23" x14ac:dyDescent="0.3">
      <c r="E264" s="150"/>
      <c r="F264" s="150"/>
      <c r="G264" s="150"/>
      <c r="H264" s="150"/>
      <c r="R264" s="150"/>
      <c r="T264" s="150"/>
      <c r="W264" s="150"/>
    </row>
    <row r="265" spans="5:23" x14ac:dyDescent="0.3">
      <c r="E265" s="150"/>
      <c r="F265" s="150"/>
      <c r="G265" s="150"/>
      <c r="H265" s="150"/>
      <c r="R265" s="150"/>
      <c r="T265" s="150"/>
      <c r="W265" s="150"/>
    </row>
    <row r="266" spans="5:23" x14ac:dyDescent="0.3">
      <c r="E266" s="150"/>
      <c r="F266" s="150"/>
      <c r="G266" s="150"/>
      <c r="H266" s="150"/>
      <c r="R266" s="150"/>
      <c r="T266" s="150"/>
      <c r="W266" s="150"/>
    </row>
    <row r="267" spans="5:23" x14ac:dyDescent="0.3">
      <c r="E267" s="150"/>
      <c r="F267" s="150"/>
      <c r="G267" s="150"/>
      <c r="H267" s="150"/>
      <c r="R267" s="150"/>
      <c r="T267" s="150"/>
      <c r="W267" s="150"/>
    </row>
    <row r="268" spans="5:23" x14ac:dyDescent="0.3">
      <c r="E268" s="150"/>
      <c r="F268" s="150"/>
      <c r="G268" s="150"/>
      <c r="H268" s="150"/>
      <c r="R268" s="150"/>
      <c r="T268" s="150"/>
      <c r="W268" s="150"/>
    </row>
    <row r="269" spans="5:23" x14ac:dyDescent="0.3">
      <c r="E269" s="150"/>
      <c r="F269" s="150"/>
      <c r="G269" s="150"/>
      <c r="H269" s="150"/>
      <c r="R269" s="150"/>
      <c r="T269" s="150"/>
      <c r="W269" s="150"/>
    </row>
    <row r="270" spans="5:23" x14ac:dyDescent="0.3">
      <c r="E270" s="150"/>
      <c r="F270" s="150"/>
      <c r="G270" s="150"/>
      <c r="H270" s="150"/>
      <c r="R270" s="150"/>
      <c r="T270" s="150"/>
      <c r="W270" s="150"/>
    </row>
    <row r="271" spans="5:23" x14ac:dyDescent="0.3">
      <c r="E271" s="150"/>
      <c r="F271" s="150"/>
      <c r="G271" s="150"/>
      <c r="H271" s="150"/>
      <c r="R271" s="150"/>
      <c r="T271" s="150"/>
      <c r="W271" s="150"/>
    </row>
    <row r="272" spans="5:23" x14ac:dyDescent="0.3">
      <c r="E272" s="150"/>
      <c r="F272" s="150"/>
      <c r="G272" s="150"/>
      <c r="H272" s="150"/>
      <c r="R272" s="150"/>
      <c r="T272" s="150"/>
      <c r="W272" s="150"/>
    </row>
    <row r="273" spans="5:23" x14ac:dyDescent="0.3">
      <c r="E273" s="150"/>
      <c r="F273" s="150"/>
      <c r="G273" s="150"/>
      <c r="H273" s="150"/>
      <c r="R273" s="150"/>
      <c r="T273" s="150"/>
      <c r="W273" s="150"/>
    </row>
    <row r="274" spans="5:23" x14ac:dyDescent="0.3">
      <c r="E274" s="150"/>
      <c r="F274" s="150"/>
      <c r="G274" s="150"/>
      <c r="H274" s="150"/>
      <c r="R274" s="150"/>
      <c r="T274" s="150"/>
      <c r="W274" s="150"/>
    </row>
    <row r="275" spans="5:23" x14ac:dyDescent="0.3">
      <c r="E275" s="150"/>
      <c r="F275" s="150"/>
      <c r="G275" s="150"/>
      <c r="H275" s="150"/>
      <c r="R275" s="150"/>
      <c r="T275" s="150"/>
      <c r="W275" s="150"/>
    </row>
    <row r="276" spans="5:23" x14ac:dyDescent="0.3">
      <c r="E276" s="150"/>
      <c r="F276" s="150"/>
      <c r="G276" s="150"/>
      <c r="H276" s="150"/>
      <c r="R276" s="150"/>
      <c r="T276" s="150"/>
      <c r="W276" s="150"/>
    </row>
    <row r="277" spans="5:23" x14ac:dyDescent="0.3">
      <c r="E277" s="150"/>
      <c r="F277" s="150"/>
      <c r="G277" s="150"/>
      <c r="H277" s="150"/>
      <c r="R277" s="150"/>
      <c r="T277" s="150"/>
      <c r="W277" s="150"/>
    </row>
    <row r="278" spans="5:23" x14ac:dyDescent="0.3">
      <c r="E278" s="150"/>
      <c r="F278" s="150"/>
      <c r="G278" s="150"/>
      <c r="H278" s="150"/>
      <c r="R278" s="150"/>
      <c r="T278" s="150"/>
      <c r="W278" s="150"/>
    </row>
    <row r="279" spans="5:23" x14ac:dyDescent="0.3">
      <c r="E279" s="150"/>
      <c r="F279" s="150"/>
      <c r="G279" s="150"/>
      <c r="H279" s="150"/>
      <c r="R279" s="150"/>
      <c r="T279" s="150"/>
      <c r="W279" s="150"/>
    </row>
    <row r="280" spans="5:23" x14ac:dyDescent="0.3">
      <c r="E280" s="150"/>
      <c r="F280" s="150"/>
      <c r="G280" s="150"/>
      <c r="H280" s="150"/>
      <c r="R280" s="150"/>
      <c r="T280" s="150"/>
      <c r="W280" s="150"/>
    </row>
    <row r="281" spans="5:23" x14ac:dyDescent="0.3">
      <c r="E281" s="150"/>
      <c r="F281" s="150"/>
      <c r="G281" s="150"/>
      <c r="H281" s="150"/>
      <c r="R281" s="150"/>
      <c r="T281" s="150"/>
      <c r="W281" s="150"/>
    </row>
    <row r="282" spans="5:23" x14ac:dyDescent="0.3">
      <c r="E282" s="150"/>
      <c r="F282" s="150"/>
      <c r="G282" s="150"/>
      <c r="H282" s="150"/>
      <c r="R282" s="150"/>
      <c r="T282" s="150"/>
      <c r="W282" s="150"/>
    </row>
    <row r="283" spans="5:23" x14ac:dyDescent="0.3">
      <c r="E283" s="150"/>
      <c r="F283" s="150"/>
      <c r="G283" s="150"/>
      <c r="H283" s="150"/>
      <c r="R283" s="150"/>
      <c r="T283" s="150"/>
      <c r="W283" s="150"/>
    </row>
    <row r="284" spans="5:23" x14ac:dyDescent="0.3">
      <c r="E284" s="150"/>
      <c r="F284" s="150"/>
      <c r="G284" s="150"/>
      <c r="H284" s="150"/>
      <c r="R284" s="150"/>
      <c r="T284" s="150"/>
      <c r="W284" s="150"/>
    </row>
    <row r="285" spans="5:23" x14ac:dyDescent="0.3">
      <c r="E285" s="150"/>
      <c r="F285" s="150"/>
      <c r="G285" s="150"/>
      <c r="H285" s="150"/>
      <c r="R285" s="150"/>
      <c r="T285" s="150"/>
      <c r="W285" s="150"/>
    </row>
    <row r="286" spans="5:23" x14ac:dyDescent="0.3">
      <c r="E286" s="150"/>
      <c r="F286" s="150"/>
      <c r="G286" s="150"/>
      <c r="H286" s="150"/>
      <c r="R286" s="150"/>
      <c r="T286" s="150"/>
      <c r="W286" s="150"/>
    </row>
    <row r="287" spans="5:23" x14ac:dyDescent="0.3">
      <c r="E287" s="150"/>
      <c r="F287" s="150"/>
      <c r="G287" s="150"/>
      <c r="H287" s="150"/>
      <c r="R287" s="150"/>
      <c r="T287" s="150"/>
      <c r="W287" s="150"/>
    </row>
    <row r="288" spans="5:23" x14ac:dyDescent="0.3">
      <c r="E288" s="150"/>
      <c r="F288" s="150"/>
      <c r="G288" s="150"/>
      <c r="H288" s="150"/>
      <c r="R288" s="150"/>
      <c r="T288" s="150"/>
      <c r="W288" s="150"/>
    </row>
    <row r="289" spans="5:23" x14ac:dyDescent="0.3">
      <c r="E289" s="150"/>
      <c r="F289" s="150"/>
      <c r="G289" s="150"/>
      <c r="H289" s="150"/>
      <c r="R289" s="150"/>
      <c r="T289" s="150"/>
      <c r="W289" s="150"/>
    </row>
    <row r="290" spans="5:23" x14ac:dyDescent="0.3">
      <c r="E290" s="150"/>
      <c r="F290" s="150"/>
      <c r="G290" s="150"/>
      <c r="H290" s="150"/>
      <c r="R290" s="150"/>
      <c r="T290" s="150"/>
      <c r="W290" s="150"/>
    </row>
    <row r="291" spans="5:23" x14ac:dyDescent="0.3">
      <c r="E291" s="150"/>
      <c r="F291" s="150"/>
      <c r="G291" s="150"/>
      <c r="H291" s="150"/>
      <c r="R291" s="150"/>
      <c r="T291" s="150"/>
      <c r="W291" s="150"/>
    </row>
    <row r="292" spans="5:23" x14ac:dyDescent="0.3">
      <c r="E292" s="150"/>
      <c r="F292" s="150"/>
      <c r="G292" s="150"/>
      <c r="H292" s="150"/>
      <c r="R292" s="150"/>
      <c r="T292" s="150"/>
      <c r="W292" s="150"/>
    </row>
    <row r="293" spans="5:23" x14ac:dyDescent="0.3">
      <c r="E293" s="150"/>
      <c r="F293" s="150"/>
      <c r="G293" s="150"/>
      <c r="H293" s="150"/>
      <c r="R293" s="150"/>
      <c r="T293" s="150"/>
      <c r="W293" s="150"/>
    </row>
    <row r="294" spans="5:23" x14ac:dyDescent="0.3">
      <c r="E294" s="150"/>
      <c r="F294" s="150"/>
      <c r="G294" s="150"/>
      <c r="H294" s="150"/>
      <c r="R294" s="150"/>
      <c r="T294" s="150"/>
      <c r="W294" s="150"/>
    </row>
    <row r="295" spans="5:23" x14ac:dyDescent="0.3">
      <c r="E295" s="150"/>
      <c r="F295" s="150"/>
      <c r="G295" s="150"/>
      <c r="H295" s="150"/>
      <c r="R295" s="150"/>
      <c r="T295" s="150"/>
      <c r="W295" s="150"/>
    </row>
    <row r="296" spans="5:23" x14ac:dyDescent="0.3">
      <c r="E296" s="150"/>
      <c r="F296" s="150"/>
      <c r="G296" s="150"/>
      <c r="H296" s="150"/>
      <c r="R296" s="150"/>
      <c r="T296" s="150"/>
      <c r="W296" s="150"/>
    </row>
    <row r="297" spans="5:23" x14ac:dyDescent="0.3">
      <c r="E297" s="150"/>
      <c r="F297" s="150"/>
      <c r="G297" s="150"/>
      <c r="H297" s="150"/>
      <c r="R297" s="150"/>
      <c r="T297" s="150"/>
      <c r="W297" s="150"/>
    </row>
    <row r="298" spans="5:23" x14ac:dyDescent="0.3">
      <c r="E298" s="150"/>
      <c r="F298" s="150"/>
      <c r="G298" s="150"/>
      <c r="H298" s="150"/>
      <c r="R298" s="150"/>
      <c r="T298" s="150"/>
      <c r="W298" s="150"/>
    </row>
    <row r="299" spans="5:23" x14ac:dyDescent="0.3">
      <c r="E299" s="150"/>
      <c r="F299" s="150"/>
      <c r="G299" s="150"/>
      <c r="H299" s="150"/>
      <c r="R299" s="150"/>
      <c r="T299" s="150"/>
      <c r="W299" s="150"/>
    </row>
    <row r="300" spans="5:23" x14ac:dyDescent="0.3">
      <c r="E300" s="150"/>
      <c r="F300" s="150"/>
      <c r="G300" s="150"/>
      <c r="H300" s="150"/>
      <c r="R300" s="150"/>
      <c r="T300" s="150"/>
      <c r="W300" s="150"/>
    </row>
    <row r="301" spans="5:23" x14ac:dyDescent="0.3">
      <c r="E301" s="150"/>
      <c r="F301" s="150"/>
      <c r="G301" s="150"/>
      <c r="H301" s="150"/>
      <c r="R301" s="150"/>
      <c r="T301" s="150"/>
      <c r="W301" s="150"/>
    </row>
    <row r="302" spans="5:23" x14ac:dyDescent="0.3">
      <c r="E302" s="150"/>
      <c r="F302" s="150"/>
      <c r="G302" s="150"/>
      <c r="H302" s="150"/>
      <c r="R302" s="150"/>
      <c r="T302" s="150"/>
      <c r="W302" s="150"/>
    </row>
    <row r="303" spans="5:23" x14ac:dyDescent="0.3">
      <c r="E303" s="150"/>
      <c r="F303" s="150"/>
      <c r="G303" s="150"/>
      <c r="H303" s="150"/>
      <c r="R303" s="150"/>
      <c r="T303" s="150"/>
      <c r="W303" s="150"/>
    </row>
    <row r="304" spans="5:23" x14ac:dyDescent="0.3">
      <c r="E304" s="150"/>
      <c r="F304" s="150"/>
      <c r="G304" s="150"/>
      <c r="H304" s="150"/>
      <c r="R304" s="150"/>
      <c r="T304" s="150"/>
      <c r="W304" s="150"/>
    </row>
    <row r="305" spans="5:23" x14ac:dyDescent="0.3">
      <c r="E305" s="150"/>
      <c r="F305" s="150"/>
      <c r="G305" s="150"/>
      <c r="H305" s="150"/>
      <c r="R305" s="150"/>
      <c r="T305" s="150"/>
      <c r="W305" s="150"/>
    </row>
    <row r="306" spans="5:23" x14ac:dyDescent="0.3">
      <c r="E306" s="150"/>
      <c r="F306" s="150"/>
      <c r="G306" s="150"/>
      <c r="H306" s="150"/>
      <c r="R306" s="150"/>
      <c r="T306" s="150"/>
      <c r="W306" s="150"/>
    </row>
    <row r="307" spans="5:23" x14ac:dyDescent="0.3">
      <c r="E307" s="150"/>
      <c r="F307" s="150"/>
      <c r="G307" s="150"/>
      <c r="H307" s="150"/>
      <c r="R307" s="150"/>
      <c r="T307" s="150"/>
      <c r="W307" s="150"/>
    </row>
    <row r="308" spans="5:23" x14ac:dyDescent="0.3">
      <c r="E308" s="150"/>
      <c r="F308" s="150"/>
      <c r="G308" s="150"/>
      <c r="H308" s="150"/>
      <c r="R308" s="150"/>
      <c r="T308" s="150"/>
      <c r="W308" s="150"/>
    </row>
    <row r="309" spans="5:23" x14ac:dyDescent="0.3">
      <c r="E309" s="150"/>
      <c r="F309" s="150"/>
      <c r="G309" s="150"/>
      <c r="H309" s="150"/>
      <c r="R309" s="150"/>
      <c r="T309" s="150"/>
      <c r="W309" s="150"/>
    </row>
    <row r="310" spans="5:23" x14ac:dyDescent="0.3">
      <c r="E310" s="150"/>
      <c r="F310" s="150"/>
      <c r="G310" s="150"/>
      <c r="H310" s="150"/>
      <c r="R310" s="150"/>
      <c r="T310" s="150"/>
      <c r="W310" s="150"/>
    </row>
    <row r="311" spans="5:23" x14ac:dyDescent="0.3">
      <c r="E311" s="150"/>
      <c r="F311" s="150"/>
      <c r="G311" s="150"/>
      <c r="H311" s="150"/>
      <c r="R311" s="150"/>
      <c r="T311" s="150"/>
      <c r="W311" s="150"/>
    </row>
    <row r="312" spans="5:23" x14ac:dyDescent="0.3">
      <c r="E312" s="150"/>
      <c r="F312" s="150"/>
      <c r="G312" s="150"/>
      <c r="H312" s="150"/>
      <c r="R312" s="150"/>
      <c r="T312" s="150"/>
      <c r="W312" s="150"/>
    </row>
    <row r="313" spans="5:23" x14ac:dyDescent="0.3">
      <c r="E313" s="150"/>
      <c r="F313" s="150"/>
      <c r="G313" s="150"/>
      <c r="H313" s="150"/>
      <c r="R313" s="150"/>
      <c r="T313" s="150"/>
      <c r="W313" s="150"/>
    </row>
    <row r="314" spans="5:23" x14ac:dyDescent="0.3">
      <c r="E314" s="150"/>
      <c r="F314" s="150"/>
      <c r="G314" s="150"/>
      <c r="H314" s="150"/>
      <c r="R314" s="150"/>
      <c r="T314" s="150"/>
      <c r="W314" s="150"/>
    </row>
    <row r="315" spans="5:23" x14ac:dyDescent="0.3">
      <c r="E315" s="150"/>
      <c r="F315" s="150"/>
      <c r="G315" s="150"/>
      <c r="H315" s="150"/>
      <c r="R315" s="150"/>
      <c r="T315" s="150"/>
      <c r="W315" s="150"/>
    </row>
    <row r="316" spans="5:23" x14ac:dyDescent="0.3">
      <c r="E316" s="150"/>
      <c r="F316" s="150"/>
      <c r="G316" s="150"/>
      <c r="H316" s="150"/>
      <c r="R316" s="150"/>
      <c r="T316" s="150"/>
      <c r="W316" s="150"/>
    </row>
    <row r="317" spans="5:23" x14ac:dyDescent="0.3">
      <c r="E317" s="150"/>
      <c r="F317" s="150"/>
      <c r="G317" s="150"/>
      <c r="H317" s="150"/>
      <c r="R317" s="150"/>
      <c r="T317" s="150"/>
      <c r="W317" s="150"/>
    </row>
    <row r="318" spans="5:23" x14ac:dyDescent="0.3">
      <c r="E318" s="150"/>
      <c r="F318" s="150"/>
      <c r="G318" s="150"/>
      <c r="H318" s="150"/>
      <c r="R318" s="150"/>
      <c r="T318" s="150"/>
      <c r="W318" s="150"/>
    </row>
    <row r="319" spans="5:23" x14ac:dyDescent="0.3">
      <c r="E319" s="150"/>
      <c r="F319" s="150"/>
      <c r="G319" s="150"/>
      <c r="H319" s="150"/>
      <c r="R319" s="150"/>
      <c r="T319" s="150"/>
      <c r="W319" s="150"/>
    </row>
    <row r="320" spans="5:23" x14ac:dyDescent="0.3">
      <c r="E320" s="150"/>
      <c r="F320" s="150"/>
      <c r="G320" s="150"/>
      <c r="H320" s="150"/>
      <c r="R320" s="150"/>
      <c r="T320" s="150"/>
      <c r="W320" s="150"/>
    </row>
    <row r="321" spans="5:23" x14ac:dyDescent="0.3">
      <c r="E321" s="150"/>
      <c r="F321" s="150"/>
      <c r="G321" s="150"/>
      <c r="H321" s="150"/>
      <c r="R321" s="150"/>
      <c r="T321" s="150"/>
      <c r="W321" s="150"/>
    </row>
    <row r="322" spans="5:23" x14ac:dyDescent="0.3">
      <c r="E322" s="150"/>
      <c r="F322" s="150"/>
      <c r="G322" s="150"/>
      <c r="H322" s="150"/>
      <c r="R322" s="150"/>
      <c r="T322" s="150"/>
      <c r="W322" s="150"/>
    </row>
    <row r="323" spans="5:23" x14ac:dyDescent="0.3">
      <c r="E323" s="150"/>
      <c r="F323" s="150"/>
      <c r="G323" s="150"/>
      <c r="H323" s="150"/>
      <c r="R323" s="150"/>
      <c r="T323" s="150"/>
      <c r="W323" s="150"/>
    </row>
    <row r="324" spans="5:23" x14ac:dyDescent="0.3">
      <c r="E324" s="150"/>
      <c r="F324" s="150"/>
      <c r="G324" s="150"/>
      <c r="H324" s="150"/>
      <c r="R324" s="150"/>
      <c r="T324" s="150"/>
      <c r="W324" s="150"/>
    </row>
    <row r="325" spans="5:23" x14ac:dyDescent="0.3">
      <c r="E325" s="150"/>
      <c r="F325" s="150"/>
      <c r="G325" s="150"/>
      <c r="H325" s="150"/>
      <c r="R325" s="150"/>
      <c r="T325" s="150"/>
      <c r="W325" s="150"/>
    </row>
    <row r="326" spans="5:23" x14ac:dyDescent="0.3">
      <c r="E326" s="150"/>
      <c r="F326" s="150"/>
      <c r="G326" s="150"/>
      <c r="H326" s="150"/>
      <c r="R326" s="150"/>
      <c r="T326" s="150"/>
      <c r="W326" s="150"/>
    </row>
    <row r="327" spans="5:23" x14ac:dyDescent="0.3">
      <c r="E327" s="150"/>
      <c r="F327" s="150"/>
      <c r="G327" s="150"/>
      <c r="H327" s="150"/>
      <c r="R327" s="150"/>
      <c r="T327" s="150"/>
      <c r="W327" s="150"/>
    </row>
    <row r="328" spans="5:23" x14ac:dyDescent="0.3">
      <c r="E328" s="150"/>
      <c r="F328" s="150"/>
      <c r="G328" s="150"/>
      <c r="H328" s="150"/>
      <c r="R328" s="150"/>
      <c r="T328" s="150"/>
      <c r="W328" s="150"/>
    </row>
    <row r="329" spans="5:23" x14ac:dyDescent="0.3">
      <c r="E329" s="150"/>
      <c r="F329" s="150"/>
      <c r="G329" s="150"/>
      <c r="H329" s="150"/>
      <c r="R329" s="150"/>
      <c r="T329" s="150"/>
      <c r="W329" s="150"/>
    </row>
    <row r="330" spans="5:23" x14ac:dyDescent="0.3">
      <c r="E330" s="150"/>
      <c r="F330" s="150"/>
      <c r="G330" s="150"/>
      <c r="H330" s="150"/>
      <c r="R330" s="150"/>
      <c r="T330" s="150"/>
      <c r="W330" s="150"/>
    </row>
    <row r="331" spans="5:23" x14ac:dyDescent="0.3">
      <c r="E331" s="150"/>
      <c r="F331" s="150"/>
      <c r="G331" s="150"/>
      <c r="H331" s="150"/>
      <c r="R331" s="150"/>
      <c r="T331" s="150"/>
      <c r="W331" s="150"/>
    </row>
    <row r="332" spans="5:23" x14ac:dyDescent="0.3">
      <c r="E332" s="150"/>
      <c r="F332" s="150"/>
      <c r="G332" s="150"/>
      <c r="H332" s="150"/>
      <c r="R332" s="150"/>
      <c r="T332" s="150"/>
      <c r="W332" s="150"/>
    </row>
    <row r="333" spans="5:23" x14ac:dyDescent="0.3">
      <c r="E333" s="150"/>
      <c r="F333" s="150"/>
      <c r="G333" s="150"/>
      <c r="H333" s="150"/>
      <c r="R333" s="150"/>
      <c r="T333" s="150"/>
      <c r="W333" s="150"/>
    </row>
    <row r="334" spans="5:23" x14ac:dyDescent="0.3">
      <c r="E334" s="150"/>
      <c r="F334" s="150"/>
      <c r="G334" s="150"/>
      <c r="H334" s="150"/>
      <c r="R334" s="150"/>
      <c r="T334" s="150"/>
      <c r="W334" s="150"/>
    </row>
    <row r="335" spans="5:23" x14ac:dyDescent="0.3">
      <c r="E335" s="150"/>
      <c r="F335" s="150"/>
      <c r="G335" s="150"/>
      <c r="H335" s="150"/>
      <c r="R335" s="150"/>
      <c r="T335" s="150"/>
      <c r="W335" s="150"/>
    </row>
    <row r="336" spans="5:23" x14ac:dyDescent="0.3">
      <c r="E336" s="150"/>
      <c r="F336" s="150"/>
      <c r="G336" s="150"/>
      <c r="H336" s="150"/>
      <c r="R336" s="150"/>
      <c r="T336" s="150"/>
      <c r="W336" s="150"/>
    </row>
    <row r="337" spans="5:23" x14ac:dyDescent="0.3">
      <c r="E337" s="150"/>
      <c r="F337" s="150"/>
      <c r="G337" s="150"/>
      <c r="H337" s="150"/>
      <c r="R337" s="150"/>
      <c r="T337" s="150"/>
      <c r="W337" s="150"/>
    </row>
    <row r="338" spans="5:23" x14ac:dyDescent="0.3">
      <c r="E338" s="150"/>
      <c r="F338" s="150"/>
      <c r="G338" s="150"/>
      <c r="H338" s="150"/>
      <c r="R338" s="150"/>
      <c r="T338" s="150"/>
      <c r="W338" s="150"/>
    </row>
    <row r="339" spans="5:23" x14ac:dyDescent="0.3">
      <c r="E339" s="150"/>
      <c r="F339" s="150"/>
      <c r="G339" s="150"/>
      <c r="H339" s="150"/>
      <c r="R339" s="150"/>
      <c r="T339" s="150"/>
      <c r="W339" s="150"/>
    </row>
    <row r="340" spans="5:23" x14ac:dyDescent="0.3">
      <c r="E340" s="150"/>
      <c r="F340" s="150"/>
      <c r="G340" s="150"/>
      <c r="H340" s="150"/>
      <c r="R340" s="150"/>
      <c r="T340" s="150"/>
      <c r="W340" s="150"/>
    </row>
    <row r="341" spans="5:23" x14ac:dyDescent="0.3">
      <c r="E341" s="150"/>
      <c r="F341" s="150"/>
      <c r="G341" s="150"/>
      <c r="H341" s="150"/>
      <c r="R341" s="150"/>
      <c r="T341" s="150"/>
      <c r="W341" s="150"/>
    </row>
    <row r="342" spans="5:23" x14ac:dyDescent="0.3">
      <c r="E342" s="150"/>
      <c r="F342" s="150"/>
      <c r="G342" s="150"/>
      <c r="H342" s="150"/>
      <c r="R342" s="150"/>
      <c r="T342" s="150"/>
      <c r="W342" s="150"/>
    </row>
    <row r="343" spans="5:23" x14ac:dyDescent="0.3">
      <c r="E343" s="150"/>
      <c r="F343" s="150"/>
      <c r="G343" s="150"/>
      <c r="H343" s="150"/>
      <c r="R343" s="150"/>
      <c r="T343" s="150"/>
      <c r="W343" s="150"/>
    </row>
    <row r="344" spans="5:23" x14ac:dyDescent="0.3">
      <c r="E344" s="150"/>
      <c r="F344" s="150"/>
      <c r="G344" s="150"/>
      <c r="H344" s="150"/>
      <c r="R344" s="150"/>
      <c r="T344" s="150"/>
      <c r="W344" s="150"/>
    </row>
    <row r="345" spans="5:23" x14ac:dyDescent="0.3">
      <c r="E345" s="150"/>
      <c r="F345" s="150"/>
      <c r="G345" s="150"/>
      <c r="H345" s="150"/>
      <c r="R345" s="150"/>
      <c r="T345" s="150"/>
      <c r="W345" s="150"/>
    </row>
    <row r="346" spans="5:23" x14ac:dyDescent="0.3">
      <c r="E346" s="150"/>
      <c r="F346" s="150"/>
      <c r="G346" s="150"/>
      <c r="H346" s="150"/>
      <c r="R346" s="150"/>
      <c r="T346" s="150"/>
      <c r="W346" s="150"/>
    </row>
    <row r="347" spans="5:23" x14ac:dyDescent="0.3">
      <c r="E347" s="150"/>
      <c r="F347" s="150"/>
      <c r="G347" s="150"/>
      <c r="H347" s="150"/>
      <c r="R347" s="150"/>
      <c r="T347" s="150"/>
      <c r="W347" s="150"/>
    </row>
    <row r="348" spans="5:23" x14ac:dyDescent="0.3">
      <c r="E348" s="150"/>
      <c r="F348" s="150"/>
      <c r="G348" s="150"/>
      <c r="H348" s="150"/>
      <c r="R348" s="150"/>
      <c r="T348" s="150"/>
      <c r="W348" s="150"/>
    </row>
    <row r="349" spans="5:23" x14ac:dyDescent="0.3">
      <c r="E349" s="150"/>
      <c r="F349" s="150"/>
      <c r="G349" s="150"/>
      <c r="H349" s="150"/>
      <c r="R349" s="150"/>
      <c r="T349" s="150"/>
      <c r="W349" s="150"/>
    </row>
    <row r="350" spans="5:23" x14ac:dyDescent="0.3">
      <c r="E350" s="150"/>
      <c r="F350" s="150"/>
      <c r="G350" s="150"/>
      <c r="H350" s="150"/>
      <c r="R350" s="150"/>
      <c r="T350" s="150"/>
      <c r="W350" s="150"/>
    </row>
    <row r="351" spans="5:23" x14ac:dyDescent="0.3">
      <c r="E351" s="150"/>
      <c r="F351" s="150"/>
      <c r="G351" s="150"/>
      <c r="H351" s="150"/>
      <c r="R351" s="150"/>
      <c r="T351" s="150"/>
      <c r="W351" s="150"/>
    </row>
    <row r="352" spans="5:23" x14ac:dyDescent="0.3">
      <c r="E352" s="150"/>
      <c r="F352" s="150"/>
      <c r="G352" s="150"/>
      <c r="H352" s="150"/>
      <c r="R352" s="150"/>
      <c r="T352" s="150"/>
      <c r="W352" s="150"/>
    </row>
    <row r="353" spans="5:23" x14ac:dyDescent="0.3">
      <c r="E353" s="150"/>
      <c r="F353" s="150"/>
      <c r="G353" s="150"/>
      <c r="H353" s="150"/>
      <c r="R353" s="150"/>
      <c r="T353" s="150"/>
      <c r="W353" s="150"/>
    </row>
    <row r="354" spans="5:23" x14ac:dyDescent="0.3">
      <c r="E354" s="150"/>
      <c r="F354" s="150"/>
      <c r="G354" s="150"/>
      <c r="H354" s="150"/>
      <c r="R354" s="150"/>
      <c r="T354" s="150"/>
      <c r="W354" s="150"/>
    </row>
    <row r="355" spans="5:23" x14ac:dyDescent="0.3">
      <c r="E355" s="150"/>
      <c r="F355" s="150"/>
      <c r="G355" s="150"/>
      <c r="H355" s="150"/>
      <c r="R355" s="150"/>
      <c r="T355" s="150"/>
      <c r="W355" s="150"/>
    </row>
    <row r="356" spans="5:23" x14ac:dyDescent="0.3">
      <c r="E356" s="150"/>
      <c r="F356" s="150"/>
      <c r="G356" s="150"/>
      <c r="H356" s="150"/>
      <c r="R356" s="150"/>
      <c r="T356" s="150"/>
      <c r="W356" s="150"/>
    </row>
    <row r="357" spans="5:23" x14ac:dyDescent="0.3">
      <c r="E357" s="150"/>
      <c r="F357" s="150"/>
      <c r="G357" s="150"/>
      <c r="H357" s="150"/>
      <c r="R357" s="150"/>
      <c r="T357" s="150"/>
      <c r="W357" s="150"/>
    </row>
    <row r="358" spans="5:23" x14ac:dyDescent="0.3">
      <c r="E358" s="150"/>
      <c r="F358" s="150"/>
      <c r="G358" s="150"/>
      <c r="H358" s="150"/>
      <c r="R358" s="150"/>
      <c r="T358" s="150"/>
      <c r="W358" s="150"/>
    </row>
    <row r="359" spans="5:23" x14ac:dyDescent="0.3">
      <c r="E359" s="150"/>
      <c r="F359" s="150"/>
      <c r="G359" s="150"/>
      <c r="H359" s="150"/>
      <c r="R359" s="150"/>
      <c r="T359" s="150"/>
      <c r="W359" s="150"/>
    </row>
    <row r="360" spans="5:23" x14ac:dyDescent="0.3">
      <c r="E360" s="150"/>
      <c r="F360" s="150"/>
      <c r="G360" s="150"/>
      <c r="H360" s="150"/>
      <c r="R360" s="150"/>
      <c r="T360" s="150"/>
      <c r="W360" s="150"/>
    </row>
    <row r="361" spans="5:23" x14ac:dyDescent="0.3">
      <c r="E361" s="150"/>
      <c r="F361" s="150"/>
      <c r="G361" s="150"/>
      <c r="H361" s="150"/>
      <c r="R361" s="150"/>
      <c r="T361" s="150"/>
      <c r="W361" s="150"/>
    </row>
    <row r="362" spans="5:23" x14ac:dyDescent="0.3">
      <c r="E362" s="150"/>
      <c r="F362" s="150"/>
      <c r="G362" s="150"/>
      <c r="H362" s="150"/>
      <c r="R362" s="150"/>
      <c r="T362" s="150"/>
      <c r="W362" s="150"/>
    </row>
    <row r="363" spans="5:23" x14ac:dyDescent="0.3">
      <c r="E363" s="150"/>
      <c r="F363" s="150"/>
      <c r="G363" s="150"/>
      <c r="H363" s="150"/>
      <c r="R363" s="150"/>
      <c r="T363" s="150"/>
      <c r="W363" s="150"/>
    </row>
    <row r="364" spans="5:23" x14ac:dyDescent="0.3">
      <c r="E364" s="150"/>
      <c r="F364" s="150"/>
      <c r="G364" s="150"/>
      <c r="H364" s="150"/>
      <c r="R364" s="150"/>
      <c r="T364" s="150"/>
      <c r="W364" s="150"/>
    </row>
    <row r="365" spans="5:23" x14ac:dyDescent="0.3">
      <c r="E365" s="150"/>
      <c r="F365" s="150"/>
      <c r="G365" s="150"/>
      <c r="H365" s="150"/>
      <c r="R365" s="150"/>
      <c r="T365" s="150"/>
      <c r="W365" s="150"/>
    </row>
    <row r="366" spans="5:23" x14ac:dyDescent="0.3">
      <c r="E366" s="150"/>
      <c r="F366" s="150"/>
      <c r="G366" s="150"/>
      <c r="H366" s="150"/>
      <c r="R366" s="150"/>
      <c r="T366" s="150"/>
      <c r="W366" s="150"/>
    </row>
    <row r="367" spans="5:23" x14ac:dyDescent="0.3">
      <c r="E367" s="150"/>
      <c r="F367" s="150"/>
      <c r="G367" s="150"/>
      <c r="H367" s="150"/>
      <c r="R367" s="150"/>
      <c r="T367" s="150"/>
      <c r="W367" s="150"/>
    </row>
    <row r="368" spans="5:23" x14ac:dyDescent="0.3">
      <c r="E368" s="150"/>
      <c r="F368" s="150"/>
      <c r="G368" s="150"/>
      <c r="H368" s="150"/>
      <c r="R368" s="150"/>
      <c r="T368" s="150"/>
      <c r="W368" s="150"/>
    </row>
    <row r="369" spans="5:23" x14ac:dyDescent="0.3">
      <c r="E369" s="150"/>
      <c r="F369" s="150"/>
      <c r="G369" s="150"/>
      <c r="H369" s="150"/>
      <c r="R369" s="150"/>
      <c r="T369" s="150"/>
      <c r="W369" s="150"/>
    </row>
    <row r="370" spans="5:23" x14ac:dyDescent="0.3">
      <c r="E370" s="150"/>
      <c r="F370" s="150"/>
      <c r="G370" s="150"/>
      <c r="H370" s="150"/>
      <c r="R370" s="150"/>
      <c r="T370" s="150"/>
      <c r="W370" s="150"/>
    </row>
    <row r="371" spans="5:23" x14ac:dyDescent="0.3">
      <c r="E371" s="150"/>
      <c r="F371" s="150"/>
      <c r="G371" s="150"/>
      <c r="H371" s="150"/>
      <c r="R371" s="150"/>
      <c r="T371" s="150"/>
      <c r="W371" s="150"/>
    </row>
    <row r="372" spans="5:23" x14ac:dyDescent="0.3">
      <c r="E372" s="150"/>
      <c r="F372" s="150"/>
      <c r="G372" s="150"/>
      <c r="H372" s="150"/>
      <c r="R372" s="150"/>
      <c r="T372" s="150"/>
      <c r="W372" s="150"/>
    </row>
    <row r="373" spans="5:23" x14ac:dyDescent="0.3">
      <c r="E373" s="150"/>
      <c r="F373" s="150"/>
      <c r="G373" s="150"/>
      <c r="H373" s="150"/>
      <c r="R373" s="150"/>
      <c r="T373" s="150"/>
      <c r="W373" s="150"/>
    </row>
    <row r="374" spans="5:23" x14ac:dyDescent="0.3">
      <c r="E374" s="150"/>
      <c r="F374" s="150"/>
      <c r="G374" s="150"/>
      <c r="H374" s="150"/>
      <c r="R374" s="150"/>
      <c r="T374" s="150"/>
      <c r="W374" s="150"/>
    </row>
    <row r="375" spans="5:23" x14ac:dyDescent="0.3">
      <c r="E375" s="150"/>
      <c r="F375" s="150"/>
      <c r="G375" s="150"/>
      <c r="H375" s="150"/>
      <c r="R375" s="150"/>
      <c r="T375" s="150"/>
      <c r="W375" s="150"/>
    </row>
    <row r="376" spans="5:23" x14ac:dyDescent="0.3">
      <c r="E376" s="150"/>
      <c r="F376" s="150"/>
      <c r="G376" s="150"/>
      <c r="H376" s="150"/>
      <c r="R376" s="150"/>
      <c r="T376" s="150"/>
      <c r="W376" s="150"/>
    </row>
    <row r="377" spans="5:23" x14ac:dyDescent="0.3">
      <c r="E377" s="150"/>
      <c r="F377" s="150"/>
      <c r="G377" s="150"/>
      <c r="H377" s="150"/>
      <c r="R377" s="150"/>
      <c r="T377" s="150"/>
      <c r="W377" s="150"/>
    </row>
    <row r="378" spans="5:23" x14ac:dyDescent="0.3">
      <c r="E378" s="150"/>
      <c r="F378" s="150"/>
      <c r="G378" s="150"/>
      <c r="H378" s="150"/>
      <c r="R378" s="150"/>
      <c r="T378" s="150"/>
      <c r="W378" s="150"/>
    </row>
    <row r="379" spans="5:23" x14ac:dyDescent="0.3">
      <c r="E379" s="150"/>
      <c r="F379" s="150"/>
      <c r="G379" s="150"/>
      <c r="H379" s="150"/>
      <c r="R379" s="150"/>
      <c r="T379" s="150"/>
      <c r="W379" s="150"/>
    </row>
    <row r="380" spans="5:23" x14ac:dyDescent="0.3">
      <c r="E380" s="150"/>
      <c r="F380" s="150"/>
      <c r="G380" s="150"/>
      <c r="H380" s="150"/>
      <c r="R380" s="150"/>
      <c r="T380" s="150"/>
      <c r="W380" s="150"/>
    </row>
    <row r="381" spans="5:23" x14ac:dyDescent="0.3">
      <c r="E381" s="150"/>
      <c r="F381" s="150"/>
      <c r="G381" s="150"/>
      <c r="H381" s="150"/>
      <c r="R381" s="150"/>
      <c r="T381" s="150"/>
      <c r="W381" s="150"/>
    </row>
    <row r="382" spans="5:23" x14ac:dyDescent="0.3">
      <c r="E382" s="150"/>
      <c r="F382" s="150"/>
      <c r="G382" s="150"/>
      <c r="H382" s="150"/>
      <c r="R382" s="150"/>
      <c r="T382" s="150"/>
      <c r="W382" s="150"/>
    </row>
    <row r="383" spans="5:23" x14ac:dyDescent="0.3">
      <c r="E383" s="150"/>
      <c r="F383" s="150"/>
      <c r="G383" s="150"/>
      <c r="H383" s="150"/>
      <c r="R383" s="150"/>
      <c r="T383" s="150"/>
      <c r="W383" s="150"/>
    </row>
    <row r="384" spans="5:23" x14ac:dyDescent="0.3">
      <c r="E384" s="150"/>
      <c r="F384" s="150"/>
      <c r="G384" s="150"/>
      <c r="H384" s="150"/>
      <c r="R384" s="150"/>
      <c r="T384" s="150"/>
      <c r="W384" s="150"/>
    </row>
    <row r="385" spans="5:23" x14ac:dyDescent="0.3">
      <c r="E385" s="150"/>
      <c r="F385" s="150"/>
      <c r="G385" s="150"/>
      <c r="H385" s="150"/>
      <c r="R385" s="150"/>
      <c r="T385" s="150"/>
      <c r="W385" s="150"/>
    </row>
    <row r="386" spans="5:23" x14ac:dyDescent="0.3">
      <c r="E386" s="150"/>
      <c r="F386" s="150"/>
      <c r="G386" s="150"/>
      <c r="H386" s="150"/>
      <c r="R386" s="150"/>
      <c r="T386" s="150"/>
      <c r="W386" s="150"/>
    </row>
    <row r="387" spans="5:23" x14ac:dyDescent="0.3">
      <c r="E387" s="150"/>
      <c r="F387" s="150"/>
      <c r="G387" s="150"/>
      <c r="H387" s="150"/>
      <c r="R387" s="150"/>
      <c r="T387" s="150"/>
      <c r="W387" s="150"/>
    </row>
    <row r="388" spans="5:23" x14ac:dyDescent="0.3">
      <c r="E388" s="150"/>
      <c r="F388" s="150"/>
      <c r="G388" s="150"/>
      <c r="H388" s="150"/>
      <c r="R388" s="150"/>
      <c r="T388" s="150"/>
      <c r="W388" s="150"/>
    </row>
    <row r="389" spans="5:23" x14ac:dyDescent="0.3">
      <c r="E389" s="150"/>
      <c r="F389" s="150"/>
      <c r="G389" s="150"/>
      <c r="H389" s="150"/>
      <c r="R389" s="150"/>
      <c r="T389" s="150"/>
      <c r="W389" s="150"/>
    </row>
    <row r="390" spans="5:23" x14ac:dyDescent="0.3">
      <c r="E390" s="150"/>
      <c r="F390" s="150"/>
      <c r="G390" s="150"/>
      <c r="H390" s="150"/>
      <c r="R390" s="150"/>
      <c r="T390" s="150"/>
      <c r="W390" s="150"/>
    </row>
    <row r="391" spans="5:23" x14ac:dyDescent="0.3">
      <c r="E391" s="150"/>
      <c r="F391" s="150"/>
      <c r="G391" s="150"/>
      <c r="H391" s="150"/>
      <c r="R391" s="150"/>
      <c r="T391" s="150"/>
      <c r="W391" s="150"/>
    </row>
    <row r="392" spans="5:23" x14ac:dyDescent="0.3">
      <c r="E392" s="150"/>
      <c r="F392" s="150"/>
      <c r="G392" s="150"/>
      <c r="H392" s="150"/>
      <c r="R392" s="150"/>
      <c r="T392" s="150"/>
      <c r="W392" s="150"/>
    </row>
    <row r="393" spans="5:23" x14ac:dyDescent="0.3">
      <c r="E393" s="150"/>
      <c r="F393" s="150"/>
      <c r="G393" s="150"/>
      <c r="H393" s="150"/>
      <c r="R393" s="150"/>
      <c r="T393" s="150"/>
      <c r="W393" s="150"/>
    </row>
    <row r="394" spans="5:23" x14ac:dyDescent="0.3">
      <c r="E394" s="150"/>
      <c r="F394" s="150"/>
      <c r="G394" s="150"/>
      <c r="H394" s="150"/>
      <c r="R394" s="150"/>
      <c r="T394" s="150"/>
      <c r="W394" s="150"/>
    </row>
    <row r="395" spans="5:23" x14ac:dyDescent="0.3">
      <c r="E395" s="150"/>
      <c r="F395" s="150"/>
      <c r="G395" s="150"/>
      <c r="H395" s="150"/>
      <c r="R395" s="150"/>
      <c r="T395" s="150"/>
      <c r="W395" s="150"/>
    </row>
    <row r="396" spans="5:23" x14ac:dyDescent="0.3">
      <c r="E396" s="150"/>
      <c r="F396" s="150"/>
      <c r="G396" s="150"/>
      <c r="H396" s="150"/>
      <c r="R396" s="150"/>
      <c r="T396" s="150"/>
      <c r="W396" s="150"/>
    </row>
    <row r="397" spans="5:23" x14ac:dyDescent="0.3">
      <c r="E397" s="150"/>
      <c r="F397" s="150"/>
      <c r="G397" s="150"/>
      <c r="H397" s="150"/>
      <c r="R397" s="150"/>
      <c r="T397" s="150"/>
      <c r="W397" s="150"/>
    </row>
    <row r="398" spans="5:23" x14ac:dyDescent="0.3">
      <c r="E398" s="150"/>
      <c r="F398" s="150"/>
      <c r="G398" s="150"/>
      <c r="H398" s="150"/>
      <c r="R398" s="150"/>
      <c r="T398" s="150"/>
      <c r="W398" s="150"/>
    </row>
    <row r="399" spans="5:23" x14ac:dyDescent="0.3">
      <c r="E399" s="150"/>
      <c r="F399" s="150"/>
      <c r="G399" s="150"/>
      <c r="H399" s="150"/>
      <c r="R399" s="150"/>
      <c r="T399" s="150"/>
      <c r="W399" s="150"/>
    </row>
    <row r="400" spans="5:23" x14ac:dyDescent="0.3">
      <c r="E400" s="150"/>
      <c r="F400" s="150"/>
      <c r="G400" s="150"/>
      <c r="H400" s="150"/>
      <c r="R400" s="150"/>
      <c r="T400" s="150"/>
      <c r="W400" s="150"/>
    </row>
    <row r="401" spans="5:23" x14ac:dyDescent="0.3">
      <c r="E401" s="150"/>
      <c r="F401" s="150"/>
      <c r="G401" s="150"/>
      <c r="H401" s="150"/>
      <c r="R401" s="150"/>
      <c r="T401" s="150"/>
      <c r="W401" s="150"/>
    </row>
    <row r="402" spans="5:23" x14ac:dyDescent="0.3">
      <c r="E402" s="150"/>
      <c r="F402" s="150"/>
      <c r="G402" s="150"/>
      <c r="H402" s="150"/>
      <c r="R402" s="150"/>
      <c r="T402" s="150"/>
      <c r="W402" s="150"/>
    </row>
    <row r="403" spans="5:23" x14ac:dyDescent="0.3">
      <c r="E403" s="150"/>
      <c r="F403" s="150"/>
      <c r="G403" s="150"/>
      <c r="H403" s="150"/>
      <c r="R403" s="150"/>
      <c r="T403" s="150"/>
      <c r="W403" s="150"/>
    </row>
    <row r="404" spans="5:23" x14ac:dyDescent="0.3">
      <c r="E404" s="150"/>
      <c r="F404" s="150"/>
      <c r="G404" s="150"/>
      <c r="H404" s="150"/>
      <c r="R404" s="150"/>
      <c r="T404" s="150"/>
      <c r="W404" s="150"/>
    </row>
    <row r="405" spans="5:23" x14ac:dyDescent="0.3">
      <c r="E405" s="150"/>
      <c r="F405" s="150"/>
      <c r="G405" s="150"/>
      <c r="H405" s="150"/>
      <c r="R405" s="150"/>
      <c r="T405" s="150"/>
      <c r="W405" s="150"/>
    </row>
    <row r="406" spans="5:23" x14ac:dyDescent="0.3">
      <c r="E406" s="150"/>
      <c r="F406" s="150"/>
      <c r="G406" s="150"/>
      <c r="H406" s="150"/>
      <c r="R406" s="150"/>
      <c r="T406" s="150"/>
      <c r="W406" s="150"/>
    </row>
    <row r="407" spans="5:23" x14ac:dyDescent="0.3">
      <c r="E407" s="150"/>
      <c r="F407" s="150"/>
      <c r="G407" s="150"/>
      <c r="H407" s="150"/>
      <c r="R407" s="150"/>
      <c r="T407" s="150"/>
      <c r="W407" s="150"/>
    </row>
    <row r="408" spans="5:23" x14ac:dyDescent="0.3">
      <c r="E408" s="150"/>
      <c r="F408" s="150"/>
      <c r="G408" s="150"/>
      <c r="H408" s="150"/>
      <c r="R408" s="150"/>
      <c r="T408" s="150"/>
      <c r="W408" s="150"/>
    </row>
    <row r="409" spans="5:23" x14ac:dyDescent="0.3">
      <c r="E409" s="150"/>
      <c r="F409" s="150"/>
      <c r="G409" s="150"/>
      <c r="H409" s="150"/>
      <c r="R409" s="150"/>
      <c r="T409" s="150"/>
      <c r="W409" s="150"/>
    </row>
    <row r="410" spans="5:23" x14ac:dyDescent="0.3">
      <c r="E410" s="150"/>
      <c r="F410" s="150"/>
      <c r="G410" s="150"/>
      <c r="H410" s="150"/>
      <c r="R410" s="150"/>
      <c r="T410" s="150"/>
      <c r="W410" s="150"/>
    </row>
    <row r="411" spans="5:23" x14ac:dyDescent="0.3">
      <c r="E411" s="150"/>
      <c r="F411" s="150"/>
      <c r="G411" s="150"/>
      <c r="H411" s="150"/>
      <c r="R411" s="150"/>
      <c r="T411" s="150"/>
      <c r="W411" s="150"/>
    </row>
    <row r="412" spans="5:23" x14ac:dyDescent="0.3">
      <c r="E412" s="150"/>
      <c r="F412" s="150"/>
      <c r="G412" s="150"/>
      <c r="H412" s="150"/>
      <c r="R412" s="150"/>
      <c r="T412" s="150"/>
      <c r="W412" s="150"/>
    </row>
    <row r="413" spans="5:23" x14ac:dyDescent="0.3">
      <c r="E413" s="150"/>
      <c r="F413" s="150"/>
      <c r="G413" s="150"/>
      <c r="H413" s="150"/>
      <c r="R413" s="150"/>
      <c r="T413" s="150"/>
      <c r="W413" s="150"/>
    </row>
    <row r="414" spans="5:23" x14ac:dyDescent="0.3">
      <c r="E414" s="150"/>
      <c r="F414" s="150"/>
      <c r="G414" s="150"/>
      <c r="H414" s="150"/>
      <c r="R414" s="150"/>
      <c r="T414" s="150"/>
      <c r="W414" s="150"/>
    </row>
    <row r="415" spans="5:23" x14ac:dyDescent="0.3">
      <c r="E415" s="150"/>
      <c r="F415" s="150"/>
      <c r="G415" s="150"/>
      <c r="H415" s="150"/>
      <c r="R415" s="150"/>
      <c r="T415" s="150"/>
      <c r="W415" s="150"/>
    </row>
    <row r="416" spans="5:23" x14ac:dyDescent="0.3">
      <c r="E416" s="150"/>
      <c r="F416" s="150"/>
      <c r="G416" s="150"/>
      <c r="H416" s="150"/>
      <c r="R416" s="150"/>
      <c r="T416" s="150"/>
      <c r="W416" s="150"/>
    </row>
    <row r="417" spans="5:23" x14ac:dyDescent="0.3">
      <c r="E417" s="150"/>
      <c r="F417" s="150"/>
      <c r="G417" s="150"/>
      <c r="H417" s="150"/>
      <c r="R417" s="150"/>
      <c r="T417" s="150"/>
      <c r="W417" s="150"/>
    </row>
    <row r="418" spans="5:23" x14ac:dyDescent="0.3">
      <c r="E418" s="150"/>
      <c r="F418" s="150"/>
      <c r="G418" s="150"/>
      <c r="H418" s="150"/>
      <c r="R418" s="150"/>
      <c r="T418" s="150"/>
      <c r="W418" s="150"/>
    </row>
    <row r="419" spans="5:23" x14ac:dyDescent="0.3">
      <c r="E419" s="150"/>
      <c r="F419" s="150"/>
      <c r="G419" s="150"/>
      <c r="H419" s="150"/>
      <c r="R419" s="150"/>
      <c r="T419" s="150"/>
      <c r="W419" s="150"/>
    </row>
    <row r="420" spans="5:23" x14ac:dyDescent="0.3">
      <c r="E420" s="150"/>
      <c r="F420" s="150"/>
      <c r="G420" s="150"/>
      <c r="H420" s="150"/>
      <c r="R420" s="150"/>
      <c r="T420" s="150"/>
      <c r="W420" s="150"/>
    </row>
    <row r="421" spans="5:23" x14ac:dyDescent="0.3">
      <c r="E421" s="150"/>
      <c r="F421" s="150"/>
      <c r="G421" s="150"/>
      <c r="H421" s="150"/>
      <c r="R421" s="150"/>
      <c r="T421" s="150"/>
      <c r="W421" s="150"/>
    </row>
    <row r="422" spans="5:23" x14ac:dyDescent="0.3">
      <c r="E422" s="150"/>
      <c r="F422" s="150"/>
      <c r="G422" s="150"/>
      <c r="H422" s="150"/>
      <c r="R422" s="150"/>
      <c r="T422" s="150"/>
      <c r="W422" s="150"/>
    </row>
    <row r="423" spans="5:23" x14ac:dyDescent="0.3">
      <c r="E423" s="150"/>
      <c r="F423" s="150"/>
      <c r="G423" s="150"/>
      <c r="H423" s="150"/>
      <c r="R423" s="150"/>
      <c r="T423" s="150"/>
      <c r="W423" s="150"/>
    </row>
    <row r="424" spans="5:23" x14ac:dyDescent="0.3">
      <c r="E424" s="150"/>
      <c r="F424" s="150"/>
      <c r="G424" s="150"/>
      <c r="H424" s="150"/>
      <c r="R424" s="150"/>
      <c r="T424" s="150"/>
      <c r="W424" s="150"/>
    </row>
    <row r="425" spans="5:23" x14ac:dyDescent="0.3">
      <c r="E425" s="150"/>
      <c r="F425" s="150"/>
      <c r="G425" s="150"/>
      <c r="H425" s="150"/>
      <c r="R425" s="150"/>
      <c r="T425" s="150"/>
      <c r="W425" s="150"/>
    </row>
    <row r="426" spans="5:23" x14ac:dyDescent="0.3">
      <c r="E426" s="150"/>
      <c r="F426" s="150"/>
      <c r="G426" s="150"/>
      <c r="H426" s="150"/>
      <c r="R426" s="150"/>
      <c r="T426" s="150"/>
      <c r="W426" s="150"/>
    </row>
    <row r="427" spans="5:23" x14ac:dyDescent="0.3">
      <c r="E427" s="150"/>
      <c r="F427" s="150"/>
      <c r="G427" s="150"/>
      <c r="H427" s="150"/>
      <c r="R427" s="150"/>
      <c r="T427" s="150"/>
      <c r="W427" s="150"/>
    </row>
    <row r="428" spans="5:23" x14ac:dyDescent="0.3">
      <c r="E428" s="150"/>
      <c r="F428" s="150"/>
      <c r="G428" s="150"/>
      <c r="H428" s="150"/>
      <c r="R428" s="150"/>
      <c r="T428" s="150"/>
      <c r="W428" s="150"/>
    </row>
    <row r="429" spans="5:23" x14ac:dyDescent="0.3">
      <c r="E429" s="150"/>
      <c r="F429" s="150"/>
      <c r="G429" s="150"/>
      <c r="H429" s="150"/>
      <c r="R429" s="150"/>
      <c r="T429" s="150"/>
      <c r="W429" s="150"/>
    </row>
    <row r="430" spans="5:23" x14ac:dyDescent="0.3">
      <c r="E430" s="150"/>
      <c r="F430" s="150"/>
      <c r="G430" s="150"/>
      <c r="H430" s="150"/>
      <c r="R430" s="150"/>
      <c r="T430" s="150"/>
      <c r="W430" s="150"/>
    </row>
    <row r="431" spans="5:23" x14ac:dyDescent="0.3">
      <c r="E431" s="150"/>
      <c r="F431" s="150"/>
      <c r="G431" s="150"/>
      <c r="H431" s="150"/>
      <c r="R431" s="150"/>
      <c r="T431" s="150"/>
      <c r="W431" s="150"/>
    </row>
    <row r="432" spans="5:23" x14ac:dyDescent="0.3">
      <c r="E432" s="150"/>
      <c r="F432" s="150"/>
      <c r="G432" s="150"/>
      <c r="H432" s="150"/>
      <c r="R432" s="150"/>
      <c r="T432" s="150"/>
      <c r="W432" s="150"/>
    </row>
    <row r="433" spans="5:23" x14ac:dyDescent="0.3">
      <c r="E433" s="150"/>
      <c r="F433" s="150"/>
      <c r="G433" s="150"/>
      <c r="H433" s="150"/>
      <c r="R433" s="150"/>
      <c r="T433" s="150"/>
      <c r="W433" s="150"/>
    </row>
    <row r="434" spans="5:23" x14ac:dyDescent="0.3">
      <c r="E434" s="150"/>
      <c r="F434" s="150"/>
      <c r="G434" s="150"/>
      <c r="H434" s="150"/>
      <c r="R434" s="150"/>
      <c r="T434" s="150"/>
      <c r="W434" s="150"/>
    </row>
    <row r="435" spans="5:23" x14ac:dyDescent="0.3">
      <c r="E435" s="150"/>
      <c r="F435" s="150"/>
      <c r="G435" s="150"/>
      <c r="H435" s="150"/>
      <c r="R435" s="150"/>
      <c r="T435" s="150"/>
      <c r="W435" s="150"/>
    </row>
    <row r="436" spans="5:23" x14ac:dyDescent="0.3">
      <c r="E436" s="150"/>
      <c r="F436" s="150"/>
      <c r="G436" s="150"/>
      <c r="H436" s="150"/>
      <c r="R436" s="150"/>
      <c r="T436" s="150"/>
      <c r="W436" s="150"/>
    </row>
    <row r="437" spans="5:23" x14ac:dyDescent="0.3">
      <c r="E437" s="150"/>
      <c r="F437" s="150"/>
      <c r="G437" s="150"/>
      <c r="H437" s="150"/>
      <c r="R437" s="150"/>
      <c r="T437" s="150"/>
      <c r="W437" s="150"/>
    </row>
    <row r="438" spans="5:23" x14ac:dyDescent="0.3">
      <c r="E438" s="150"/>
      <c r="F438" s="150"/>
      <c r="G438" s="150"/>
      <c r="H438" s="150"/>
      <c r="R438" s="150"/>
      <c r="T438" s="150"/>
      <c r="W438" s="150"/>
    </row>
    <row r="439" spans="5:23" x14ac:dyDescent="0.3">
      <c r="E439" s="150"/>
      <c r="F439" s="150"/>
      <c r="G439" s="150"/>
      <c r="H439" s="150"/>
      <c r="R439" s="150"/>
      <c r="T439" s="150"/>
      <c r="W439" s="150"/>
    </row>
    <row r="440" spans="5:23" x14ac:dyDescent="0.3">
      <c r="E440" s="150"/>
      <c r="F440" s="150"/>
      <c r="G440" s="150"/>
      <c r="H440" s="150"/>
      <c r="R440" s="150"/>
      <c r="T440" s="150"/>
      <c r="W440" s="150"/>
    </row>
    <row r="441" spans="5:23" x14ac:dyDescent="0.3">
      <c r="E441" s="150"/>
      <c r="F441" s="150"/>
      <c r="G441" s="150"/>
      <c r="H441" s="150"/>
      <c r="R441" s="150"/>
      <c r="T441" s="150"/>
      <c r="W441" s="150"/>
    </row>
    <row r="442" spans="5:23" x14ac:dyDescent="0.3">
      <c r="E442" s="150"/>
      <c r="F442" s="150"/>
      <c r="G442" s="150"/>
      <c r="H442" s="150"/>
      <c r="R442" s="150"/>
      <c r="T442" s="150"/>
      <c r="W442" s="150"/>
    </row>
    <row r="443" spans="5:23" x14ac:dyDescent="0.3">
      <c r="E443" s="150"/>
      <c r="F443" s="150"/>
      <c r="G443" s="150"/>
      <c r="H443" s="150"/>
      <c r="R443" s="150"/>
      <c r="T443" s="150"/>
      <c r="W443" s="150"/>
    </row>
    <row r="444" spans="5:23" x14ac:dyDescent="0.3">
      <c r="E444" s="150"/>
      <c r="F444" s="150"/>
      <c r="G444" s="150"/>
      <c r="H444" s="150"/>
      <c r="R444" s="150"/>
      <c r="T444" s="150"/>
      <c r="W444" s="150"/>
    </row>
    <row r="445" spans="5:23" x14ac:dyDescent="0.3">
      <c r="E445" s="150"/>
      <c r="F445" s="150"/>
      <c r="G445" s="150"/>
      <c r="H445" s="150"/>
      <c r="R445" s="150"/>
      <c r="T445" s="150"/>
      <c r="W445" s="150"/>
    </row>
    <row r="446" spans="5:23" x14ac:dyDescent="0.3">
      <c r="E446" s="150"/>
      <c r="F446" s="150"/>
      <c r="G446" s="150"/>
      <c r="H446" s="150"/>
      <c r="R446" s="150"/>
      <c r="T446" s="150"/>
      <c r="W446" s="150"/>
    </row>
    <row r="447" spans="5:23" x14ac:dyDescent="0.3">
      <c r="E447" s="150"/>
      <c r="F447" s="150"/>
      <c r="G447" s="150"/>
      <c r="H447" s="150"/>
      <c r="R447" s="150"/>
      <c r="T447" s="150"/>
      <c r="W447" s="150"/>
    </row>
    <row r="448" spans="5:23" x14ac:dyDescent="0.3">
      <c r="E448" s="150"/>
      <c r="F448" s="150"/>
      <c r="G448" s="150"/>
      <c r="H448" s="150"/>
      <c r="R448" s="150"/>
      <c r="T448" s="150"/>
      <c r="W448" s="150"/>
    </row>
    <row r="449" spans="5:23" x14ac:dyDescent="0.3">
      <c r="E449" s="150"/>
      <c r="F449" s="150"/>
      <c r="G449" s="150"/>
      <c r="H449" s="150"/>
      <c r="R449" s="150"/>
      <c r="T449" s="150"/>
      <c r="W449" s="150"/>
    </row>
    <row r="450" spans="5:23" x14ac:dyDescent="0.3">
      <c r="E450" s="150"/>
      <c r="F450" s="150"/>
      <c r="G450" s="150"/>
      <c r="H450" s="150"/>
      <c r="R450" s="150"/>
      <c r="T450" s="150"/>
      <c r="W450" s="150"/>
    </row>
    <row r="451" spans="5:23" x14ac:dyDescent="0.3">
      <c r="E451" s="150"/>
      <c r="F451" s="150"/>
      <c r="G451" s="150"/>
      <c r="H451" s="150"/>
      <c r="R451" s="150"/>
      <c r="T451" s="150"/>
      <c r="W451" s="150"/>
    </row>
    <row r="452" spans="5:23" x14ac:dyDescent="0.3">
      <c r="E452" s="150"/>
      <c r="F452" s="150"/>
      <c r="G452" s="150"/>
      <c r="H452" s="150"/>
      <c r="R452" s="150"/>
      <c r="T452" s="150"/>
      <c r="W452" s="150"/>
    </row>
    <row r="453" spans="5:23" x14ac:dyDescent="0.3">
      <c r="E453" s="150"/>
      <c r="F453" s="150"/>
      <c r="G453" s="150"/>
      <c r="H453" s="150"/>
      <c r="R453" s="150"/>
      <c r="T453" s="150"/>
      <c r="W453" s="150"/>
    </row>
    <row r="454" spans="5:23" x14ac:dyDescent="0.3">
      <c r="E454" s="150"/>
      <c r="F454" s="150"/>
      <c r="G454" s="150"/>
      <c r="H454" s="150"/>
      <c r="R454" s="150"/>
      <c r="T454" s="150"/>
      <c r="W454" s="150"/>
    </row>
    <row r="455" spans="5:23" x14ac:dyDescent="0.3">
      <c r="E455" s="150"/>
      <c r="F455" s="150"/>
      <c r="G455" s="150"/>
      <c r="H455" s="150"/>
      <c r="R455" s="150"/>
      <c r="T455" s="150"/>
      <c r="W455" s="150"/>
    </row>
    <row r="456" spans="5:23" x14ac:dyDescent="0.3">
      <c r="E456" s="150"/>
      <c r="F456" s="150"/>
      <c r="G456" s="150"/>
      <c r="H456" s="150"/>
      <c r="R456" s="150"/>
      <c r="T456" s="150"/>
      <c r="W456" s="150"/>
    </row>
    <row r="457" spans="5:23" x14ac:dyDescent="0.3">
      <c r="E457" s="150"/>
      <c r="F457" s="150"/>
      <c r="G457" s="150"/>
      <c r="H457" s="150"/>
      <c r="R457" s="150"/>
      <c r="T457" s="150"/>
      <c r="W457" s="150"/>
    </row>
    <row r="458" spans="5:23" x14ac:dyDescent="0.3">
      <c r="E458" s="150"/>
      <c r="F458" s="150"/>
      <c r="G458" s="150"/>
      <c r="H458" s="150"/>
      <c r="R458" s="150"/>
      <c r="T458" s="150"/>
      <c r="W458" s="150"/>
    </row>
    <row r="459" spans="5:23" x14ac:dyDescent="0.3">
      <c r="E459" s="150"/>
      <c r="F459" s="150"/>
      <c r="G459" s="150"/>
      <c r="H459" s="150"/>
      <c r="R459" s="150"/>
      <c r="T459" s="150"/>
      <c r="W459" s="150"/>
    </row>
    <row r="460" spans="5:23" x14ac:dyDescent="0.3">
      <c r="E460" s="150"/>
      <c r="F460" s="150"/>
      <c r="G460" s="150"/>
      <c r="H460" s="150"/>
      <c r="R460" s="150"/>
      <c r="T460" s="150"/>
      <c r="W460" s="150"/>
    </row>
    <row r="461" spans="5:23" x14ac:dyDescent="0.3">
      <c r="E461" s="150"/>
      <c r="F461" s="150"/>
      <c r="G461" s="150"/>
      <c r="H461" s="150"/>
      <c r="R461" s="150"/>
      <c r="T461" s="150"/>
      <c r="W461" s="150"/>
    </row>
    <row r="462" spans="5:23" x14ac:dyDescent="0.3">
      <c r="E462" s="150"/>
      <c r="F462" s="150"/>
      <c r="G462" s="150"/>
      <c r="H462" s="150"/>
      <c r="R462" s="150"/>
      <c r="T462" s="150"/>
      <c r="W462" s="150"/>
    </row>
    <row r="463" spans="5:23" x14ac:dyDescent="0.3">
      <c r="E463" s="150"/>
      <c r="F463" s="150"/>
      <c r="G463" s="150"/>
      <c r="H463" s="150"/>
      <c r="R463" s="150"/>
      <c r="T463" s="150"/>
      <c r="W463" s="150"/>
    </row>
    <row r="464" spans="5:23" x14ac:dyDescent="0.3">
      <c r="E464" s="150"/>
      <c r="F464" s="150"/>
      <c r="G464" s="150"/>
      <c r="H464" s="150"/>
      <c r="R464" s="150"/>
      <c r="T464" s="150"/>
      <c r="W464" s="150"/>
    </row>
    <row r="465" spans="5:23" x14ac:dyDescent="0.3">
      <c r="E465" s="150"/>
      <c r="F465" s="150"/>
      <c r="G465" s="150"/>
      <c r="H465" s="150"/>
      <c r="R465" s="150"/>
      <c r="T465" s="150"/>
      <c r="W465" s="150"/>
    </row>
    <row r="466" spans="5:23" x14ac:dyDescent="0.3">
      <c r="E466" s="150"/>
      <c r="F466" s="150"/>
      <c r="G466" s="150"/>
      <c r="H466" s="150"/>
      <c r="R466" s="150"/>
      <c r="T466" s="150"/>
      <c r="W466" s="150"/>
    </row>
    <row r="467" spans="5:23" x14ac:dyDescent="0.3">
      <c r="E467" s="150"/>
      <c r="F467" s="150"/>
      <c r="G467" s="150"/>
      <c r="H467" s="150"/>
      <c r="R467" s="150"/>
      <c r="T467" s="150"/>
      <c r="W467" s="150"/>
    </row>
    <row r="468" spans="5:23" x14ac:dyDescent="0.3">
      <c r="E468" s="150"/>
      <c r="F468" s="150"/>
      <c r="G468" s="150"/>
      <c r="H468" s="150"/>
      <c r="R468" s="150"/>
      <c r="T468" s="150"/>
      <c r="W468" s="150"/>
    </row>
    <row r="469" spans="5:23" x14ac:dyDescent="0.3">
      <c r="E469" s="150"/>
      <c r="F469" s="150"/>
      <c r="G469" s="150"/>
      <c r="H469" s="150"/>
      <c r="R469" s="150"/>
      <c r="T469" s="150"/>
      <c r="W469" s="150"/>
    </row>
    <row r="470" spans="5:23" x14ac:dyDescent="0.3">
      <c r="E470" s="150"/>
      <c r="F470" s="150"/>
      <c r="G470" s="150"/>
      <c r="H470" s="150"/>
      <c r="R470" s="150"/>
      <c r="T470" s="150"/>
      <c r="W470" s="150"/>
    </row>
    <row r="471" spans="5:23" x14ac:dyDescent="0.3">
      <c r="E471" s="150"/>
      <c r="F471" s="150"/>
      <c r="G471" s="150"/>
      <c r="H471" s="150"/>
      <c r="R471" s="150"/>
      <c r="T471" s="150"/>
      <c r="W471" s="150"/>
    </row>
    <row r="472" spans="5:23" x14ac:dyDescent="0.3">
      <c r="E472" s="150"/>
      <c r="F472" s="150"/>
      <c r="G472" s="150"/>
      <c r="H472" s="150"/>
      <c r="R472" s="150"/>
      <c r="T472" s="150"/>
      <c r="W472" s="150"/>
    </row>
    <row r="473" spans="5:23" x14ac:dyDescent="0.3">
      <c r="E473" s="150"/>
      <c r="F473" s="150"/>
      <c r="G473" s="150"/>
      <c r="H473" s="150"/>
      <c r="R473" s="150"/>
      <c r="T473" s="150"/>
      <c r="W473" s="150"/>
    </row>
    <row r="474" spans="5:23" x14ac:dyDescent="0.3">
      <c r="E474" s="150"/>
      <c r="F474" s="150"/>
      <c r="G474" s="150"/>
      <c r="H474" s="150"/>
      <c r="R474" s="150"/>
      <c r="T474" s="150"/>
      <c r="W474" s="150"/>
    </row>
    <row r="475" spans="5:23" x14ac:dyDescent="0.3">
      <c r="E475" s="150"/>
      <c r="F475" s="150"/>
      <c r="G475" s="150"/>
      <c r="H475" s="150"/>
      <c r="R475" s="150"/>
      <c r="T475" s="150"/>
      <c r="W475" s="150"/>
    </row>
    <row r="476" spans="5:23" x14ac:dyDescent="0.3">
      <c r="E476" s="150"/>
      <c r="F476" s="150"/>
      <c r="G476" s="150"/>
      <c r="H476" s="150"/>
      <c r="R476" s="150"/>
      <c r="T476" s="150"/>
      <c r="W476" s="150"/>
    </row>
    <row r="477" spans="5:23" x14ac:dyDescent="0.3">
      <c r="E477" s="150"/>
      <c r="F477" s="150"/>
      <c r="G477" s="150"/>
      <c r="H477" s="150"/>
      <c r="R477" s="150"/>
      <c r="T477" s="150"/>
      <c r="W477" s="150"/>
    </row>
    <row r="478" spans="5:23" x14ac:dyDescent="0.3">
      <c r="E478" s="150"/>
      <c r="F478" s="150"/>
      <c r="G478" s="150"/>
      <c r="H478" s="150"/>
      <c r="R478" s="150"/>
      <c r="T478" s="150"/>
      <c r="W478" s="150"/>
    </row>
    <row r="479" spans="5:23" x14ac:dyDescent="0.3">
      <c r="E479" s="150"/>
      <c r="F479" s="150"/>
      <c r="G479" s="150"/>
      <c r="H479" s="150"/>
      <c r="R479" s="150"/>
      <c r="T479" s="150"/>
      <c r="W479" s="150"/>
    </row>
    <row r="480" spans="5:23" x14ac:dyDescent="0.3">
      <c r="E480" s="150"/>
      <c r="F480" s="150"/>
      <c r="G480" s="150"/>
      <c r="H480" s="150"/>
      <c r="R480" s="150"/>
      <c r="T480" s="150"/>
      <c r="W480" s="150"/>
    </row>
    <row r="481" spans="5:23" x14ac:dyDescent="0.3">
      <c r="E481" s="150"/>
      <c r="F481" s="150"/>
      <c r="G481" s="150"/>
      <c r="H481" s="150"/>
      <c r="R481" s="150"/>
      <c r="T481" s="150"/>
      <c r="W481" s="150"/>
    </row>
    <row r="482" spans="5:23" x14ac:dyDescent="0.3">
      <c r="E482" s="150"/>
      <c r="F482" s="150"/>
      <c r="G482" s="150"/>
      <c r="H482" s="150"/>
      <c r="R482" s="150"/>
      <c r="T482" s="150"/>
      <c r="W482" s="150"/>
    </row>
    <row r="483" spans="5:23" x14ac:dyDescent="0.3">
      <c r="E483" s="150"/>
      <c r="F483" s="150"/>
      <c r="G483" s="150"/>
      <c r="H483" s="150"/>
      <c r="R483" s="150"/>
      <c r="T483" s="150"/>
      <c r="W483" s="150"/>
    </row>
    <row r="484" spans="5:23" x14ac:dyDescent="0.3">
      <c r="E484" s="150"/>
      <c r="F484" s="150"/>
      <c r="G484" s="150"/>
      <c r="H484" s="150"/>
      <c r="R484" s="150"/>
      <c r="T484" s="150"/>
      <c r="W484" s="150"/>
    </row>
    <row r="485" spans="5:23" x14ac:dyDescent="0.3">
      <c r="E485" s="150"/>
      <c r="F485" s="150"/>
      <c r="G485" s="150"/>
      <c r="H485" s="150"/>
      <c r="R485" s="150"/>
      <c r="T485" s="150"/>
      <c r="W485" s="150"/>
    </row>
    <row r="486" spans="5:23" x14ac:dyDescent="0.3">
      <c r="E486" s="150"/>
      <c r="F486" s="150"/>
      <c r="G486" s="150"/>
      <c r="H486" s="150"/>
      <c r="R486" s="150"/>
      <c r="T486" s="150"/>
      <c r="W486" s="150"/>
    </row>
    <row r="487" spans="5:23" x14ac:dyDescent="0.3">
      <c r="E487" s="150"/>
      <c r="F487" s="150"/>
      <c r="G487" s="150"/>
      <c r="H487" s="150"/>
      <c r="R487" s="150"/>
      <c r="T487" s="150"/>
      <c r="W487" s="150"/>
    </row>
    <row r="488" spans="5:23" x14ac:dyDescent="0.3">
      <c r="E488" s="150"/>
      <c r="F488" s="150"/>
      <c r="G488" s="150"/>
      <c r="H488" s="150"/>
      <c r="R488" s="150"/>
      <c r="T488" s="150"/>
      <c r="W488" s="150"/>
    </row>
    <row r="489" spans="5:23" x14ac:dyDescent="0.3">
      <c r="E489" s="150"/>
      <c r="F489" s="150"/>
      <c r="G489" s="150"/>
      <c r="H489" s="150"/>
      <c r="R489" s="150"/>
      <c r="T489" s="150"/>
      <c r="W489" s="150"/>
    </row>
    <row r="490" spans="5:23" x14ac:dyDescent="0.3">
      <c r="E490" s="150"/>
      <c r="F490" s="150"/>
      <c r="G490" s="150"/>
      <c r="H490" s="150"/>
      <c r="R490" s="150"/>
      <c r="T490" s="150"/>
      <c r="W490" s="150"/>
    </row>
    <row r="491" spans="5:23" x14ac:dyDescent="0.3">
      <c r="E491" s="150"/>
      <c r="F491" s="150"/>
      <c r="G491" s="150"/>
      <c r="H491" s="150"/>
      <c r="R491" s="150"/>
      <c r="T491" s="150"/>
      <c r="W491" s="150"/>
    </row>
    <row r="492" spans="5:23" x14ac:dyDescent="0.3">
      <c r="E492" s="150"/>
      <c r="F492" s="150"/>
      <c r="G492" s="150"/>
      <c r="H492" s="150"/>
      <c r="R492" s="150"/>
      <c r="T492" s="150"/>
      <c r="W492" s="150"/>
    </row>
    <row r="493" spans="5:23" x14ac:dyDescent="0.3">
      <c r="E493" s="150"/>
      <c r="F493" s="150"/>
      <c r="G493" s="150"/>
      <c r="H493" s="150"/>
      <c r="R493" s="150"/>
      <c r="T493" s="150"/>
      <c r="W493" s="150"/>
    </row>
    <row r="494" spans="5:23" x14ac:dyDescent="0.3">
      <c r="E494" s="150"/>
      <c r="F494" s="150"/>
      <c r="G494" s="150"/>
      <c r="H494" s="150"/>
      <c r="R494" s="150"/>
      <c r="T494" s="150"/>
      <c r="W494" s="150"/>
    </row>
    <row r="495" spans="5:23" x14ac:dyDescent="0.3">
      <c r="E495" s="150"/>
      <c r="F495" s="150"/>
      <c r="G495" s="150"/>
      <c r="H495" s="150"/>
      <c r="R495" s="150"/>
      <c r="T495" s="150"/>
      <c r="W495" s="150"/>
    </row>
    <row r="496" spans="5:23" x14ac:dyDescent="0.3">
      <c r="E496" s="150"/>
      <c r="F496" s="150"/>
      <c r="G496" s="150"/>
      <c r="H496" s="150"/>
      <c r="R496" s="150"/>
      <c r="T496" s="150"/>
      <c r="W496" s="150"/>
    </row>
    <row r="497" spans="5:23" x14ac:dyDescent="0.3">
      <c r="E497" s="150"/>
      <c r="F497" s="150"/>
      <c r="G497" s="150"/>
      <c r="H497" s="150"/>
      <c r="R497" s="150"/>
      <c r="T497" s="150"/>
      <c r="W497" s="150"/>
    </row>
    <row r="498" spans="5:23" x14ac:dyDescent="0.3">
      <c r="E498" s="150"/>
      <c r="F498" s="150"/>
      <c r="G498" s="150"/>
      <c r="H498" s="150"/>
      <c r="R498" s="150"/>
      <c r="T498" s="150"/>
      <c r="W498" s="150"/>
    </row>
    <row r="499" spans="5:23" x14ac:dyDescent="0.3">
      <c r="E499" s="150"/>
      <c r="F499" s="150"/>
      <c r="G499" s="150"/>
      <c r="H499" s="150"/>
      <c r="R499" s="150"/>
      <c r="T499" s="150"/>
      <c r="W499" s="150"/>
    </row>
    <row r="500" spans="5:23" x14ac:dyDescent="0.3">
      <c r="E500" s="150"/>
      <c r="F500" s="150"/>
      <c r="G500" s="150"/>
      <c r="H500" s="150"/>
      <c r="R500" s="150"/>
      <c r="T500" s="150"/>
      <c r="W500" s="150"/>
    </row>
    <row r="501" spans="5:23" x14ac:dyDescent="0.3">
      <c r="E501" s="150"/>
      <c r="F501" s="150"/>
      <c r="G501" s="150"/>
      <c r="H501" s="150"/>
      <c r="R501" s="150"/>
      <c r="T501" s="150"/>
      <c r="W501" s="150"/>
    </row>
    <row r="502" spans="5:23" x14ac:dyDescent="0.3">
      <c r="E502" s="150"/>
      <c r="F502" s="150"/>
      <c r="G502" s="150"/>
      <c r="H502" s="150"/>
      <c r="R502" s="150"/>
      <c r="T502" s="150"/>
      <c r="W502" s="150"/>
    </row>
    <row r="503" spans="5:23" x14ac:dyDescent="0.3">
      <c r="E503" s="150"/>
      <c r="F503" s="150"/>
      <c r="G503" s="150"/>
      <c r="H503" s="150"/>
      <c r="R503" s="150"/>
      <c r="T503" s="150"/>
      <c r="W503" s="150"/>
    </row>
    <row r="504" spans="5:23" x14ac:dyDescent="0.3">
      <c r="E504" s="150"/>
      <c r="F504" s="150"/>
      <c r="G504" s="150"/>
      <c r="H504" s="150"/>
      <c r="R504" s="150"/>
      <c r="T504" s="150"/>
      <c r="W504" s="150"/>
    </row>
    <row r="505" spans="5:23" x14ac:dyDescent="0.3">
      <c r="E505" s="150"/>
      <c r="F505" s="150"/>
      <c r="G505" s="150"/>
      <c r="H505" s="150"/>
      <c r="R505" s="150"/>
      <c r="T505" s="150"/>
      <c r="W505" s="150"/>
    </row>
    <row r="506" spans="5:23" x14ac:dyDescent="0.3">
      <c r="E506" s="150"/>
      <c r="F506" s="150"/>
      <c r="G506" s="150"/>
      <c r="H506" s="150"/>
      <c r="R506" s="150"/>
      <c r="T506" s="150"/>
      <c r="W506" s="150"/>
    </row>
    <row r="507" spans="5:23" x14ac:dyDescent="0.3">
      <c r="E507" s="150"/>
      <c r="F507" s="150"/>
      <c r="G507" s="150"/>
      <c r="H507" s="150"/>
      <c r="R507" s="150"/>
      <c r="T507" s="150"/>
      <c r="W507" s="150"/>
    </row>
    <row r="508" spans="5:23" x14ac:dyDescent="0.3">
      <c r="E508" s="150"/>
      <c r="F508" s="150"/>
      <c r="G508" s="150"/>
      <c r="H508" s="150"/>
      <c r="R508" s="150"/>
      <c r="T508" s="150"/>
      <c r="W508" s="150"/>
    </row>
    <row r="509" spans="5:23" x14ac:dyDescent="0.3">
      <c r="E509" s="150"/>
      <c r="F509" s="150"/>
      <c r="G509" s="150"/>
      <c r="H509" s="150"/>
      <c r="R509" s="150"/>
      <c r="T509" s="150"/>
      <c r="W509" s="150"/>
    </row>
    <row r="510" spans="5:23" x14ac:dyDescent="0.3">
      <c r="E510" s="150"/>
      <c r="F510" s="150"/>
      <c r="G510" s="150"/>
      <c r="H510" s="150"/>
      <c r="R510" s="150"/>
      <c r="T510" s="150"/>
      <c r="W510" s="150"/>
    </row>
    <row r="511" spans="5:23" x14ac:dyDescent="0.3">
      <c r="E511" s="150"/>
      <c r="F511" s="150"/>
      <c r="G511" s="150"/>
      <c r="H511" s="150"/>
      <c r="R511" s="150"/>
      <c r="T511" s="150"/>
      <c r="W511" s="150"/>
    </row>
    <row r="512" spans="5:23" x14ac:dyDescent="0.3">
      <c r="E512" s="150"/>
      <c r="F512" s="150"/>
      <c r="G512" s="150"/>
      <c r="H512" s="150"/>
      <c r="R512" s="150"/>
      <c r="T512" s="150"/>
      <c r="W512" s="150"/>
    </row>
    <row r="513" spans="5:23" x14ac:dyDescent="0.3">
      <c r="E513" s="150"/>
      <c r="F513" s="150"/>
      <c r="G513" s="150"/>
      <c r="H513" s="150"/>
      <c r="R513" s="150"/>
      <c r="T513" s="150"/>
      <c r="W513" s="150"/>
    </row>
    <row r="514" spans="5:23" x14ac:dyDescent="0.3">
      <c r="E514" s="150"/>
      <c r="F514" s="150"/>
      <c r="G514" s="150"/>
      <c r="H514" s="150"/>
      <c r="R514" s="150"/>
      <c r="T514" s="150"/>
      <c r="W514" s="150"/>
    </row>
    <row r="515" spans="5:23" x14ac:dyDescent="0.3">
      <c r="E515" s="150"/>
      <c r="F515" s="150"/>
      <c r="G515" s="150"/>
      <c r="H515" s="150"/>
      <c r="R515" s="150"/>
      <c r="T515" s="150"/>
      <c r="W515" s="150"/>
    </row>
    <row r="516" spans="5:23" x14ac:dyDescent="0.3">
      <c r="E516" s="150"/>
      <c r="F516" s="150"/>
      <c r="G516" s="150"/>
      <c r="H516" s="150"/>
      <c r="R516" s="150"/>
      <c r="T516" s="150"/>
      <c r="W516" s="150"/>
    </row>
    <row r="517" spans="5:23" x14ac:dyDescent="0.3">
      <c r="E517" s="150"/>
      <c r="F517" s="150"/>
      <c r="G517" s="150"/>
      <c r="H517" s="150"/>
      <c r="R517" s="150"/>
      <c r="T517" s="150"/>
      <c r="W517" s="150"/>
    </row>
    <row r="518" spans="5:23" x14ac:dyDescent="0.3">
      <c r="E518" s="150"/>
      <c r="F518" s="150"/>
      <c r="G518" s="150"/>
      <c r="H518" s="150"/>
      <c r="R518" s="150"/>
      <c r="T518" s="150"/>
      <c r="W518" s="150"/>
    </row>
    <row r="519" spans="5:23" x14ac:dyDescent="0.3">
      <c r="E519" s="150"/>
      <c r="F519" s="150"/>
      <c r="G519" s="150"/>
      <c r="H519" s="150"/>
      <c r="R519" s="150"/>
      <c r="T519" s="150"/>
      <c r="W519" s="150"/>
    </row>
    <row r="520" spans="5:23" x14ac:dyDescent="0.3">
      <c r="E520" s="150"/>
      <c r="F520" s="150"/>
      <c r="G520" s="150"/>
      <c r="H520" s="150"/>
      <c r="R520" s="150"/>
      <c r="T520" s="150"/>
      <c r="W520" s="150"/>
    </row>
    <row r="521" spans="5:23" x14ac:dyDescent="0.3">
      <c r="E521" s="150"/>
      <c r="F521" s="150"/>
      <c r="G521" s="150"/>
      <c r="H521" s="150"/>
      <c r="R521" s="150"/>
      <c r="T521" s="150"/>
      <c r="W521" s="150"/>
    </row>
    <row r="522" spans="5:23" x14ac:dyDescent="0.3">
      <c r="E522" s="150"/>
      <c r="F522" s="150"/>
      <c r="G522" s="150"/>
      <c r="H522" s="150"/>
      <c r="R522" s="150"/>
      <c r="T522" s="150"/>
      <c r="W522" s="150"/>
    </row>
    <row r="523" spans="5:23" x14ac:dyDescent="0.3">
      <c r="E523" s="150"/>
      <c r="F523" s="150"/>
      <c r="G523" s="150"/>
      <c r="H523" s="150"/>
      <c r="R523" s="150"/>
      <c r="T523" s="150"/>
      <c r="W523" s="150"/>
    </row>
    <row r="524" spans="5:23" x14ac:dyDescent="0.3">
      <c r="E524" s="150"/>
      <c r="F524" s="150"/>
      <c r="G524" s="150"/>
      <c r="H524" s="150"/>
      <c r="R524" s="150"/>
      <c r="T524" s="150"/>
      <c r="W524" s="150"/>
    </row>
    <row r="525" spans="5:23" x14ac:dyDescent="0.3">
      <c r="E525" s="150"/>
      <c r="F525" s="150"/>
      <c r="G525" s="150"/>
      <c r="H525" s="150"/>
      <c r="R525" s="150"/>
      <c r="T525" s="150"/>
      <c r="W525" s="150"/>
    </row>
    <row r="526" spans="5:23" x14ac:dyDescent="0.3">
      <c r="E526" s="150"/>
      <c r="F526" s="150"/>
      <c r="G526" s="150"/>
      <c r="H526" s="150"/>
      <c r="R526" s="150"/>
      <c r="T526" s="150"/>
      <c r="W526" s="150"/>
    </row>
    <row r="527" spans="5:23" x14ac:dyDescent="0.3">
      <c r="E527" s="150"/>
      <c r="F527" s="150"/>
      <c r="G527" s="150"/>
      <c r="H527" s="150"/>
      <c r="R527" s="150"/>
      <c r="T527" s="150"/>
      <c r="W527" s="150"/>
    </row>
    <row r="528" spans="5:23" x14ac:dyDescent="0.3">
      <c r="E528" s="150"/>
      <c r="F528" s="150"/>
      <c r="G528" s="150"/>
      <c r="H528" s="150"/>
      <c r="R528" s="150"/>
      <c r="T528" s="150"/>
      <c r="W528" s="150"/>
    </row>
    <row r="529" spans="5:23" x14ac:dyDescent="0.3">
      <c r="E529" s="150"/>
      <c r="F529" s="150"/>
      <c r="G529" s="150"/>
      <c r="H529" s="150"/>
      <c r="R529" s="150"/>
      <c r="T529" s="150"/>
      <c r="W529" s="150"/>
    </row>
    <row r="530" spans="5:23" x14ac:dyDescent="0.3">
      <c r="E530" s="150"/>
      <c r="F530" s="150"/>
      <c r="G530" s="150"/>
      <c r="H530" s="150"/>
      <c r="R530" s="150"/>
      <c r="T530" s="150"/>
      <c r="W530" s="150"/>
    </row>
    <row r="531" spans="5:23" x14ac:dyDescent="0.3">
      <c r="E531" s="150"/>
      <c r="F531" s="150"/>
      <c r="G531" s="150"/>
      <c r="H531" s="150"/>
      <c r="R531" s="150"/>
      <c r="T531" s="150"/>
      <c r="W531" s="150"/>
    </row>
    <row r="532" spans="5:23" x14ac:dyDescent="0.3">
      <c r="E532" s="150"/>
      <c r="F532" s="150"/>
      <c r="G532" s="150"/>
      <c r="H532" s="150"/>
      <c r="R532" s="150"/>
      <c r="T532" s="150"/>
      <c r="W532" s="150"/>
    </row>
    <row r="533" spans="5:23" x14ac:dyDescent="0.3">
      <c r="E533" s="150"/>
      <c r="F533" s="150"/>
      <c r="G533" s="150"/>
      <c r="H533" s="150"/>
      <c r="R533" s="150"/>
      <c r="T533" s="150"/>
      <c r="W533" s="150"/>
    </row>
    <row r="534" spans="5:23" x14ac:dyDescent="0.3">
      <c r="E534" s="150"/>
      <c r="F534" s="150"/>
      <c r="G534" s="150"/>
      <c r="H534" s="150"/>
      <c r="R534" s="150"/>
      <c r="T534" s="150"/>
      <c r="W534" s="150"/>
    </row>
    <row r="535" spans="5:23" x14ac:dyDescent="0.3">
      <c r="E535" s="150"/>
      <c r="F535" s="150"/>
      <c r="G535" s="150"/>
      <c r="H535" s="150"/>
      <c r="R535" s="150"/>
      <c r="T535" s="150"/>
      <c r="W535" s="150"/>
    </row>
    <row r="536" spans="5:23" x14ac:dyDescent="0.3">
      <c r="E536" s="150"/>
      <c r="F536" s="150"/>
      <c r="G536" s="150"/>
      <c r="H536" s="150"/>
      <c r="R536" s="150"/>
      <c r="T536" s="150"/>
      <c r="W536" s="150"/>
    </row>
    <row r="537" spans="5:23" x14ac:dyDescent="0.3">
      <c r="E537" s="150"/>
      <c r="F537" s="150"/>
      <c r="G537" s="150"/>
      <c r="H537" s="150"/>
      <c r="R537" s="150"/>
      <c r="T537" s="150"/>
      <c r="W537" s="150"/>
    </row>
    <row r="538" spans="5:23" x14ac:dyDescent="0.3">
      <c r="E538" s="150"/>
      <c r="F538" s="150"/>
      <c r="G538" s="150"/>
      <c r="H538" s="150"/>
      <c r="R538" s="150"/>
      <c r="T538" s="150"/>
      <c r="W538" s="150"/>
    </row>
    <row r="539" spans="5:23" x14ac:dyDescent="0.3">
      <c r="E539" s="150"/>
      <c r="F539" s="150"/>
      <c r="G539" s="150"/>
      <c r="H539" s="150"/>
      <c r="R539" s="150"/>
      <c r="T539" s="150"/>
      <c r="W539" s="150"/>
    </row>
    <row r="540" spans="5:23" x14ac:dyDescent="0.3">
      <c r="E540" s="150"/>
      <c r="F540" s="150"/>
      <c r="G540" s="150"/>
      <c r="H540" s="150"/>
      <c r="R540" s="150"/>
      <c r="T540" s="150"/>
      <c r="W540" s="150"/>
    </row>
    <row r="541" spans="5:23" x14ac:dyDescent="0.3">
      <c r="E541" s="150"/>
      <c r="F541" s="150"/>
      <c r="G541" s="150"/>
      <c r="H541" s="150"/>
      <c r="R541" s="150"/>
      <c r="T541" s="150"/>
      <c r="W541" s="150"/>
    </row>
    <row r="542" spans="5:23" x14ac:dyDescent="0.3">
      <c r="E542" s="150"/>
      <c r="F542" s="150"/>
      <c r="G542" s="150"/>
      <c r="H542" s="150"/>
      <c r="R542" s="150"/>
      <c r="T542" s="150"/>
      <c r="W542" s="150"/>
    </row>
    <row r="543" spans="5:23" x14ac:dyDescent="0.3">
      <c r="E543" s="150"/>
      <c r="F543" s="150"/>
      <c r="G543" s="150"/>
      <c r="H543" s="150"/>
      <c r="R543" s="150"/>
      <c r="T543" s="150"/>
      <c r="W543" s="150"/>
    </row>
    <row r="544" spans="5:23" x14ac:dyDescent="0.3">
      <c r="E544" s="150"/>
      <c r="F544" s="150"/>
      <c r="G544" s="150"/>
      <c r="H544" s="150"/>
      <c r="R544" s="150"/>
      <c r="T544" s="150"/>
      <c r="W544" s="150"/>
    </row>
    <row r="545" spans="5:23" x14ac:dyDescent="0.3">
      <c r="E545" s="150"/>
      <c r="F545" s="150"/>
      <c r="G545" s="150"/>
      <c r="H545" s="150"/>
      <c r="R545" s="150"/>
      <c r="T545" s="150"/>
      <c r="W545" s="150"/>
    </row>
    <row r="546" spans="5:23" x14ac:dyDescent="0.3">
      <c r="E546" s="150"/>
      <c r="F546" s="150"/>
      <c r="G546" s="150"/>
      <c r="H546" s="150"/>
      <c r="R546" s="150"/>
      <c r="T546" s="150"/>
      <c r="W546" s="150"/>
    </row>
    <row r="547" spans="5:23" x14ac:dyDescent="0.3">
      <c r="E547" s="150"/>
      <c r="F547" s="150"/>
      <c r="G547" s="150"/>
      <c r="H547" s="150"/>
      <c r="R547" s="150"/>
      <c r="T547" s="150"/>
      <c r="W547" s="150"/>
    </row>
    <row r="548" spans="5:23" x14ac:dyDescent="0.3">
      <c r="E548" s="150"/>
      <c r="F548" s="150"/>
      <c r="G548" s="150"/>
      <c r="H548" s="150"/>
      <c r="R548" s="150"/>
      <c r="T548" s="150"/>
      <c r="W548" s="150"/>
    </row>
    <row r="549" spans="5:23" x14ac:dyDescent="0.3">
      <c r="E549" s="150"/>
      <c r="F549" s="150"/>
      <c r="G549" s="150"/>
      <c r="H549" s="150"/>
      <c r="R549" s="150"/>
      <c r="T549" s="150"/>
      <c r="W549" s="150"/>
    </row>
    <row r="550" spans="5:23" x14ac:dyDescent="0.3">
      <c r="E550" s="150"/>
      <c r="F550" s="150"/>
      <c r="G550" s="150"/>
      <c r="H550" s="150"/>
      <c r="R550" s="150"/>
      <c r="T550" s="150"/>
      <c r="W550" s="150"/>
    </row>
    <row r="551" spans="5:23" x14ac:dyDescent="0.3">
      <c r="E551" s="150"/>
      <c r="F551" s="150"/>
      <c r="G551" s="150"/>
      <c r="H551" s="150"/>
      <c r="R551" s="150"/>
      <c r="T551" s="150"/>
      <c r="W551" s="150"/>
    </row>
    <row r="552" spans="5:23" x14ac:dyDescent="0.3">
      <c r="E552" s="150"/>
      <c r="F552" s="150"/>
      <c r="G552" s="150"/>
      <c r="H552" s="150"/>
      <c r="R552" s="150"/>
      <c r="T552" s="150"/>
      <c r="W552" s="150"/>
    </row>
    <row r="553" spans="5:23" x14ac:dyDescent="0.3">
      <c r="E553" s="150"/>
      <c r="F553" s="150"/>
      <c r="G553" s="150"/>
      <c r="H553" s="150"/>
      <c r="R553" s="150"/>
      <c r="T553" s="150"/>
      <c r="W553" s="150"/>
    </row>
    <row r="554" spans="5:23" x14ac:dyDescent="0.3">
      <c r="E554" s="150"/>
      <c r="F554" s="150"/>
      <c r="G554" s="150"/>
      <c r="H554" s="150"/>
      <c r="R554" s="150"/>
      <c r="T554" s="150"/>
      <c r="W554" s="150"/>
    </row>
    <row r="555" spans="5:23" x14ac:dyDescent="0.3">
      <c r="E555" s="150"/>
      <c r="F555" s="150"/>
      <c r="G555" s="150"/>
      <c r="H555" s="150"/>
      <c r="R555" s="150"/>
      <c r="T555" s="150"/>
      <c r="W555" s="150"/>
    </row>
    <row r="556" spans="5:23" x14ac:dyDescent="0.3">
      <c r="E556" s="150"/>
      <c r="F556" s="150"/>
      <c r="G556" s="150"/>
      <c r="H556" s="150"/>
      <c r="R556" s="150"/>
      <c r="T556" s="150"/>
      <c r="W556" s="150"/>
    </row>
    <row r="557" spans="5:23" x14ac:dyDescent="0.3">
      <c r="E557" s="150"/>
      <c r="F557" s="150"/>
      <c r="G557" s="150"/>
      <c r="H557" s="150"/>
      <c r="R557" s="150"/>
      <c r="T557" s="150"/>
      <c r="W557" s="150"/>
    </row>
    <row r="558" spans="5:23" x14ac:dyDescent="0.3">
      <c r="E558" s="150"/>
      <c r="F558" s="150"/>
      <c r="G558" s="150"/>
      <c r="H558" s="150"/>
      <c r="R558" s="150"/>
      <c r="T558" s="150"/>
      <c r="W558" s="150"/>
    </row>
    <row r="559" spans="5:23" x14ac:dyDescent="0.3">
      <c r="E559" s="150"/>
      <c r="F559" s="150"/>
      <c r="G559" s="150"/>
      <c r="H559" s="150"/>
      <c r="R559" s="150"/>
      <c r="T559" s="150"/>
      <c r="W559" s="150"/>
    </row>
    <row r="560" spans="5:23" x14ac:dyDescent="0.3">
      <c r="E560" s="150"/>
      <c r="F560" s="150"/>
      <c r="G560" s="150"/>
      <c r="H560" s="150"/>
      <c r="R560" s="150"/>
      <c r="T560" s="150"/>
      <c r="W560" s="150"/>
    </row>
    <row r="561" spans="5:23" x14ac:dyDescent="0.3">
      <c r="E561" s="150"/>
      <c r="F561" s="150"/>
      <c r="G561" s="150"/>
      <c r="H561" s="150"/>
      <c r="R561" s="150"/>
      <c r="T561" s="150"/>
      <c r="W561" s="150"/>
    </row>
    <row r="562" spans="5:23" x14ac:dyDescent="0.3">
      <c r="E562" s="150"/>
      <c r="F562" s="150"/>
      <c r="G562" s="150"/>
      <c r="H562" s="150"/>
      <c r="R562" s="150"/>
      <c r="T562" s="150"/>
      <c r="W562" s="150"/>
    </row>
    <row r="563" spans="5:23" x14ac:dyDescent="0.3">
      <c r="E563" s="150"/>
      <c r="F563" s="150"/>
      <c r="G563" s="150"/>
      <c r="H563" s="150"/>
      <c r="R563" s="150"/>
      <c r="T563" s="150"/>
      <c r="W563" s="150"/>
    </row>
    <row r="564" spans="5:23" x14ac:dyDescent="0.3">
      <c r="E564" s="150"/>
      <c r="F564" s="150"/>
      <c r="G564" s="150"/>
      <c r="H564" s="150"/>
      <c r="R564" s="150"/>
      <c r="T564" s="150"/>
      <c r="W564" s="150"/>
    </row>
    <row r="565" spans="5:23" x14ac:dyDescent="0.3">
      <c r="E565" s="150"/>
      <c r="F565" s="150"/>
      <c r="G565" s="150"/>
      <c r="H565" s="150"/>
      <c r="R565" s="150"/>
      <c r="T565" s="150"/>
      <c r="W565" s="150"/>
    </row>
    <row r="566" spans="5:23" x14ac:dyDescent="0.3">
      <c r="E566" s="150"/>
      <c r="F566" s="150"/>
      <c r="G566" s="150"/>
      <c r="H566" s="150"/>
      <c r="R566" s="150"/>
      <c r="T566" s="150"/>
      <c r="W566" s="150"/>
    </row>
    <row r="567" spans="5:23" x14ac:dyDescent="0.3">
      <c r="E567" s="150"/>
      <c r="F567" s="150"/>
      <c r="G567" s="150"/>
      <c r="H567" s="150"/>
      <c r="R567" s="150"/>
      <c r="T567" s="150"/>
      <c r="W567" s="150"/>
    </row>
    <row r="568" spans="5:23" x14ac:dyDescent="0.3">
      <c r="E568" s="150"/>
      <c r="F568" s="150"/>
      <c r="G568" s="150"/>
      <c r="H568" s="150"/>
      <c r="R568" s="150"/>
      <c r="T568" s="150"/>
      <c r="W568" s="150"/>
    </row>
    <row r="569" spans="5:23" x14ac:dyDescent="0.3">
      <c r="E569" s="150"/>
      <c r="F569" s="150"/>
      <c r="G569" s="150"/>
      <c r="H569" s="150"/>
      <c r="R569" s="150"/>
      <c r="T569" s="150"/>
      <c r="W569" s="150"/>
    </row>
    <row r="570" spans="5:23" x14ac:dyDescent="0.3">
      <c r="E570" s="150"/>
      <c r="F570" s="150"/>
      <c r="G570" s="150"/>
      <c r="H570" s="150"/>
      <c r="R570" s="150"/>
      <c r="T570" s="150"/>
      <c r="W570" s="150"/>
    </row>
    <row r="571" spans="5:23" x14ac:dyDescent="0.3">
      <c r="E571" s="150"/>
      <c r="F571" s="150"/>
      <c r="G571" s="150"/>
      <c r="H571" s="150"/>
      <c r="R571" s="150"/>
      <c r="T571" s="150"/>
      <c r="W571" s="150"/>
    </row>
    <row r="572" spans="5:23" x14ac:dyDescent="0.3">
      <c r="E572" s="150"/>
      <c r="F572" s="150"/>
      <c r="G572" s="150"/>
      <c r="H572" s="150"/>
      <c r="R572" s="150"/>
      <c r="T572" s="150"/>
      <c r="W572" s="150"/>
    </row>
    <row r="573" spans="5:23" x14ac:dyDescent="0.3">
      <c r="E573" s="150"/>
      <c r="F573" s="150"/>
      <c r="G573" s="150"/>
      <c r="H573" s="150"/>
      <c r="R573" s="150"/>
      <c r="T573" s="150"/>
      <c r="W573" s="150"/>
    </row>
    <row r="574" spans="5:23" x14ac:dyDescent="0.3">
      <c r="E574" s="150"/>
      <c r="F574" s="150"/>
      <c r="G574" s="150"/>
      <c r="H574" s="150"/>
      <c r="R574" s="150"/>
      <c r="T574" s="150"/>
      <c r="W574" s="150"/>
    </row>
    <row r="575" spans="5:23" x14ac:dyDescent="0.3">
      <c r="E575" s="150"/>
      <c r="F575" s="150"/>
      <c r="G575" s="150"/>
      <c r="H575" s="150"/>
      <c r="R575" s="150"/>
      <c r="T575" s="150"/>
      <c r="W575" s="150"/>
    </row>
    <row r="576" spans="5:23" x14ac:dyDescent="0.3">
      <c r="E576" s="150"/>
      <c r="F576" s="150"/>
      <c r="G576" s="150"/>
      <c r="H576" s="150"/>
      <c r="R576" s="150"/>
      <c r="T576" s="150"/>
      <c r="W576" s="150"/>
    </row>
    <row r="577" spans="5:23" x14ac:dyDescent="0.3">
      <c r="E577" s="150"/>
      <c r="F577" s="150"/>
      <c r="G577" s="150"/>
      <c r="H577" s="150"/>
      <c r="R577" s="150"/>
      <c r="T577" s="150"/>
      <c r="W577" s="150"/>
    </row>
    <row r="578" spans="5:23" x14ac:dyDescent="0.3">
      <c r="E578" s="150"/>
      <c r="F578" s="150"/>
      <c r="G578" s="150"/>
      <c r="H578" s="150"/>
      <c r="R578" s="150"/>
      <c r="T578" s="150"/>
      <c r="W578" s="150"/>
    </row>
    <row r="579" spans="5:23" x14ac:dyDescent="0.3">
      <c r="E579" s="150"/>
      <c r="F579" s="150"/>
      <c r="G579" s="150"/>
      <c r="H579" s="150"/>
      <c r="R579" s="150"/>
      <c r="T579" s="150"/>
      <c r="W579" s="150"/>
    </row>
    <row r="580" spans="5:23" x14ac:dyDescent="0.3">
      <c r="E580" s="150"/>
      <c r="F580" s="150"/>
      <c r="G580" s="150"/>
      <c r="H580" s="150"/>
      <c r="R580" s="150"/>
      <c r="T580" s="150"/>
      <c r="W580" s="150"/>
    </row>
    <row r="581" spans="5:23" x14ac:dyDescent="0.3">
      <c r="E581" s="150"/>
      <c r="F581" s="150"/>
      <c r="G581" s="150"/>
      <c r="H581" s="150"/>
      <c r="R581" s="150"/>
      <c r="T581" s="150"/>
      <c r="W581" s="150"/>
    </row>
    <row r="582" spans="5:23" x14ac:dyDescent="0.3">
      <c r="E582" s="150"/>
      <c r="F582" s="150"/>
      <c r="G582" s="150"/>
      <c r="H582" s="150"/>
      <c r="R582" s="150"/>
      <c r="T582" s="150"/>
      <c r="W582" s="150"/>
    </row>
    <row r="583" spans="5:23" x14ac:dyDescent="0.3">
      <c r="E583" s="150"/>
      <c r="F583" s="150"/>
      <c r="G583" s="150"/>
      <c r="H583" s="150"/>
      <c r="R583" s="150"/>
      <c r="T583" s="150"/>
      <c r="W583" s="150"/>
    </row>
    <row r="584" spans="5:23" x14ac:dyDescent="0.3">
      <c r="E584" s="150"/>
      <c r="F584" s="150"/>
      <c r="G584" s="150"/>
      <c r="H584" s="150"/>
      <c r="R584" s="150"/>
      <c r="T584" s="150"/>
      <c r="W584" s="150"/>
    </row>
    <row r="585" spans="5:23" x14ac:dyDescent="0.3">
      <c r="E585" s="150"/>
      <c r="F585" s="150"/>
      <c r="G585" s="150"/>
      <c r="H585" s="150"/>
      <c r="R585" s="150"/>
      <c r="T585" s="150"/>
      <c r="W585" s="150"/>
    </row>
    <row r="586" spans="5:23" x14ac:dyDescent="0.3">
      <c r="E586" s="150"/>
      <c r="F586" s="150"/>
      <c r="G586" s="150"/>
      <c r="H586" s="150"/>
      <c r="R586" s="150"/>
      <c r="T586" s="150"/>
      <c r="W586" s="150"/>
    </row>
    <row r="587" spans="5:23" x14ac:dyDescent="0.3">
      <c r="E587" s="150"/>
      <c r="F587" s="150"/>
      <c r="G587" s="150"/>
      <c r="H587" s="150"/>
      <c r="R587" s="150"/>
      <c r="T587" s="150"/>
      <c r="W587" s="150"/>
    </row>
    <row r="588" spans="5:23" x14ac:dyDescent="0.3">
      <c r="E588" s="150"/>
      <c r="F588" s="150"/>
      <c r="G588" s="150"/>
      <c r="H588" s="150"/>
      <c r="R588" s="150"/>
      <c r="T588" s="150"/>
      <c r="W588" s="150"/>
    </row>
    <row r="589" spans="5:23" x14ac:dyDescent="0.3">
      <c r="E589" s="150"/>
      <c r="F589" s="150"/>
      <c r="G589" s="150"/>
      <c r="H589" s="150"/>
      <c r="R589" s="150"/>
      <c r="T589" s="150"/>
      <c r="W589" s="150"/>
    </row>
    <row r="590" spans="5:23" x14ac:dyDescent="0.3">
      <c r="E590" s="150"/>
      <c r="F590" s="150"/>
      <c r="G590" s="150"/>
      <c r="H590" s="150"/>
      <c r="R590" s="150"/>
      <c r="T590" s="150"/>
      <c r="W590" s="150"/>
    </row>
    <row r="591" spans="5:23" x14ac:dyDescent="0.3">
      <c r="E591" s="150"/>
      <c r="F591" s="150"/>
      <c r="G591" s="150"/>
      <c r="H591" s="150"/>
      <c r="R591" s="150"/>
      <c r="T591" s="150"/>
      <c r="W591" s="150"/>
    </row>
    <row r="592" spans="5:23" x14ac:dyDescent="0.3">
      <c r="E592" s="150"/>
      <c r="F592" s="150"/>
      <c r="G592" s="150"/>
      <c r="H592" s="150"/>
      <c r="R592" s="150"/>
      <c r="T592" s="150"/>
      <c r="W592" s="150"/>
    </row>
    <row r="593" spans="5:23" x14ac:dyDescent="0.3">
      <c r="E593" s="150"/>
      <c r="F593" s="150"/>
      <c r="G593" s="150"/>
      <c r="H593" s="150"/>
      <c r="R593" s="150"/>
      <c r="T593" s="150"/>
      <c r="W593" s="150"/>
    </row>
    <row r="594" spans="5:23" x14ac:dyDescent="0.3">
      <c r="E594" s="150"/>
      <c r="F594" s="150"/>
      <c r="G594" s="150"/>
      <c r="H594" s="150"/>
      <c r="R594" s="150"/>
      <c r="T594" s="150"/>
      <c r="W594" s="150"/>
    </row>
    <row r="595" spans="5:23" x14ac:dyDescent="0.3">
      <c r="E595" s="150"/>
      <c r="F595" s="150"/>
      <c r="G595" s="150"/>
      <c r="H595" s="150"/>
      <c r="R595" s="150"/>
      <c r="T595" s="150"/>
      <c r="W595" s="150"/>
    </row>
    <row r="596" spans="5:23" x14ac:dyDescent="0.3">
      <c r="E596" s="150"/>
      <c r="F596" s="150"/>
      <c r="G596" s="150"/>
      <c r="H596" s="150"/>
      <c r="R596" s="150"/>
      <c r="T596" s="150"/>
      <c r="W596" s="150"/>
    </row>
    <row r="597" spans="5:23" x14ac:dyDescent="0.3">
      <c r="E597" s="150"/>
      <c r="F597" s="150"/>
      <c r="G597" s="150"/>
      <c r="H597" s="150"/>
      <c r="R597" s="150"/>
      <c r="T597" s="150"/>
      <c r="W597" s="150"/>
    </row>
    <row r="598" spans="5:23" x14ac:dyDescent="0.3">
      <c r="E598" s="150"/>
      <c r="F598" s="150"/>
      <c r="G598" s="150"/>
      <c r="H598" s="150"/>
      <c r="R598" s="150"/>
      <c r="T598" s="150"/>
      <c r="W598" s="150"/>
    </row>
    <row r="599" spans="5:23" x14ac:dyDescent="0.3">
      <c r="E599" s="150"/>
      <c r="F599" s="150"/>
      <c r="G599" s="150"/>
      <c r="H599" s="150"/>
      <c r="R599" s="150"/>
      <c r="T599" s="150"/>
      <c r="W599" s="150"/>
    </row>
    <row r="600" spans="5:23" x14ac:dyDescent="0.3">
      <c r="E600" s="150"/>
      <c r="F600" s="150"/>
      <c r="G600" s="150"/>
      <c r="H600" s="150"/>
      <c r="R600" s="150"/>
      <c r="T600" s="150"/>
      <c r="W600" s="150"/>
    </row>
    <row r="601" spans="5:23" x14ac:dyDescent="0.3">
      <c r="E601" s="150"/>
      <c r="F601" s="150"/>
      <c r="G601" s="150"/>
      <c r="H601" s="150"/>
      <c r="R601" s="150"/>
      <c r="T601" s="150"/>
      <c r="W601" s="150"/>
    </row>
    <row r="602" spans="5:23" x14ac:dyDescent="0.3">
      <c r="E602" s="150"/>
      <c r="F602" s="150"/>
      <c r="G602" s="150"/>
      <c r="H602" s="150"/>
      <c r="R602" s="150"/>
      <c r="T602" s="150"/>
      <c r="W602" s="150"/>
    </row>
    <row r="603" spans="5:23" x14ac:dyDescent="0.3">
      <c r="E603" s="150"/>
      <c r="F603" s="150"/>
      <c r="G603" s="150"/>
      <c r="H603" s="150"/>
      <c r="R603" s="150"/>
      <c r="T603" s="150"/>
      <c r="W603" s="150"/>
    </row>
    <row r="604" spans="5:23" x14ac:dyDescent="0.3">
      <c r="E604" s="150"/>
      <c r="F604" s="150"/>
      <c r="G604" s="150"/>
      <c r="H604" s="150"/>
      <c r="R604" s="150"/>
      <c r="T604" s="150"/>
      <c r="W604" s="150"/>
    </row>
    <row r="605" spans="5:23" x14ac:dyDescent="0.3">
      <c r="E605" s="150"/>
      <c r="F605" s="150"/>
      <c r="G605" s="150"/>
      <c r="H605" s="150"/>
      <c r="R605" s="150"/>
      <c r="T605" s="150"/>
      <c r="W605" s="150"/>
    </row>
    <row r="606" spans="5:23" x14ac:dyDescent="0.3">
      <c r="E606" s="150"/>
      <c r="F606" s="150"/>
      <c r="G606" s="150"/>
      <c r="H606" s="150"/>
      <c r="R606" s="150"/>
      <c r="T606" s="150"/>
      <c r="W606" s="150"/>
    </row>
    <row r="607" spans="5:23" x14ac:dyDescent="0.3">
      <c r="E607" s="150"/>
      <c r="F607" s="150"/>
      <c r="G607" s="150"/>
      <c r="H607" s="150"/>
      <c r="R607" s="150"/>
      <c r="T607" s="150"/>
      <c r="W607" s="150"/>
    </row>
    <row r="608" spans="5:23" x14ac:dyDescent="0.3">
      <c r="E608" s="150"/>
      <c r="F608" s="150"/>
      <c r="G608" s="150"/>
      <c r="H608" s="150"/>
      <c r="R608" s="150"/>
      <c r="T608" s="150"/>
      <c r="W608" s="150"/>
    </row>
    <row r="609" spans="5:23" x14ac:dyDescent="0.3">
      <c r="E609" s="150"/>
      <c r="F609" s="150"/>
      <c r="G609" s="150"/>
      <c r="H609" s="150"/>
      <c r="R609" s="150"/>
      <c r="T609" s="150"/>
      <c r="W609" s="150"/>
    </row>
    <row r="610" spans="5:23" x14ac:dyDescent="0.3">
      <c r="E610" s="150"/>
      <c r="F610" s="150"/>
      <c r="G610" s="150"/>
      <c r="H610" s="150"/>
      <c r="R610" s="150"/>
      <c r="T610" s="150"/>
      <c r="W610" s="150"/>
    </row>
    <row r="611" spans="5:23" x14ac:dyDescent="0.3">
      <c r="E611" s="150"/>
      <c r="F611" s="150"/>
      <c r="G611" s="150"/>
      <c r="H611" s="150"/>
      <c r="R611" s="150"/>
      <c r="T611" s="150"/>
      <c r="W611" s="150"/>
    </row>
    <row r="612" spans="5:23" x14ac:dyDescent="0.3">
      <c r="E612" s="150"/>
      <c r="F612" s="150"/>
      <c r="G612" s="150"/>
      <c r="H612" s="150"/>
      <c r="R612" s="150"/>
      <c r="T612" s="150"/>
      <c r="W612" s="150"/>
    </row>
    <row r="613" spans="5:23" x14ac:dyDescent="0.3">
      <c r="E613" s="150"/>
      <c r="F613" s="150"/>
      <c r="G613" s="150"/>
      <c r="H613" s="150"/>
      <c r="R613" s="150"/>
      <c r="T613" s="150"/>
      <c r="W613" s="150"/>
    </row>
    <row r="614" spans="5:23" x14ac:dyDescent="0.3">
      <c r="E614" s="150"/>
      <c r="F614" s="150"/>
      <c r="G614" s="150"/>
      <c r="H614" s="150"/>
      <c r="R614" s="150"/>
      <c r="T614" s="150"/>
      <c r="W614" s="150"/>
    </row>
    <row r="615" spans="5:23" x14ac:dyDescent="0.3">
      <c r="E615" s="150"/>
      <c r="F615" s="150"/>
      <c r="G615" s="150"/>
      <c r="H615" s="150"/>
      <c r="R615" s="150"/>
      <c r="T615" s="150"/>
      <c r="W615" s="150"/>
    </row>
    <row r="616" spans="5:23" x14ac:dyDescent="0.3">
      <c r="E616" s="150"/>
      <c r="F616" s="150"/>
      <c r="G616" s="150"/>
      <c r="H616" s="150"/>
      <c r="R616" s="150"/>
      <c r="T616" s="150"/>
      <c r="W616" s="150"/>
    </row>
    <row r="617" spans="5:23" x14ac:dyDescent="0.3">
      <c r="E617" s="150"/>
      <c r="F617" s="150"/>
      <c r="G617" s="150"/>
      <c r="H617" s="150"/>
      <c r="R617" s="150"/>
      <c r="T617" s="150"/>
      <c r="W617" s="150"/>
    </row>
    <row r="618" spans="5:23" x14ac:dyDescent="0.3">
      <c r="E618" s="150"/>
      <c r="F618" s="150"/>
      <c r="G618" s="150"/>
      <c r="H618" s="150"/>
      <c r="R618" s="150"/>
      <c r="T618" s="150"/>
      <c r="W618" s="150"/>
    </row>
    <row r="619" spans="5:23" x14ac:dyDescent="0.3">
      <c r="E619" s="150"/>
      <c r="F619" s="150"/>
      <c r="G619" s="150"/>
      <c r="H619" s="150"/>
      <c r="R619" s="150"/>
      <c r="T619" s="150"/>
      <c r="W619" s="150"/>
    </row>
    <row r="620" spans="5:23" x14ac:dyDescent="0.3">
      <c r="E620" s="150"/>
      <c r="F620" s="150"/>
      <c r="G620" s="150"/>
      <c r="H620" s="150"/>
      <c r="R620" s="150"/>
      <c r="T620" s="150"/>
      <c r="W620" s="150"/>
    </row>
    <row r="621" spans="5:23" x14ac:dyDescent="0.3">
      <c r="E621" s="150"/>
      <c r="F621" s="150"/>
      <c r="G621" s="150"/>
      <c r="H621" s="150"/>
      <c r="R621" s="150"/>
      <c r="T621" s="150"/>
      <c r="W621" s="150"/>
    </row>
    <row r="622" spans="5:23" x14ac:dyDescent="0.3">
      <c r="E622" s="150"/>
      <c r="F622" s="150"/>
      <c r="G622" s="150"/>
      <c r="H622" s="150"/>
      <c r="R622" s="150"/>
      <c r="T622" s="150"/>
      <c r="W622" s="150"/>
    </row>
    <row r="623" spans="5:23" x14ac:dyDescent="0.3">
      <c r="E623" s="150"/>
      <c r="F623" s="150"/>
      <c r="G623" s="150"/>
      <c r="H623" s="150"/>
      <c r="R623" s="150"/>
      <c r="T623" s="150"/>
      <c r="W623" s="150"/>
    </row>
    <row r="624" spans="5:23" x14ac:dyDescent="0.3">
      <c r="E624" s="150"/>
      <c r="F624" s="150"/>
      <c r="G624" s="150"/>
      <c r="H624" s="150"/>
      <c r="R624" s="150"/>
      <c r="T624" s="150"/>
      <c r="W624" s="150"/>
    </row>
    <row r="625" spans="5:23" x14ac:dyDescent="0.3">
      <c r="E625" s="150"/>
      <c r="F625" s="150"/>
      <c r="G625" s="150"/>
      <c r="H625" s="150"/>
      <c r="R625" s="150"/>
      <c r="T625" s="150"/>
      <c r="W625" s="150"/>
    </row>
    <row r="626" spans="5:23" x14ac:dyDescent="0.3">
      <c r="E626" s="150"/>
      <c r="F626" s="150"/>
      <c r="G626" s="150"/>
      <c r="H626" s="150"/>
      <c r="R626" s="150"/>
      <c r="T626" s="150"/>
      <c r="W626" s="150"/>
    </row>
    <row r="627" spans="5:23" x14ac:dyDescent="0.3">
      <c r="E627" s="150"/>
      <c r="F627" s="150"/>
      <c r="G627" s="150"/>
      <c r="H627" s="150"/>
      <c r="R627" s="150"/>
      <c r="T627" s="150"/>
      <c r="W627" s="150"/>
    </row>
    <row r="628" spans="5:23" x14ac:dyDescent="0.3">
      <c r="E628" s="150"/>
      <c r="F628" s="150"/>
      <c r="G628" s="150"/>
      <c r="H628" s="150"/>
      <c r="R628" s="150"/>
      <c r="T628" s="150"/>
      <c r="W628" s="150"/>
    </row>
    <row r="629" spans="5:23" x14ac:dyDescent="0.3">
      <c r="E629" s="150"/>
      <c r="F629" s="150"/>
      <c r="G629" s="150"/>
      <c r="H629" s="150"/>
      <c r="R629" s="150"/>
      <c r="T629" s="150"/>
      <c r="W629" s="150"/>
    </row>
    <row r="630" spans="5:23" x14ac:dyDescent="0.3">
      <c r="E630" s="150"/>
      <c r="F630" s="150"/>
      <c r="G630" s="150"/>
      <c r="H630" s="150"/>
      <c r="R630" s="150"/>
      <c r="T630" s="150"/>
      <c r="W630" s="150"/>
    </row>
    <row r="631" spans="5:23" x14ac:dyDescent="0.3">
      <c r="E631" s="150"/>
      <c r="F631" s="150"/>
      <c r="G631" s="150"/>
      <c r="H631" s="150"/>
      <c r="R631" s="150"/>
      <c r="T631" s="150"/>
      <c r="W631" s="150"/>
    </row>
    <row r="632" spans="5:23" x14ac:dyDescent="0.3">
      <c r="E632" s="150"/>
      <c r="F632" s="150"/>
      <c r="G632" s="150"/>
      <c r="H632" s="150"/>
      <c r="R632" s="150"/>
      <c r="T632" s="150"/>
      <c r="W632" s="150"/>
    </row>
    <row r="633" spans="5:23" x14ac:dyDescent="0.3">
      <c r="E633" s="150"/>
      <c r="F633" s="150"/>
      <c r="G633" s="150"/>
      <c r="H633" s="150"/>
      <c r="R633" s="150"/>
      <c r="T633" s="150"/>
      <c r="W633" s="150"/>
    </row>
    <row r="634" spans="5:23" x14ac:dyDescent="0.3">
      <c r="E634" s="150"/>
      <c r="F634" s="150"/>
      <c r="G634" s="150"/>
      <c r="H634" s="150"/>
      <c r="R634" s="150"/>
      <c r="T634" s="150"/>
      <c r="W634" s="150"/>
    </row>
    <row r="635" spans="5:23" x14ac:dyDescent="0.3">
      <c r="E635" s="150"/>
      <c r="F635" s="150"/>
      <c r="G635" s="150"/>
      <c r="H635" s="150"/>
      <c r="R635" s="150"/>
      <c r="T635" s="150"/>
      <c r="W635" s="150"/>
    </row>
    <row r="636" spans="5:23" x14ac:dyDescent="0.3">
      <c r="E636" s="150"/>
      <c r="F636" s="150"/>
      <c r="G636" s="150"/>
      <c r="H636" s="150"/>
      <c r="R636" s="150"/>
      <c r="T636" s="150"/>
      <c r="W636" s="150"/>
    </row>
    <row r="637" spans="5:23" x14ac:dyDescent="0.3">
      <c r="E637" s="150"/>
      <c r="F637" s="150"/>
      <c r="G637" s="150"/>
      <c r="H637" s="150"/>
      <c r="R637" s="150"/>
      <c r="T637" s="150"/>
      <c r="W637" s="150"/>
    </row>
    <row r="638" spans="5:23" x14ac:dyDescent="0.3">
      <c r="E638" s="150"/>
      <c r="F638" s="150"/>
      <c r="G638" s="150"/>
      <c r="H638" s="150"/>
      <c r="R638" s="150"/>
      <c r="T638" s="150"/>
      <c r="W638" s="150"/>
    </row>
    <row r="639" spans="5:23" x14ac:dyDescent="0.3">
      <c r="E639" s="150"/>
      <c r="F639" s="150"/>
      <c r="G639" s="150"/>
      <c r="H639" s="150"/>
      <c r="R639" s="150"/>
      <c r="T639" s="150"/>
      <c r="W639" s="150"/>
    </row>
    <row r="640" spans="5:23" x14ac:dyDescent="0.3">
      <c r="E640" s="150"/>
      <c r="F640" s="150"/>
      <c r="G640" s="150"/>
      <c r="H640" s="150"/>
      <c r="R640" s="150"/>
      <c r="T640" s="150"/>
      <c r="W640" s="150"/>
    </row>
    <row r="641" spans="5:23" x14ac:dyDescent="0.3">
      <c r="E641" s="150"/>
      <c r="F641" s="150"/>
      <c r="G641" s="150"/>
      <c r="H641" s="150"/>
      <c r="R641" s="150"/>
      <c r="T641" s="150"/>
      <c r="W641" s="150"/>
    </row>
    <row r="642" spans="5:23" x14ac:dyDescent="0.3">
      <c r="E642" s="150"/>
      <c r="F642" s="150"/>
      <c r="G642" s="150"/>
      <c r="H642" s="150"/>
      <c r="R642" s="150"/>
      <c r="T642" s="150"/>
      <c r="W642" s="150"/>
    </row>
    <row r="643" spans="5:23" x14ac:dyDescent="0.3">
      <c r="E643" s="150"/>
      <c r="F643" s="150"/>
      <c r="G643" s="150"/>
      <c r="H643" s="150"/>
      <c r="R643" s="150"/>
      <c r="T643" s="150"/>
      <c r="W643" s="150"/>
    </row>
    <row r="644" spans="5:23" x14ac:dyDescent="0.3">
      <c r="E644" s="150"/>
      <c r="F644" s="150"/>
      <c r="G644" s="150"/>
      <c r="H644" s="150"/>
      <c r="R644" s="150"/>
      <c r="T644" s="150"/>
      <c r="W644" s="150"/>
    </row>
    <row r="645" spans="5:23" x14ac:dyDescent="0.3">
      <c r="E645" s="150"/>
      <c r="F645" s="150"/>
      <c r="G645" s="150"/>
      <c r="H645" s="150"/>
      <c r="R645" s="150"/>
      <c r="T645" s="150"/>
      <c r="W645" s="150"/>
    </row>
    <row r="646" spans="5:23" x14ac:dyDescent="0.3">
      <c r="E646" s="150"/>
      <c r="F646" s="150"/>
      <c r="G646" s="150"/>
      <c r="H646" s="150"/>
      <c r="R646" s="150"/>
      <c r="T646" s="150"/>
      <c r="W646" s="150"/>
    </row>
    <row r="647" spans="5:23" x14ac:dyDescent="0.3">
      <c r="E647" s="150"/>
      <c r="F647" s="150"/>
      <c r="G647" s="150"/>
      <c r="H647" s="150"/>
      <c r="R647" s="150"/>
      <c r="T647" s="150"/>
      <c r="W647" s="150"/>
    </row>
    <row r="648" spans="5:23" x14ac:dyDescent="0.3">
      <c r="E648" s="150"/>
      <c r="F648" s="150"/>
      <c r="G648" s="150"/>
      <c r="H648" s="150"/>
      <c r="R648" s="150"/>
      <c r="T648" s="150"/>
      <c r="W648" s="150"/>
    </row>
    <row r="649" spans="5:23" x14ac:dyDescent="0.3">
      <c r="E649" s="150"/>
      <c r="F649" s="150"/>
      <c r="G649" s="150"/>
      <c r="H649" s="150"/>
      <c r="R649" s="150"/>
      <c r="T649" s="150"/>
      <c r="W649" s="150"/>
    </row>
    <row r="650" spans="5:23" x14ac:dyDescent="0.3">
      <c r="E650" s="150"/>
      <c r="F650" s="150"/>
      <c r="G650" s="150"/>
      <c r="H650" s="150"/>
      <c r="R650" s="150"/>
      <c r="T650" s="150"/>
      <c r="W650" s="150"/>
    </row>
    <row r="651" spans="5:23" x14ac:dyDescent="0.3">
      <c r="E651" s="150"/>
      <c r="F651" s="150"/>
      <c r="G651" s="150"/>
      <c r="H651" s="150"/>
      <c r="R651" s="150"/>
      <c r="T651" s="150"/>
      <c r="W651" s="150"/>
    </row>
    <row r="652" spans="5:23" x14ac:dyDescent="0.3">
      <c r="E652" s="150"/>
      <c r="F652" s="150"/>
      <c r="G652" s="150"/>
      <c r="H652" s="150"/>
      <c r="R652" s="150"/>
      <c r="T652" s="150"/>
      <c r="W652" s="150"/>
    </row>
    <row r="653" spans="5:23" x14ac:dyDescent="0.3">
      <c r="E653" s="150"/>
      <c r="F653" s="150"/>
      <c r="G653" s="150"/>
      <c r="H653" s="150"/>
      <c r="R653" s="150"/>
      <c r="T653" s="150"/>
      <c r="W653" s="150"/>
    </row>
    <row r="654" spans="5:23" x14ac:dyDescent="0.3">
      <c r="E654" s="150"/>
      <c r="F654" s="150"/>
      <c r="G654" s="150"/>
      <c r="H654" s="150"/>
      <c r="R654" s="150"/>
      <c r="T654" s="150"/>
      <c r="W654" s="150"/>
    </row>
    <row r="655" spans="5:23" x14ac:dyDescent="0.3">
      <c r="E655" s="150"/>
      <c r="F655" s="150"/>
      <c r="G655" s="150"/>
      <c r="H655" s="150"/>
      <c r="R655" s="150"/>
      <c r="T655" s="150"/>
      <c r="W655" s="150"/>
    </row>
    <row r="656" spans="5:23" x14ac:dyDescent="0.3">
      <c r="E656" s="150"/>
      <c r="F656" s="150"/>
      <c r="G656" s="150"/>
      <c r="H656" s="150"/>
      <c r="R656" s="150"/>
      <c r="T656" s="150"/>
      <c r="W656" s="150"/>
    </row>
    <row r="657" spans="5:23" x14ac:dyDescent="0.3">
      <c r="E657" s="150"/>
      <c r="F657" s="150"/>
      <c r="G657" s="150"/>
      <c r="H657" s="150"/>
      <c r="R657" s="150"/>
      <c r="T657" s="150"/>
      <c r="W657" s="150"/>
    </row>
    <row r="658" spans="5:23" x14ac:dyDescent="0.3">
      <c r="E658" s="150"/>
      <c r="F658" s="150"/>
      <c r="G658" s="150"/>
      <c r="H658" s="150"/>
      <c r="R658" s="150"/>
      <c r="T658" s="150"/>
      <c r="W658" s="150"/>
    </row>
    <row r="659" spans="5:23" x14ac:dyDescent="0.3">
      <c r="E659" s="150"/>
      <c r="F659" s="150"/>
      <c r="G659" s="150"/>
      <c r="H659" s="150"/>
      <c r="R659" s="150"/>
      <c r="T659" s="150"/>
      <c r="W659" s="150"/>
    </row>
    <row r="660" spans="5:23" x14ac:dyDescent="0.3">
      <c r="E660" s="150"/>
      <c r="F660" s="150"/>
      <c r="G660" s="150"/>
      <c r="H660" s="150"/>
      <c r="R660" s="150"/>
      <c r="T660" s="150"/>
      <c r="W660" s="150"/>
    </row>
    <row r="661" spans="5:23" x14ac:dyDescent="0.3">
      <c r="E661" s="150"/>
      <c r="F661" s="150"/>
      <c r="G661" s="150"/>
      <c r="H661" s="150"/>
      <c r="R661" s="150"/>
      <c r="T661" s="150"/>
      <c r="W661" s="150"/>
    </row>
    <row r="662" spans="5:23" x14ac:dyDescent="0.3">
      <c r="E662" s="150"/>
      <c r="F662" s="150"/>
      <c r="G662" s="150"/>
      <c r="H662" s="150"/>
      <c r="R662" s="150"/>
      <c r="T662" s="150"/>
      <c r="W662" s="150"/>
    </row>
    <row r="663" spans="5:23" x14ac:dyDescent="0.3">
      <c r="E663" s="150"/>
      <c r="F663" s="150"/>
      <c r="G663" s="150"/>
      <c r="H663" s="150"/>
      <c r="R663" s="150"/>
      <c r="T663" s="150"/>
      <c r="W663" s="150"/>
    </row>
    <row r="664" spans="5:23" x14ac:dyDescent="0.3">
      <c r="E664" s="150"/>
      <c r="F664" s="150"/>
      <c r="G664" s="150"/>
      <c r="H664" s="150"/>
      <c r="R664" s="150"/>
      <c r="T664" s="150"/>
      <c r="W664" s="150"/>
    </row>
    <row r="665" spans="5:23" x14ac:dyDescent="0.3">
      <c r="E665" s="150"/>
      <c r="F665" s="150"/>
      <c r="G665" s="150"/>
      <c r="H665" s="150"/>
      <c r="R665" s="150"/>
      <c r="T665" s="150"/>
      <c r="W665" s="150"/>
    </row>
    <row r="666" spans="5:23" x14ac:dyDescent="0.3">
      <c r="E666" s="150"/>
      <c r="F666" s="150"/>
      <c r="G666" s="150"/>
      <c r="H666" s="150"/>
      <c r="R666" s="150"/>
      <c r="T666" s="150"/>
      <c r="W666" s="150"/>
    </row>
    <row r="667" spans="5:23" x14ac:dyDescent="0.3">
      <c r="E667" s="150"/>
      <c r="F667" s="150"/>
      <c r="G667" s="150"/>
      <c r="H667" s="150"/>
      <c r="R667" s="150"/>
      <c r="T667" s="150"/>
      <c r="W667" s="150"/>
    </row>
    <row r="668" spans="5:23" x14ac:dyDescent="0.3">
      <c r="E668" s="150"/>
      <c r="F668" s="150"/>
      <c r="G668" s="150"/>
      <c r="H668" s="150"/>
      <c r="R668" s="150"/>
      <c r="T668" s="150"/>
      <c r="W668" s="150"/>
    </row>
    <row r="669" spans="5:23" x14ac:dyDescent="0.3">
      <c r="E669" s="150"/>
      <c r="F669" s="150"/>
      <c r="G669" s="150"/>
      <c r="H669" s="150"/>
      <c r="R669" s="150"/>
      <c r="T669" s="150"/>
      <c r="W669" s="150"/>
    </row>
    <row r="670" spans="5:23" x14ac:dyDescent="0.3">
      <c r="E670" s="150"/>
      <c r="F670" s="150"/>
      <c r="G670" s="150"/>
      <c r="H670" s="150"/>
      <c r="R670" s="150"/>
      <c r="T670" s="150"/>
      <c r="W670" s="150"/>
    </row>
    <row r="671" spans="5:23" x14ac:dyDescent="0.3">
      <c r="E671" s="150"/>
      <c r="F671" s="150"/>
      <c r="G671" s="150"/>
      <c r="H671" s="150"/>
      <c r="R671" s="150"/>
      <c r="T671" s="150"/>
      <c r="W671" s="150"/>
    </row>
    <row r="672" spans="5:23" x14ac:dyDescent="0.3">
      <c r="E672" s="150"/>
      <c r="F672" s="150"/>
      <c r="G672" s="150"/>
      <c r="H672" s="150"/>
      <c r="R672" s="150"/>
      <c r="T672" s="150"/>
      <c r="W672" s="150"/>
    </row>
    <row r="673" spans="5:23" x14ac:dyDescent="0.3">
      <c r="E673" s="150"/>
      <c r="F673" s="150"/>
      <c r="G673" s="150"/>
      <c r="H673" s="150"/>
      <c r="R673" s="150"/>
      <c r="T673" s="150"/>
      <c r="W673" s="150"/>
    </row>
    <row r="674" spans="5:23" x14ac:dyDescent="0.3">
      <c r="E674" s="150"/>
      <c r="F674" s="150"/>
      <c r="G674" s="150"/>
      <c r="H674" s="150"/>
      <c r="R674" s="150"/>
      <c r="T674" s="150"/>
      <c r="W674" s="150"/>
    </row>
    <row r="675" spans="5:23" x14ac:dyDescent="0.3">
      <c r="E675" s="150"/>
      <c r="F675" s="150"/>
      <c r="G675" s="150"/>
      <c r="H675" s="150"/>
      <c r="R675" s="150"/>
      <c r="T675" s="150"/>
      <c r="W675" s="150"/>
    </row>
    <row r="676" spans="5:23" x14ac:dyDescent="0.3">
      <c r="E676" s="150"/>
      <c r="F676" s="150"/>
      <c r="G676" s="150"/>
      <c r="H676" s="150"/>
      <c r="R676" s="150"/>
      <c r="T676" s="150"/>
      <c r="W676" s="150"/>
    </row>
    <row r="677" spans="5:23" x14ac:dyDescent="0.3">
      <c r="E677" s="150"/>
      <c r="F677" s="150"/>
      <c r="G677" s="150"/>
      <c r="H677" s="150"/>
      <c r="R677" s="150"/>
      <c r="T677" s="150"/>
      <c r="W677" s="150"/>
    </row>
    <row r="678" spans="5:23" x14ac:dyDescent="0.3">
      <c r="E678" s="150"/>
      <c r="F678" s="150"/>
      <c r="G678" s="150"/>
      <c r="H678" s="150"/>
      <c r="R678" s="150"/>
      <c r="T678" s="150"/>
      <c r="W678" s="150"/>
    </row>
    <row r="679" spans="5:23" x14ac:dyDescent="0.3">
      <c r="E679" s="150"/>
      <c r="F679" s="150"/>
      <c r="G679" s="150"/>
      <c r="H679" s="150"/>
      <c r="R679" s="150"/>
      <c r="T679" s="150"/>
      <c r="W679" s="150"/>
    </row>
    <row r="680" spans="5:23" x14ac:dyDescent="0.3">
      <c r="E680" s="150"/>
      <c r="F680" s="150"/>
      <c r="G680" s="150"/>
      <c r="H680" s="150"/>
      <c r="R680" s="150"/>
      <c r="T680" s="150"/>
      <c r="W680" s="150"/>
    </row>
    <row r="681" spans="5:23" x14ac:dyDescent="0.3">
      <c r="E681" s="150"/>
      <c r="F681" s="150"/>
      <c r="G681" s="150"/>
      <c r="H681" s="150"/>
      <c r="R681" s="150"/>
      <c r="T681" s="150"/>
      <c r="W681" s="150"/>
    </row>
    <row r="682" spans="5:23" x14ac:dyDescent="0.3">
      <c r="E682" s="150"/>
      <c r="F682" s="150"/>
      <c r="G682" s="150"/>
      <c r="H682" s="150"/>
      <c r="R682" s="150"/>
      <c r="T682" s="150"/>
      <c r="W682" s="150"/>
    </row>
    <row r="683" spans="5:23" x14ac:dyDescent="0.3">
      <c r="E683" s="150"/>
      <c r="F683" s="150"/>
      <c r="G683" s="150"/>
      <c r="H683" s="150"/>
      <c r="R683" s="150"/>
      <c r="T683" s="150"/>
      <c r="W683" s="150"/>
    </row>
    <row r="684" spans="5:23" x14ac:dyDescent="0.3">
      <c r="E684" s="150"/>
      <c r="F684" s="150"/>
      <c r="G684" s="150"/>
      <c r="H684" s="150"/>
      <c r="R684" s="150"/>
      <c r="T684" s="150"/>
      <c r="W684" s="150"/>
    </row>
    <row r="685" spans="5:23" x14ac:dyDescent="0.3">
      <c r="E685" s="150"/>
      <c r="F685" s="150"/>
      <c r="G685" s="150"/>
      <c r="H685" s="150"/>
      <c r="R685" s="150"/>
      <c r="T685" s="150"/>
      <c r="W685" s="150"/>
    </row>
    <row r="686" spans="5:23" x14ac:dyDescent="0.3">
      <c r="E686" s="150"/>
      <c r="F686" s="150"/>
      <c r="G686" s="150"/>
      <c r="H686" s="150"/>
      <c r="R686" s="150"/>
      <c r="T686" s="150"/>
      <c r="W686" s="150"/>
    </row>
    <row r="687" spans="5:23" x14ac:dyDescent="0.3">
      <c r="E687" s="150"/>
      <c r="F687" s="150"/>
      <c r="G687" s="150"/>
      <c r="H687" s="150"/>
      <c r="R687" s="150"/>
      <c r="T687" s="150"/>
      <c r="W687" s="150"/>
    </row>
    <row r="688" spans="5:23" x14ac:dyDescent="0.3">
      <c r="E688" s="150"/>
      <c r="F688" s="150"/>
      <c r="G688" s="150"/>
      <c r="H688" s="150"/>
      <c r="R688" s="150"/>
      <c r="T688" s="150"/>
      <c r="W688" s="150"/>
    </row>
    <row r="689" spans="5:23" x14ac:dyDescent="0.3">
      <c r="E689" s="150"/>
      <c r="F689" s="150"/>
      <c r="G689" s="150"/>
      <c r="H689" s="150"/>
      <c r="R689" s="150"/>
      <c r="T689" s="150"/>
      <c r="W689" s="150"/>
    </row>
    <row r="690" spans="5:23" x14ac:dyDescent="0.3">
      <c r="E690" s="150"/>
      <c r="F690" s="150"/>
      <c r="G690" s="150"/>
      <c r="H690" s="150"/>
      <c r="R690" s="150"/>
      <c r="T690" s="150"/>
      <c r="W690" s="150"/>
    </row>
    <row r="691" spans="5:23" x14ac:dyDescent="0.3">
      <c r="E691" s="150"/>
      <c r="F691" s="150"/>
      <c r="G691" s="150"/>
      <c r="H691" s="150"/>
      <c r="R691" s="150"/>
      <c r="T691" s="150"/>
      <c r="W691" s="150"/>
    </row>
    <row r="692" spans="5:23" x14ac:dyDescent="0.3">
      <c r="E692" s="150"/>
      <c r="F692" s="150"/>
      <c r="G692" s="150"/>
      <c r="H692" s="150"/>
      <c r="R692" s="150"/>
      <c r="T692" s="150"/>
      <c r="W692" s="150"/>
    </row>
    <row r="693" spans="5:23" x14ac:dyDescent="0.3">
      <c r="E693" s="150"/>
      <c r="F693" s="150"/>
      <c r="G693" s="150"/>
      <c r="H693" s="150"/>
      <c r="R693" s="150"/>
      <c r="T693" s="150"/>
      <c r="W693" s="150"/>
    </row>
    <row r="694" spans="5:23" x14ac:dyDescent="0.3">
      <c r="E694" s="150"/>
      <c r="F694" s="150"/>
      <c r="G694" s="150"/>
      <c r="H694" s="150"/>
      <c r="R694" s="150"/>
      <c r="T694" s="150"/>
      <c r="W694" s="150"/>
    </row>
    <row r="695" spans="5:23" x14ac:dyDescent="0.3">
      <c r="E695" s="150"/>
      <c r="F695" s="150"/>
      <c r="G695" s="150"/>
      <c r="H695" s="150"/>
      <c r="R695" s="150"/>
      <c r="T695" s="150"/>
      <c r="W695" s="150"/>
    </row>
    <row r="696" spans="5:23" x14ac:dyDescent="0.3">
      <c r="E696" s="150"/>
      <c r="F696" s="150"/>
      <c r="G696" s="150"/>
      <c r="H696" s="150"/>
      <c r="R696" s="150"/>
      <c r="T696" s="150"/>
      <c r="W696" s="150"/>
    </row>
    <row r="697" spans="5:23" x14ac:dyDescent="0.3">
      <c r="E697" s="150"/>
      <c r="F697" s="150"/>
      <c r="G697" s="150"/>
      <c r="H697" s="150"/>
      <c r="R697" s="150"/>
      <c r="T697" s="150"/>
      <c r="W697" s="150"/>
    </row>
    <row r="698" spans="5:23" x14ac:dyDescent="0.3">
      <c r="E698" s="150"/>
      <c r="F698" s="150"/>
      <c r="G698" s="150"/>
      <c r="H698" s="150"/>
      <c r="R698" s="150"/>
      <c r="T698" s="150"/>
      <c r="W698" s="150"/>
    </row>
    <row r="699" spans="5:23" x14ac:dyDescent="0.3">
      <c r="E699" s="150"/>
      <c r="F699" s="150"/>
      <c r="G699" s="150"/>
      <c r="H699" s="150"/>
      <c r="R699" s="150"/>
      <c r="T699" s="150"/>
      <c r="W699" s="150"/>
    </row>
    <row r="700" spans="5:23" x14ac:dyDescent="0.3">
      <c r="E700" s="150"/>
      <c r="F700" s="150"/>
      <c r="G700" s="150"/>
      <c r="H700" s="150"/>
      <c r="R700" s="150"/>
      <c r="T700" s="150"/>
      <c r="W700" s="150"/>
    </row>
    <row r="701" spans="5:23" x14ac:dyDescent="0.3">
      <c r="E701" s="150"/>
      <c r="F701" s="150"/>
      <c r="G701" s="150"/>
      <c r="H701" s="150"/>
      <c r="R701" s="150"/>
      <c r="T701" s="150"/>
      <c r="W701" s="150"/>
    </row>
    <row r="702" spans="5:23" x14ac:dyDescent="0.3">
      <c r="E702" s="150"/>
      <c r="F702" s="150"/>
      <c r="G702" s="150"/>
      <c r="H702" s="150"/>
      <c r="R702" s="150"/>
      <c r="T702" s="150"/>
      <c r="W702" s="150"/>
    </row>
    <row r="703" spans="5:23" x14ac:dyDescent="0.3">
      <c r="E703" s="150"/>
      <c r="F703" s="150"/>
      <c r="G703" s="150"/>
      <c r="H703" s="150"/>
      <c r="R703" s="150"/>
      <c r="T703" s="150"/>
      <c r="W703" s="150"/>
    </row>
    <row r="704" spans="5:23" x14ac:dyDescent="0.3">
      <c r="E704" s="150"/>
      <c r="F704" s="150"/>
      <c r="G704" s="150"/>
      <c r="H704" s="150"/>
      <c r="R704" s="150"/>
      <c r="T704" s="150"/>
      <c r="W704" s="150"/>
    </row>
    <row r="705" spans="5:23" x14ac:dyDescent="0.3">
      <c r="E705" s="150"/>
      <c r="F705" s="150"/>
      <c r="G705" s="150"/>
      <c r="H705" s="150"/>
      <c r="R705" s="150"/>
      <c r="T705" s="150"/>
      <c r="W705" s="150"/>
    </row>
    <row r="706" spans="5:23" x14ac:dyDescent="0.3">
      <c r="E706" s="150"/>
      <c r="F706" s="150"/>
      <c r="G706" s="150"/>
      <c r="H706" s="150"/>
      <c r="R706" s="150"/>
      <c r="T706" s="150"/>
      <c r="W706" s="150"/>
    </row>
    <row r="707" spans="5:23" x14ac:dyDescent="0.3">
      <c r="E707" s="150"/>
      <c r="F707" s="150"/>
      <c r="G707" s="150"/>
      <c r="H707" s="150"/>
      <c r="R707" s="150"/>
      <c r="T707" s="150"/>
      <c r="W707" s="150"/>
    </row>
    <row r="708" spans="5:23" x14ac:dyDescent="0.3">
      <c r="E708" s="150"/>
      <c r="F708" s="150"/>
      <c r="G708" s="150"/>
      <c r="H708" s="150"/>
      <c r="R708" s="150"/>
      <c r="T708" s="150"/>
      <c r="W708" s="150"/>
    </row>
    <row r="709" spans="5:23" x14ac:dyDescent="0.3">
      <c r="E709" s="150"/>
      <c r="F709" s="150"/>
      <c r="G709" s="150"/>
      <c r="H709" s="150"/>
      <c r="R709" s="150"/>
      <c r="T709" s="150"/>
      <c r="W709" s="150"/>
    </row>
    <row r="710" spans="5:23" x14ac:dyDescent="0.3">
      <c r="E710" s="150"/>
      <c r="F710" s="150"/>
      <c r="G710" s="150"/>
      <c r="H710" s="150"/>
      <c r="R710" s="150"/>
      <c r="T710" s="150"/>
      <c r="W710" s="150"/>
    </row>
    <row r="711" spans="5:23" x14ac:dyDescent="0.3">
      <c r="E711" s="150"/>
      <c r="F711" s="150"/>
      <c r="G711" s="150"/>
      <c r="H711" s="150"/>
      <c r="R711" s="150"/>
      <c r="T711" s="150"/>
      <c r="W711" s="150"/>
    </row>
    <row r="712" spans="5:23" x14ac:dyDescent="0.3">
      <c r="E712" s="150"/>
      <c r="F712" s="150"/>
      <c r="G712" s="150"/>
      <c r="H712" s="150"/>
      <c r="R712" s="150"/>
      <c r="T712" s="150"/>
      <c r="W712" s="150"/>
    </row>
    <row r="713" spans="5:23" x14ac:dyDescent="0.3">
      <c r="E713" s="150"/>
      <c r="F713" s="150"/>
      <c r="G713" s="150"/>
      <c r="H713" s="150"/>
      <c r="R713" s="150"/>
      <c r="T713" s="150"/>
      <c r="W713" s="150"/>
    </row>
    <row r="714" spans="5:23" x14ac:dyDescent="0.3">
      <c r="E714" s="150"/>
      <c r="F714" s="150"/>
      <c r="G714" s="150"/>
      <c r="H714" s="150"/>
      <c r="R714" s="150"/>
      <c r="T714" s="150"/>
      <c r="W714" s="150"/>
    </row>
    <row r="715" spans="5:23" x14ac:dyDescent="0.3">
      <c r="E715" s="150"/>
      <c r="F715" s="150"/>
      <c r="G715" s="150"/>
      <c r="H715" s="150"/>
      <c r="R715" s="150"/>
      <c r="T715" s="150"/>
      <c r="W715" s="150"/>
    </row>
    <row r="716" spans="5:23" x14ac:dyDescent="0.3">
      <c r="E716" s="150"/>
      <c r="F716" s="150"/>
      <c r="G716" s="150"/>
      <c r="H716" s="150"/>
      <c r="R716" s="150"/>
      <c r="T716" s="150"/>
      <c r="W716" s="150"/>
    </row>
    <row r="717" spans="5:23" x14ac:dyDescent="0.3">
      <c r="E717" s="150"/>
      <c r="F717" s="150"/>
      <c r="G717" s="150"/>
      <c r="H717" s="150"/>
      <c r="R717" s="150"/>
      <c r="T717" s="150"/>
      <c r="W717" s="150"/>
    </row>
    <row r="718" spans="5:23" x14ac:dyDescent="0.3">
      <c r="E718" s="150"/>
      <c r="F718" s="150"/>
      <c r="G718" s="150"/>
      <c r="H718" s="150"/>
      <c r="R718" s="150"/>
      <c r="T718" s="150"/>
      <c r="W718" s="150"/>
    </row>
    <row r="719" spans="5:23" x14ac:dyDescent="0.3">
      <c r="E719" s="150"/>
      <c r="F719" s="150"/>
      <c r="G719" s="150"/>
      <c r="H719" s="150"/>
      <c r="R719" s="150"/>
      <c r="T719" s="150"/>
      <c r="W719" s="150"/>
    </row>
    <row r="720" spans="5:23" x14ac:dyDescent="0.3">
      <c r="E720" s="150"/>
      <c r="F720" s="150"/>
      <c r="G720" s="150"/>
      <c r="H720" s="150"/>
      <c r="R720" s="150"/>
      <c r="T720" s="150"/>
      <c r="W720" s="150"/>
    </row>
    <row r="721" spans="5:23" x14ac:dyDescent="0.3">
      <c r="E721" s="150"/>
      <c r="F721" s="150"/>
      <c r="G721" s="150"/>
      <c r="H721" s="150"/>
      <c r="R721" s="150"/>
      <c r="T721" s="150"/>
      <c r="W721" s="150"/>
    </row>
    <row r="722" spans="5:23" x14ac:dyDescent="0.3">
      <c r="E722" s="150"/>
      <c r="F722" s="150"/>
      <c r="G722" s="150"/>
      <c r="H722" s="150"/>
      <c r="R722" s="150"/>
      <c r="T722" s="150"/>
      <c r="W722" s="150"/>
    </row>
    <row r="723" spans="5:23" x14ac:dyDescent="0.3">
      <c r="E723" s="150"/>
      <c r="F723" s="150"/>
      <c r="G723" s="150"/>
      <c r="H723" s="150"/>
      <c r="R723" s="150"/>
      <c r="T723" s="150"/>
      <c r="W723" s="150"/>
    </row>
    <row r="724" spans="5:23" x14ac:dyDescent="0.3">
      <c r="E724" s="150"/>
      <c r="F724" s="150"/>
      <c r="G724" s="150"/>
      <c r="H724" s="150"/>
      <c r="R724" s="150"/>
      <c r="T724" s="150"/>
      <c r="W724" s="150"/>
    </row>
    <row r="725" spans="5:23" x14ac:dyDescent="0.3">
      <c r="E725" s="150"/>
      <c r="F725" s="150"/>
      <c r="G725" s="150"/>
      <c r="H725" s="150"/>
      <c r="R725" s="150"/>
      <c r="T725" s="150"/>
      <c r="W725" s="150"/>
    </row>
    <row r="726" spans="5:23" x14ac:dyDescent="0.3">
      <c r="E726" s="150"/>
      <c r="F726" s="150"/>
      <c r="G726" s="150"/>
      <c r="H726" s="150"/>
      <c r="R726" s="150"/>
      <c r="T726" s="150"/>
      <c r="W726" s="150"/>
    </row>
    <row r="727" spans="5:23" x14ac:dyDescent="0.3">
      <c r="E727" s="150"/>
      <c r="F727" s="150"/>
      <c r="G727" s="150"/>
      <c r="H727" s="150"/>
      <c r="R727" s="150"/>
      <c r="T727" s="150"/>
      <c r="W727" s="150"/>
    </row>
    <row r="728" spans="5:23" x14ac:dyDescent="0.3">
      <c r="E728" s="150"/>
      <c r="F728" s="150"/>
      <c r="G728" s="150"/>
      <c r="H728" s="150"/>
      <c r="R728" s="150"/>
      <c r="T728" s="150"/>
      <c r="W728" s="150"/>
    </row>
    <row r="729" spans="5:23" x14ac:dyDescent="0.3">
      <c r="E729" s="150"/>
      <c r="F729" s="150"/>
      <c r="G729" s="150"/>
      <c r="H729" s="150"/>
      <c r="R729" s="150"/>
      <c r="T729" s="150"/>
      <c r="W729" s="150"/>
    </row>
    <row r="730" spans="5:23" x14ac:dyDescent="0.3">
      <c r="E730" s="150"/>
      <c r="F730" s="150"/>
      <c r="G730" s="150"/>
      <c r="H730" s="150"/>
      <c r="R730" s="150"/>
      <c r="T730" s="150"/>
      <c r="W730" s="150"/>
    </row>
    <row r="731" spans="5:23" x14ac:dyDescent="0.3">
      <c r="E731" s="150"/>
      <c r="F731" s="150"/>
      <c r="G731" s="150"/>
      <c r="H731" s="150"/>
      <c r="R731" s="150"/>
      <c r="T731" s="150"/>
      <c r="W731" s="150"/>
    </row>
    <row r="732" spans="5:23" x14ac:dyDescent="0.3">
      <c r="E732" s="150"/>
      <c r="F732" s="150"/>
      <c r="G732" s="150"/>
      <c r="H732" s="150"/>
      <c r="R732" s="150"/>
      <c r="T732" s="150"/>
      <c r="W732" s="150"/>
    </row>
    <row r="733" spans="5:23" x14ac:dyDescent="0.3">
      <c r="E733" s="150"/>
      <c r="F733" s="150"/>
      <c r="G733" s="150"/>
      <c r="H733" s="150"/>
      <c r="R733" s="150"/>
      <c r="T733" s="150"/>
      <c r="W733" s="150"/>
    </row>
    <row r="734" spans="5:23" x14ac:dyDescent="0.3">
      <c r="E734" s="150"/>
      <c r="F734" s="150"/>
      <c r="G734" s="150"/>
      <c r="H734" s="150"/>
      <c r="R734" s="150"/>
      <c r="T734" s="150"/>
      <c r="W734" s="150"/>
    </row>
    <row r="735" spans="5:23" x14ac:dyDescent="0.3">
      <c r="E735" s="150"/>
      <c r="F735" s="150"/>
      <c r="G735" s="150"/>
      <c r="H735" s="150"/>
      <c r="R735" s="150"/>
      <c r="T735" s="150"/>
      <c r="W735" s="150"/>
    </row>
    <row r="736" spans="5:23" x14ac:dyDescent="0.3">
      <c r="E736" s="150"/>
      <c r="F736" s="150"/>
      <c r="G736" s="150"/>
      <c r="H736" s="150"/>
      <c r="R736" s="150"/>
      <c r="T736" s="150"/>
      <c r="W736" s="150"/>
    </row>
    <row r="737" spans="5:23" x14ac:dyDescent="0.3">
      <c r="E737" s="150"/>
      <c r="F737" s="150"/>
      <c r="G737" s="150"/>
      <c r="H737" s="150"/>
      <c r="R737" s="150"/>
      <c r="T737" s="150"/>
      <c r="W737" s="150"/>
    </row>
    <row r="738" spans="5:23" x14ac:dyDescent="0.3">
      <c r="E738" s="150"/>
      <c r="F738" s="150"/>
      <c r="G738" s="150"/>
      <c r="H738" s="150"/>
      <c r="R738" s="150"/>
      <c r="T738" s="150"/>
      <c r="W738" s="150"/>
    </row>
    <row r="739" spans="5:23" x14ac:dyDescent="0.3">
      <c r="E739" s="150"/>
      <c r="F739" s="150"/>
      <c r="G739" s="150"/>
      <c r="H739" s="150"/>
      <c r="R739" s="150"/>
      <c r="T739" s="150"/>
      <c r="W739" s="150"/>
    </row>
    <row r="740" spans="5:23" x14ac:dyDescent="0.3">
      <c r="E740" s="150"/>
      <c r="F740" s="150"/>
      <c r="G740" s="150"/>
      <c r="H740" s="150"/>
      <c r="R740" s="150"/>
      <c r="T740" s="150"/>
      <c r="W740" s="150"/>
    </row>
    <row r="741" spans="5:23" x14ac:dyDescent="0.3">
      <c r="E741" s="150"/>
      <c r="F741" s="150"/>
      <c r="G741" s="150"/>
      <c r="H741" s="150"/>
      <c r="R741" s="150"/>
      <c r="T741" s="150"/>
      <c r="W741" s="150"/>
    </row>
    <row r="742" spans="5:23" x14ac:dyDescent="0.3">
      <c r="E742" s="150"/>
      <c r="F742" s="150"/>
      <c r="G742" s="150"/>
      <c r="H742" s="150"/>
      <c r="R742" s="150"/>
      <c r="T742" s="150"/>
      <c r="W742" s="150"/>
    </row>
    <row r="743" spans="5:23" x14ac:dyDescent="0.3">
      <c r="E743" s="150"/>
      <c r="F743" s="150"/>
      <c r="G743" s="150"/>
      <c r="H743" s="150"/>
      <c r="R743" s="150"/>
      <c r="T743" s="150"/>
      <c r="W743" s="150"/>
    </row>
    <row r="744" spans="5:23" x14ac:dyDescent="0.3">
      <c r="E744" s="150"/>
      <c r="F744" s="150"/>
      <c r="G744" s="150"/>
      <c r="H744" s="150"/>
      <c r="R744" s="150"/>
      <c r="T744" s="150"/>
      <c r="W744" s="150"/>
    </row>
    <row r="745" spans="5:23" x14ac:dyDescent="0.3">
      <c r="E745" s="150"/>
      <c r="F745" s="150"/>
      <c r="G745" s="150"/>
      <c r="H745" s="150"/>
      <c r="R745" s="150"/>
      <c r="T745" s="150"/>
      <c r="W745" s="150"/>
    </row>
    <row r="746" spans="5:23" x14ac:dyDescent="0.3">
      <c r="E746" s="150"/>
      <c r="F746" s="150"/>
      <c r="G746" s="150"/>
      <c r="H746" s="150"/>
      <c r="R746" s="150"/>
      <c r="T746" s="150"/>
      <c r="W746" s="150"/>
    </row>
    <row r="747" spans="5:23" x14ac:dyDescent="0.3">
      <c r="E747" s="150"/>
      <c r="F747" s="150"/>
      <c r="G747" s="150"/>
      <c r="H747" s="150"/>
      <c r="R747" s="150"/>
      <c r="T747" s="150"/>
      <c r="W747" s="150"/>
    </row>
    <row r="748" spans="5:23" x14ac:dyDescent="0.3">
      <c r="E748" s="150"/>
      <c r="F748" s="150"/>
      <c r="G748" s="150"/>
      <c r="H748" s="150"/>
      <c r="R748" s="150"/>
      <c r="T748" s="150"/>
      <c r="W748" s="150"/>
    </row>
    <row r="749" spans="5:23" x14ac:dyDescent="0.3">
      <c r="E749" s="150"/>
      <c r="F749" s="150"/>
      <c r="G749" s="150"/>
      <c r="H749" s="150"/>
      <c r="R749" s="150"/>
      <c r="T749" s="150"/>
      <c r="W749" s="150"/>
    </row>
    <row r="750" spans="5:23" x14ac:dyDescent="0.3">
      <c r="E750" s="150"/>
      <c r="F750" s="150"/>
      <c r="G750" s="150"/>
      <c r="H750" s="150"/>
      <c r="R750" s="150"/>
      <c r="T750" s="150"/>
      <c r="W750" s="150"/>
    </row>
    <row r="751" spans="5:23" x14ac:dyDescent="0.3">
      <c r="E751" s="150"/>
      <c r="F751" s="150"/>
      <c r="G751" s="150"/>
      <c r="H751" s="150"/>
      <c r="R751" s="150"/>
      <c r="T751" s="150"/>
      <c r="W751" s="150"/>
    </row>
    <row r="752" spans="5:23" x14ac:dyDescent="0.3">
      <c r="E752" s="150"/>
      <c r="F752" s="150"/>
      <c r="G752" s="150"/>
      <c r="H752" s="150"/>
      <c r="R752" s="150"/>
      <c r="T752" s="150"/>
      <c r="W752" s="150"/>
    </row>
    <row r="753" spans="5:23" x14ac:dyDescent="0.3">
      <c r="E753" s="150"/>
      <c r="F753" s="150"/>
      <c r="G753" s="150"/>
      <c r="H753" s="150"/>
      <c r="R753" s="150"/>
      <c r="T753" s="150"/>
      <c r="W753" s="150"/>
    </row>
    <row r="754" spans="5:23" x14ac:dyDescent="0.3">
      <c r="E754" s="150"/>
      <c r="F754" s="150"/>
      <c r="G754" s="150"/>
      <c r="H754" s="150"/>
      <c r="R754" s="150"/>
      <c r="T754" s="150"/>
      <c r="W754" s="150"/>
    </row>
    <row r="755" spans="5:23" x14ac:dyDescent="0.3">
      <c r="E755" s="150"/>
      <c r="F755" s="150"/>
      <c r="G755" s="150"/>
      <c r="H755" s="150"/>
      <c r="R755" s="150"/>
      <c r="T755" s="150"/>
      <c r="W755" s="150"/>
    </row>
    <row r="756" spans="5:23" x14ac:dyDescent="0.3">
      <c r="E756" s="150"/>
      <c r="F756" s="150"/>
      <c r="G756" s="150"/>
      <c r="H756" s="150"/>
      <c r="R756" s="150"/>
      <c r="T756" s="150"/>
      <c r="W756" s="150"/>
    </row>
    <row r="757" spans="5:23" x14ac:dyDescent="0.3">
      <c r="E757" s="150"/>
      <c r="F757" s="150"/>
      <c r="G757" s="150"/>
      <c r="H757" s="150"/>
      <c r="R757" s="150"/>
      <c r="T757" s="150"/>
      <c r="W757" s="150"/>
    </row>
    <row r="758" spans="5:23" x14ac:dyDescent="0.3">
      <c r="E758" s="150"/>
      <c r="F758" s="150"/>
      <c r="G758" s="150"/>
      <c r="H758" s="150"/>
      <c r="R758" s="150"/>
      <c r="T758" s="150"/>
      <c r="W758" s="150"/>
    </row>
    <row r="759" spans="5:23" x14ac:dyDescent="0.3">
      <c r="E759" s="150"/>
      <c r="F759" s="150"/>
      <c r="G759" s="150"/>
      <c r="H759" s="150"/>
      <c r="R759" s="150"/>
      <c r="T759" s="150"/>
      <c r="W759" s="150"/>
    </row>
    <row r="760" spans="5:23" x14ac:dyDescent="0.3">
      <c r="E760" s="150"/>
      <c r="F760" s="150"/>
      <c r="G760" s="150"/>
      <c r="H760" s="150"/>
      <c r="R760" s="150"/>
      <c r="T760" s="150"/>
      <c r="W760" s="150"/>
    </row>
    <row r="761" spans="5:23" x14ac:dyDescent="0.3">
      <c r="E761" s="150"/>
      <c r="F761" s="150"/>
      <c r="G761" s="150"/>
      <c r="H761" s="150"/>
      <c r="R761" s="150"/>
      <c r="T761" s="150"/>
      <c r="W761" s="150"/>
    </row>
    <row r="762" spans="5:23" x14ac:dyDescent="0.3">
      <c r="E762" s="150"/>
      <c r="F762" s="150"/>
      <c r="G762" s="150"/>
      <c r="H762" s="150"/>
      <c r="R762" s="150"/>
      <c r="T762" s="150"/>
      <c r="W762" s="150"/>
    </row>
    <row r="763" spans="5:23" x14ac:dyDescent="0.3">
      <c r="E763" s="150"/>
      <c r="F763" s="150"/>
      <c r="G763" s="150"/>
      <c r="H763" s="150"/>
      <c r="R763" s="150"/>
      <c r="T763" s="150"/>
      <c r="W763" s="150"/>
    </row>
    <row r="764" spans="5:23" x14ac:dyDescent="0.3">
      <c r="E764" s="150"/>
      <c r="F764" s="150"/>
      <c r="G764" s="150"/>
      <c r="H764" s="150"/>
      <c r="R764" s="150"/>
      <c r="T764" s="150"/>
      <c r="W764" s="150"/>
    </row>
    <row r="765" spans="5:23" x14ac:dyDescent="0.3">
      <c r="E765" s="150"/>
      <c r="F765" s="150"/>
      <c r="G765" s="150"/>
      <c r="H765" s="150"/>
      <c r="R765" s="150"/>
      <c r="T765" s="150"/>
      <c r="W765" s="150"/>
    </row>
    <row r="766" spans="5:23" x14ac:dyDescent="0.3">
      <c r="E766" s="150"/>
      <c r="F766" s="150"/>
      <c r="G766" s="150"/>
      <c r="H766" s="150"/>
      <c r="R766" s="150"/>
      <c r="T766" s="150"/>
      <c r="W766" s="150"/>
    </row>
    <row r="767" spans="5:23" x14ac:dyDescent="0.3">
      <c r="E767" s="150"/>
      <c r="F767" s="150"/>
      <c r="G767" s="150"/>
      <c r="H767" s="150"/>
      <c r="R767" s="150"/>
      <c r="T767" s="150"/>
      <c r="W767" s="150"/>
    </row>
    <row r="768" spans="5:23" x14ac:dyDescent="0.3">
      <c r="E768" s="150"/>
      <c r="F768" s="150"/>
      <c r="G768" s="150"/>
      <c r="H768" s="150"/>
      <c r="R768" s="150"/>
      <c r="T768" s="150"/>
      <c r="W768" s="150"/>
    </row>
    <row r="769" spans="5:23" x14ac:dyDescent="0.3">
      <c r="E769" s="150"/>
      <c r="F769" s="150"/>
      <c r="G769" s="150"/>
      <c r="H769" s="150"/>
      <c r="R769" s="150"/>
      <c r="T769" s="150"/>
      <c r="W769" s="150"/>
    </row>
    <row r="770" spans="5:23" x14ac:dyDescent="0.3">
      <c r="E770" s="150"/>
      <c r="F770" s="150"/>
      <c r="G770" s="150"/>
      <c r="H770" s="150"/>
      <c r="R770" s="150"/>
      <c r="T770" s="150"/>
      <c r="W770" s="150"/>
    </row>
    <row r="771" spans="5:23" x14ac:dyDescent="0.3">
      <c r="E771" s="150"/>
      <c r="F771" s="150"/>
      <c r="G771" s="150"/>
      <c r="H771" s="150"/>
      <c r="R771" s="150"/>
      <c r="T771" s="150"/>
      <c r="W771" s="150"/>
    </row>
    <row r="772" spans="5:23" x14ac:dyDescent="0.3">
      <c r="E772" s="150"/>
      <c r="F772" s="150"/>
      <c r="G772" s="150"/>
      <c r="H772" s="150"/>
      <c r="R772" s="150"/>
      <c r="T772" s="150"/>
      <c r="W772" s="150"/>
    </row>
    <row r="773" spans="5:23" x14ac:dyDescent="0.3">
      <c r="E773" s="150"/>
      <c r="F773" s="150"/>
      <c r="G773" s="150"/>
      <c r="H773" s="150"/>
      <c r="R773" s="150"/>
      <c r="T773" s="150"/>
      <c r="W773" s="150"/>
    </row>
    <row r="774" spans="5:23" x14ac:dyDescent="0.3">
      <c r="E774" s="150"/>
      <c r="F774" s="150"/>
      <c r="G774" s="150"/>
      <c r="H774" s="150"/>
      <c r="R774" s="150"/>
      <c r="T774" s="150"/>
      <c r="W774" s="150"/>
    </row>
    <row r="775" spans="5:23" x14ac:dyDescent="0.3">
      <c r="E775" s="150"/>
      <c r="F775" s="150"/>
      <c r="G775" s="150"/>
      <c r="H775" s="150"/>
      <c r="R775" s="150"/>
      <c r="T775" s="150"/>
      <c r="W775" s="150"/>
    </row>
    <row r="776" spans="5:23" x14ac:dyDescent="0.3">
      <c r="E776" s="150"/>
      <c r="F776" s="150"/>
      <c r="G776" s="150"/>
      <c r="H776" s="150"/>
      <c r="R776" s="150"/>
      <c r="T776" s="150"/>
      <c r="W776" s="150"/>
    </row>
    <row r="777" spans="5:23" x14ac:dyDescent="0.3">
      <c r="E777" s="150"/>
      <c r="F777" s="150"/>
      <c r="G777" s="150"/>
      <c r="H777" s="150"/>
      <c r="R777" s="150"/>
      <c r="T777" s="150"/>
      <c r="W777" s="150"/>
    </row>
    <row r="778" spans="5:23" x14ac:dyDescent="0.3">
      <c r="E778" s="150"/>
      <c r="F778" s="150"/>
      <c r="G778" s="150"/>
      <c r="H778" s="150"/>
      <c r="R778" s="150"/>
      <c r="T778" s="150"/>
      <c r="W778" s="150"/>
    </row>
    <row r="779" spans="5:23" x14ac:dyDescent="0.3">
      <c r="E779" s="150"/>
      <c r="F779" s="150"/>
      <c r="G779" s="150"/>
      <c r="H779" s="150"/>
      <c r="R779" s="150"/>
      <c r="T779" s="150"/>
      <c r="W779" s="150"/>
    </row>
    <row r="780" spans="5:23" x14ac:dyDescent="0.3">
      <c r="E780" s="150"/>
      <c r="F780" s="150"/>
      <c r="G780" s="150"/>
      <c r="H780" s="150"/>
      <c r="R780" s="150"/>
      <c r="T780" s="150"/>
      <c r="W780" s="150"/>
    </row>
    <row r="781" spans="5:23" x14ac:dyDescent="0.3">
      <c r="E781" s="150"/>
      <c r="F781" s="150"/>
      <c r="G781" s="150"/>
      <c r="H781" s="150"/>
      <c r="R781" s="150"/>
      <c r="T781" s="150"/>
      <c r="W781" s="150"/>
    </row>
    <row r="782" spans="5:23" x14ac:dyDescent="0.3">
      <c r="E782" s="150"/>
      <c r="F782" s="150"/>
      <c r="G782" s="150"/>
      <c r="H782" s="150"/>
      <c r="R782" s="150"/>
      <c r="T782" s="150"/>
      <c r="W782" s="150"/>
    </row>
    <row r="783" spans="5:23" x14ac:dyDescent="0.3">
      <c r="E783" s="150"/>
      <c r="F783" s="150"/>
      <c r="G783" s="150"/>
      <c r="H783" s="150"/>
      <c r="R783" s="150"/>
      <c r="T783" s="150"/>
      <c r="W783" s="150"/>
    </row>
    <row r="784" spans="5:23" x14ac:dyDescent="0.3">
      <c r="E784" s="150"/>
      <c r="F784" s="150"/>
      <c r="G784" s="150"/>
      <c r="H784" s="150"/>
      <c r="R784" s="150"/>
      <c r="T784" s="150"/>
      <c r="W784" s="150"/>
    </row>
    <row r="785" spans="5:23" x14ac:dyDescent="0.3">
      <c r="E785" s="150"/>
      <c r="F785" s="150"/>
      <c r="G785" s="150"/>
      <c r="H785" s="150"/>
      <c r="R785" s="150"/>
      <c r="T785" s="150"/>
      <c r="W785" s="150"/>
    </row>
    <row r="786" spans="5:23" x14ac:dyDescent="0.3">
      <c r="E786" s="150"/>
      <c r="F786" s="150"/>
      <c r="G786" s="150"/>
      <c r="H786" s="150"/>
      <c r="R786" s="150"/>
      <c r="T786" s="150"/>
      <c r="W786" s="150"/>
    </row>
    <row r="787" spans="5:23" x14ac:dyDescent="0.3">
      <c r="E787" s="150"/>
      <c r="F787" s="150"/>
      <c r="G787" s="150"/>
      <c r="H787" s="150"/>
      <c r="R787" s="150"/>
      <c r="T787" s="150"/>
      <c r="W787" s="150"/>
    </row>
    <row r="788" spans="5:23" x14ac:dyDescent="0.3">
      <c r="E788" s="150"/>
      <c r="F788" s="150"/>
      <c r="G788" s="150"/>
      <c r="H788" s="150"/>
      <c r="R788" s="150"/>
      <c r="T788" s="150"/>
      <c r="W788" s="150"/>
    </row>
    <row r="789" spans="5:23" x14ac:dyDescent="0.3">
      <c r="E789" s="150"/>
      <c r="F789" s="150"/>
      <c r="G789" s="150"/>
      <c r="H789" s="150"/>
      <c r="R789" s="150"/>
      <c r="T789" s="150"/>
      <c r="W789" s="150"/>
    </row>
    <row r="790" spans="5:23" x14ac:dyDescent="0.3">
      <c r="E790" s="150"/>
      <c r="F790" s="150"/>
      <c r="G790" s="150"/>
      <c r="H790" s="150"/>
      <c r="R790" s="150"/>
      <c r="T790" s="150"/>
      <c r="W790" s="150"/>
    </row>
    <row r="791" spans="5:23" x14ac:dyDescent="0.3">
      <c r="E791" s="150"/>
      <c r="F791" s="150"/>
      <c r="G791" s="150"/>
      <c r="H791" s="150"/>
      <c r="R791" s="150"/>
      <c r="T791" s="150"/>
      <c r="W791" s="150"/>
    </row>
    <row r="792" spans="5:23" x14ac:dyDescent="0.3">
      <c r="E792" s="150"/>
      <c r="F792" s="150"/>
      <c r="G792" s="150"/>
      <c r="H792" s="150"/>
      <c r="R792" s="150"/>
      <c r="T792" s="150"/>
      <c r="W792" s="150"/>
    </row>
    <row r="793" spans="5:23" x14ac:dyDescent="0.3">
      <c r="E793" s="150"/>
      <c r="F793" s="150"/>
      <c r="G793" s="150"/>
      <c r="H793" s="150"/>
      <c r="R793" s="150"/>
      <c r="T793" s="150"/>
      <c r="W793" s="150"/>
    </row>
    <row r="794" spans="5:23" x14ac:dyDescent="0.3">
      <c r="E794" s="150"/>
      <c r="F794" s="150"/>
      <c r="G794" s="150"/>
      <c r="H794" s="150"/>
      <c r="R794" s="150"/>
      <c r="T794" s="150"/>
      <c r="W794" s="150"/>
    </row>
    <row r="795" spans="5:23" x14ac:dyDescent="0.3">
      <c r="E795" s="150"/>
      <c r="F795" s="150"/>
      <c r="G795" s="150"/>
      <c r="H795" s="150"/>
      <c r="R795" s="150"/>
      <c r="T795" s="150"/>
      <c r="W795" s="150"/>
    </row>
    <row r="796" spans="5:23" x14ac:dyDescent="0.3">
      <c r="E796" s="150"/>
      <c r="F796" s="150"/>
      <c r="G796" s="150"/>
      <c r="H796" s="150"/>
      <c r="R796" s="150"/>
      <c r="T796" s="150"/>
      <c r="W796" s="150"/>
    </row>
    <row r="797" spans="5:23" x14ac:dyDescent="0.3">
      <c r="E797" s="150"/>
      <c r="F797" s="150"/>
      <c r="G797" s="150"/>
      <c r="H797" s="150"/>
      <c r="R797" s="150"/>
      <c r="T797" s="150"/>
      <c r="W797" s="150"/>
    </row>
    <row r="798" spans="5:23" x14ac:dyDescent="0.3">
      <c r="E798" s="150"/>
      <c r="F798" s="150"/>
      <c r="G798" s="150"/>
      <c r="H798" s="150"/>
      <c r="R798" s="150"/>
      <c r="T798" s="150"/>
      <c r="W798" s="150"/>
    </row>
    <row r="799" spans="5:23" x14ac:dyDescent="0.3">
      <c r="E799" s="150"/>
      <c r="F799" s="150"/>
      <c r="G799" s="150"/>
      <c r="H799" s="150"/>
      <c r="R799" s="150"/>
      <c r="T799" s="150"/>
      <c r="W799" s="150"/>
    </row>
    <row r="800" spans="5:23" x14ac:dyDescent="0.3">
      <c r="E800" s="150"/>
      <c r="F800" s="150"/>
      <c r="G800" s="150"/>
      <c r="H800" s="150"/>
      <c r="R800" s="150"/>
      <c r="T800" s="150"/>
      <c r="W800" s="150"/>
    </row>
    <row r="801" spans="5:23" x14ac:dyDescent="0.3">
      <c r="E801" s="150"/>
      <c r="F801" s="150"/>
      <c r="G801" s="150"/>
      <c r="H801" s="150"/>
      <c r="R801" s="150"/>
      <c r="T801" s="150"/>
      <c r="W801" s="150"/>
    </row>
    <row r="802" spans="5:23" x14ac:dyDescent="0.3">
      <c r="E802" s="150"/>
      <c r="F802" s="150"/>
      <c r="G802" s="150"/>
      <c r="H802" s="150"/>
      <c r="R802" s="150"/>
      <c r="T802" s="150"/>
      <c r="W802" s="150"/>
    </row>
    <row r="803" spans="5:23" x14ac:dyDescent="0.3">
      <c r="E803" s="150"/>
      <c r="F803" s="150"/>
      <c r="G803" s="150"/>
      <c r="H803" s="150"/>
      <c r="R803" s="150"/>
      <c r="T803" s="150"/>
      <c r="W803" s="150"/>
    </row>
    <row r="804" spans="5:23" x14ac:dyDescent="0.3">
      <c r="E804" s="150"/>
      <c r="F804" s="150"/>
      <c r="G804" s="150"/>
      <c r="H804" s="150"/>
      <c r="R804" s="150"/>
      <c r="T804" s="150"/>
      <c r="W804" s="150"/>
    </row>
    <row r="805" spans="5:23" x14ac:dyDescent="0.3">
      <c r="E805" s="150"/>
      <c r="F805" s="150"/>
      <c r="G805" s="150"/>
      <c r="H805" s="150"/>
      <c r="R805" s="150"/>
      <c r="T805" s="150"/>
      <c r="W805" s="150"/>
    </row>
    <row r="806" spans="5:23" x14ac:dyDescent="0.3">
      <c r="E806" s="150"/>
      <c r="F806" s="150"/>
      <c r="G806" s="150"/>
      <c r="H806" s="150"/>
      <c r="R806" s="150"/>
      <c r="T806" s="150"/>
      <c r="W806" s="150"/>
    </row>
    <row r="807" spans="5:23" x14ac:dyDescent="0.3">
      <c r="E807" s="150"/>
      <c r="F807" s="150"/>
      <c r="G807" s="150"/>
      <c r="H807" s="150"/>
      <c r="R807" s="150"/>
      <c r="T807" s="150"/>
      <c r="W807" s="150"/>
    </row>
    <row r="808" spans="5:23" x14ac:dyDescent="0.3">
      <c r="E808" s="150"/>
      <c r="F808" s="150"/>
      <c r="G808" s="150"/>
      <c r="H808" s="150"/>
      <c r="R808" s="150"/>
      <c r="T808" s="150"/>
      <c r="W808" s="150"/>
    </row>
    <row r="809" spans="5:23" x14ac:dyDescent="0.3">
      <c r="E809" s="150"/>
      <c r="F809" s="150"/>
      <c r="G809" s="150"/>
      <c r="H809" s="150"/>
      <c r="R809" s="150"/>
      <c r="T809" s="150"/>
      <c r="W809" s="150"/>
    </row>
    <row r="810" spans="5:23" x14ac:dyDescent="0.3">
      <c r="E810" s="150"/>
      <c r="F810" s="150"/>
      <c r="G810" s="150"/>
      <c r="H810" s="150"/>
      <c r="R810" s="150"/>
      <c r="T810" s="150"/>
      <c r="W810" s="150"/>
    </row>
    <row r="811" spans="5:23" x14ac:dyDescent="0.3">
      <c r="E811" s="150"/>
      <c r="F811" s="150"/>
      <c r="G811" s="150"/>
      <c r="H811" s="150"/>
      <c r="R811" s="150"/>
      <c r="T811" s="150"/>
      <c r="W811" s="150"/>
    </row>
    <row r="812" spans="5:23" x14ac:dyDescent="0.3">
      <c r="E812" s="150"/>
      <c r="F812" s="150"/>
      <c r="G812" s="150"/>
      <c r="H812" s="150"/>
      <c r="R812" s="150"/>
      <c r="T812" s="150"/>
      <c r="W812" s="150"/>
    </row>
    <row r="813" spans="5:23" x14ac:dyDescent="0.3">
      <c r="E813" s="150"/>
      <c r="F813" s="150"/>
      <c r="G813" s="150"/>
      <c r="H813" s="150"/>
      <c r="R813" s="150"/>
      <c r="T813" s="150"/>
      <c r="W813" s="150"/>
    </row>
    <row r="814" spans="5:23" x14ac:dyDescent="0.3">
      <c r="E814" s="150"/>
      <c r="F814" s="150"/>
      <c r="G814" s="150"/>
      <c r="H814" s="150"/>
      <c r="R814" s="150"/>
      <c r="T814" s="150"/>
      <c r="W814" s="150"/>
    </row>
    <row r="815" spans="5:23" x14ac:dyDescent="0.3">
      <c r="E815" s="150"/>
      <c r="F815" s="150"/>
      <c r="G815" s="150"/>
      <c r="H815" s="150"/>
      <c r="R815" s="150"/>
      <c r="T815" s="150"/>
      <c r="W815" s="150"/>
    </row>
    <row r="816" spans="5:23" x14ac:dyDescent="0.3">
      <c r="E816" s="150"/>
      <c r="F816" s="150"/>
      <c r="G816" s="150"/>
      <c r="H816" s="150"/>
      <c r="R816" s="150"/>
      <c r="T816" s="150"/>
      <c r="W816" s="150"/>
    </row>
    <row r="817" spans="5:23" x14ac:dyDescent="0.3">
      <c r="E817" s="150"/>
      <c r="F817" s="150"/>
      <c r="G817" s="150"/>
      <c r="H817" s="150"/>
      <c r="R817" s="150"/>
      <c r="T817" s="150"/>
      <c r="W817" s="150"/>
    </row>
    <row r="818" spans="5:23" x14ac:dyDescent="0.3">
      <c r="E818" s="150"/>
      <c r="F818" s="150"/>
      <c r="G818" s="150"/>
      <c r="H818" s="150"/>
      <c r="R818" s="150"/>
      <c r="T818" s="150"/>
      <c r="W818" s="150"/>
    </row>
    <row r="819" spans="5:23" x14ac:dyDescent="0.3">
      <c r="E819" s="150"/>
      <c r="F819" s="150"/>
      <c r="G819" s="150"/>
      <c r="H819" s="150"/>
      <c r="R819" s="150"/>
      <c r="T819" s="150"/>
      <c r="W819" s="150"/>
    </row>
    <row r="820" spans="5:23" x14ac:dyDescent="0.3">
      <c r="E820" s="150"/>
      <c r="F820" s="150"/>
      <c r="G820" s="150"/>
      <c r="H820" s="150"/>
      <c r="R820" s="150"/>
      <c r="T820" s="150"/>
      <c r="W820" s="150"/>
    </row>
    <row r="821" spans="5:23" x14ac:dyDescent="0.3">
      <c r="E821" s="150"/>
      <c r="F821" s="150"/>
      <c r="G821" s="150"/>
      <c r="H821" s="150"/>
      <c r="R821" s="150"/>
      <c r="T821" s="150"/>
      <c r="W821" s="150"/>
    </row>
    <row r="822" spans="5:23" x14ac:dyDescent="0.3">
      <c r="E822" s="150"/>
      <c r="F822" s="150"/>
      <c r="G822" s="150"/>
      <c r="H822" s="150"/>
      <c r="R822" s="150"/>
      <c r="T822" s="150"/>
      <c r="W822" s="150"/>
    </row>
    <row r="823" spans="5:23" x14ac:dyDescent="0.3">
      <c r="E823" s="150"/>
      <c r="F823" s="150"/>
      <c r="G823" s="150"/>
      <c r="H823" s="150"/>
      <c r="R823" s="150"/>
      <c r="T823" s="150"/>
      <c r="W823" s="150"/>
    </row>
    <row r="824" spans="5:23" x14ac:dyDescent="0.3">
      <c r="E824" s="150"/>
      <c r="F824" s="150"/>
      <c r="G824" s="150"/>
      <c r="H824" s="150"/>
      <c r="R824" s="150"/>
      <c r="T824" s="150"/>
      <c r="W824" s="150"/>
    </row>
    <row r="825" spans="5:23" x14ac:dyDescent="0.3">
      <c r="E825" s="150"/>
      <c r="F825" s="150"/>
      <c r="G825" s="150"/>
      <c r="H825" s="150"/>
      <c r="R825" s="150"/>
      <c r="T825" s="150"/>
      <c r="W825" s="150"/>
    </row>
    <row r="826" spans="5:23" x14ac:dyDescent="0.3">
      <c r="E826" s="150"/>
      <c r="F826" s="150"/>
      <c r="G826" s="150"/>
      <c r="H826" s="150"/>
      <c r="R826" s="150"/>
      <c r="T826" s="150"/>
      <c r="W826" s="150"/>
    </row>
    <row r="827" spans="5:23" x14ac:dyDescent="0.3">
      <c r="E827" s="150"/>
      <c r="F827" s="150"/>
      <c r="G827" s="150"/>
      <c r="H827" s="150"/>
      <c r="R827" s="150"/>
      <c r="T827" s="150"/>
      <c r="W827" s="150"/>
    </row>
    <row r="828" spans="5:23" x14ac:dyDescent="0.3">
      <c r="E828" s="150"/>
      <c r="F828" s="150"/>
      <c r="G828" s="150"/>
      <c r="H828" s="150"/>
      <c r="R828" s="150"/>
      <c r="T828" s="150"/>
      <c r="W828" s="150"/>
    </row>
    <row r="829" spans="5:23" x14ac:dyDescent="0.3">
      <c r="E829" s="150"/>
      <c r="F829" s="150"/>
      <c r="G829" s="150"/>
      <c r="H829" s="150"/>
      <c r="R829" s="150"/>
      <c r="T829" s="150"/>
      <c r="W829" s="150"/>
    </row>
    <row r="830" spans="5:23" x14ac:dyDescent="0.3">
      <c r="E830" s="150"/>
      <c r="F830" s="150"/>
      <c r="G830" s="150"/>
      <c r="H830" s="150"/>
      <c r="R830" s="150"/>
      <c r="T830" s="150"/>
      <c r="W830" s="150"/>
    </row>
    <row r="831" spans="5:23" x14ac:dyDescent="0.3">
      <c r="E831" s="150"/>
      <c r="F831" s="150"/>
      <c r="G831" s="150"/>
      <c r="H831" s="150"/>
      <c r="R831" s="150"/>
      <c r="T831" s="150"/>
      <c r="W831" s="150"/>
    </row>
    <row r="832" spans="5:23" x14ac:dyDescent="0.3">
      <c r="E832" s="150"/>
      <c r="F832" s="150"/>
      <c r="G832" s="150"/>
      <c r="H832" s="150"/>
      <c r="R832" s="150"/>
      <c r="T832" s="150"/>
      <c r="W832" s="150"/>
    </row>
    <row r="833" spans="5:23" x14ac:dyDescent="0.3">
      <c r="E833" s="150"/>
      <c r="F833" s="150"/>
      <c r="G833" s="150"/>
      <c r="H833" s="150"/>
      <c r="R833" s="150"/>
      <c r="T833" s="150"/>
      <c r="W833" s="150"/>
    </row>
    <row r="834" spans="5:23" x14ac:dyDescent="0.3">
      <c r="E834" s="150"/>
      <c r="F834" s="150"/>
      <c r="G834" s="150"/>
      <c r="H834" s="150"/>
      <c r="R834" s="150"/>
      <c r="T834" s="150"/>
      <c r="W834" s="150"/>
    </row>
    <row r="835" spans="5:23" x14ac:dyDescent="0.3">
      <c r="E835" s="150"/>
      <c r="F835" s="150"/>
      <c r="G835" s="150"/>
      <c r="H835" s="150"/>
      <c r="R835" s="150"/>
      <c r="T835" s="150"/>
      <c r="W835" s="150"/>
    </row>
    <row r="836" spans="5:23" x14ac:dyDescent="0.3">
      <c r="E836" s="150"/>
      <c r="F836" s="150"/>
      <c r="G836" s="150"/>
      <c r="H836" s="150"/>
      <c r="R836" s="150"/>
      <c r="T836" s="150"/>
      <c r="W836" s="150"/>
    </row>
    <row r="837" spans="5:23" x14ac:dyDescent="0.3">
      <c r="E837" s="150"/>
      <c r="F837" s="150"/>
      <c r="G837" s="150"/>
      <c r="H837" s="150"/>
      <c r="R837" s="150"/>
      <c r="T837" s="150"/>
      <c r="W837" s="150"/>
    </row>
    <row r="838" spans="5:23" x14ac:dyDescent="0.3">
      <c r="E838" s="150"/>
      <c r="F838" s="150"/>
      <c r="G838" s="150"/>
      <c r="H838" s="150"/>
      <c r="R838" s="150"/>
      <c r="T838" s="150"/>
      <c r="W838" s="150"/>
    </row>
    <row r="839" spans="5:23" x14ac:dyDescent="0.3">
      <c r="E839" s="150"/>
      <c r="F839" s="150"/>
      <c r="G839" s="150"/>
      <c r="H839" s="150"/>
      <c r="R839" s="150"/>
      <c r="T839" s="150"/>
      <c r="W839" s="150"/>
    </row>
    <row r="840" spans="5:23" x14ac:dyDescent="0.3">
      <c r="E840" s="150"/>
      <c r="F840" s="150"/>
      <c r="G840" s="150"/>
      <c r="H840" s="150"/>
      <c r="R840" s="150"/>
      <c r="T840" s="150"/>
      <c r="W840" s="150"/>
    </row>
    <row r="841" spans="5:23" x14ac:dyDescent="0.3">
      <c r="E841" s="150"/>
      <c r="F841" s="150"/>
      <c r="G841" s="150"/>
      <c r="H841" s="150"/>
      <c r="R841" s="150"/>
      <c r="T841" s="150"/>
      <c r="W841" s="150"/>
    </row>
    <row r="842" spans="5:23" x14ac:dyDescent="0.3">
      <c r="E842" s="150"/>
      <c r="F842" s="150"/>
      <c r="G842" s="150"/>
      <c r="H842" s="150"/>
      <c r="R842" s="150"/>
      <c r="T842" s="150"/>
      <c r="W842" s="150"/>
    </row>
    <row r="843" spans="5:23" x14ac:dyDescent="0.3">
      <c r="E843" s="150"/>
      <c r="F843" s="150"/>
      <c r="G843" s="150"/>
      <c r="H843" s="150"/>
      <c r="R843" s="150"/>
      <c r="T843" s="150"/>
      <c r="W843" s="150"/>
    </row>
    <row r="844" spans="5:23" x14ac:dyDescent="0.3">
      <c r="E844" s="150"/>
      <c r="F844" s="150"/>
      <c r="G844" s="150"/>
      <c r="H844" s="150"/>
      <c r="R844" s="150"/>
      <c r="T844" s="150"/>
      <c r="W844" s="150"/>
    </row>
    <row r="845" spans="5:23" x14ac:dyDescent="0.3">
      <c r="E845" s="150"/>
      <c r="F845" s="150"/>
      <c r="G845" s="150"/>
      <c r="H845" s="150"/>
      <c r="R845" s="150"/>
      <c r="T845" s="150"/>
      <c r="W845" s="150"/>
    </row>
    <row r="846" spans="5:23" x14ac:dyDescent="0.3">
      <c r="E846" s="150"/>
      <c r="F846" s="150"/>
      <c r="G846" s="150"/>
      <c r="H846" s="150"/>
      <c r="R846" s="150"/>
      <c r="T846" s="150"/>
      <c r="W846" s="150"/>
    </row>
    <row r="847" spans="5:23" x14ac:dyDescent="0.3">
      <c r="E847" s="150"/>
      <c r="F847" s="150"/>
      <c r="G847" s="150"/>
      <c r="H847" s="150"/>
      <c r="R847" s="150"/>
      <c r="T847" s="150"/>
      <c r="W847" s="150"/>
    </row>
    <row r="848" spans="5:23" x14ac:dyDescent="0.3">
      <c r="E848" s="150"/>
      <c r="F848" s="150"/>
      <c r="G848" s="150"/>
      <c r="H848" s="150"/>
      <c r="R848" s="150"/>
      <c r="T848" s="150"/>
      <c r="W848" s="150"/>
    </row>
    <row r="849" spans="5:23" x14ac:dyDescent="0.3">
      <c r="E849" s="150"/>
      <c r="F849" s="150"/>
      <c r="G849" s="150"/>
      <c r="H849" s="150"/>
      <c r="R849" s="150"/>
      <c r="T849" s="150"/>
      <c r="W849" s="150"/>
    </row>
    <row r="850" spans="5:23" x14ac:dyDescent="0.3">
      <c r="E850" s="150"/>
      <c r="F850" s="150"/>
      <c r="G850" s="150"/>
      <c r="H850" s="150"/>
      <c r="R850" s="150"/>
      <c r="T850" s="150"/>
      <c r="W850" s="150"/>
    </row>
    <row r="851" spans="5:23" x14ac:dyDescent="0.3">
      <c r="E851" s="150"/>
      <c r="F851" s="150"/>
      <c r="G851" s="150"/>
      <c r="H851" s="150"/>
      <c r="R851" s="150"/>
      <c r="T851" s="150"/>
      <c r="W851" s="150"/>
    </row>
    <row r="852" spans="5:23" x14ac:dyDescent="0.3">
      <c r="E852" s="150"/>
      <c r="F852" s="150"/>
      <c r="G852" s="150"/>
      <c r="H852" s="150"/>
      <c r="R852" s="150"/>
      <c r="T852" s="150"/>
      <c r="W852" s="150"/>
    </row>
    <row r="853" spans="5:23" x14ac:dyDescent="0.3">
      <c r="E853" s="150"/>
      <c r="F853" s="150"/>
      <c r="G853" s="150"/>
      <c r="H853" s="150"/>
      <c r="R853" s="150"/>
      <c r="T853" s="150"/>
      <c r="W853" s="150"/>
    </row>
    <row r="854" spans="5:23" x14ac:dyDescent="0.3">
      <c r="E854" s="150"/>
      <c r="F854" s="150"/>
      <c r="G854" s="150"/>
      <c r="H854" s="150"/>
      <c r="R854" s="150"/>
      <c r="T854" s="150"/>
      <c r="W854" s="150"/>
    </row>
    <row r="855" spans="5:23" x14ac:dyDescent="0.3">
      <c r="E855" s="150"/>
      <c r="F855" s="150"/>
      <c r="G855" s="150"/>
      <c r="H855" s="150"/>
      <c r="R855" s="150"/>
      <c r="T855" s="150"/>
      <c r="W855" s="150"/>
    </row>
    <row r="856" spans="5:23" x14ac:dyDescent="0.3">
      <c r="E856" s="150"/>
      <c r="F856" s="150"/>
      <c r="G856" s="150"/>
      <c r="H856" s="150"/>
      <c r="R856" s="150"/>
      <c r="T856" s="150"/>
      <c r="W856" s="150"/>
    </row>
    <row r="857" spans="5:23" x14ac:dyDescent="0.3">
      <c r="E857" s="150"/>
      <c r="F857" s="150"/>
      <c r="G857" s="150"/>
      <c r="H857" s="150"/>
      <c r="R857" s="150"/>
      <c r="T857" s="150"/>
      <c r="W857" s="150"/>
    </row>
    <row r="858" spans="5:23" x14ac:dyDescent="0.3">
      <c r="E858" s="150"/>
      <c r="F858" s="150"/>
      <c r="G858" s="150"/>
      <c r="H858" s="150"/>
      <c r="R858" s="150"/>
      <c r="T858" s="150"/>
      <c r="W858" s="150"/>
    </row>
    <row r="859" spans="5:23" x14ac:dyDescent="0.3">
      <c r="E859" s="150"/>
      <c r="F859" s="150"/>
      <c r="G859" s="150"/>
      <c r="H859" s="150"/>
      <c r="R859" s="150"/>
      <c r="T859" s="150"/>
      <c r="W859" s="150"/>
    </row>
    <row r="860" spans="5:23" x14ac:dyDescent="0.3">
      <c r="E860" s="150"/>
      <c r="F860" s="150"/>
      <c r="G860" s="150"/>
      <c r="H860" s="150"/>
      <c r="R860" s="150"/>
      <c r="T860" s="150"/>
      <c r="W860" s="150"/>
    </row>
    <row r="861" spans="5:23" x14ac:dyDescent="0.3">
      <c r="E861" s="150"/>
      <c r="F861" s="150"/>
      <c r="G861" s="150"/>
      <c r="H861" s="150"/>
      <c r="R861" s="150"/>
      <c r="T861" s="150"/>
      <c r="W861" s="150"/>
    </row>
    <row r="862" spans="5:23" x14ac:dyDescent="0.3">
      <c r="E862" s="150"/>
      <c r="F862" s="150"/>
      <c r="G862" s="150"/>
      <c r="H862" s="150"/>
      <c r="R862" s="150"/>
      <c r="T862" s="150"/>
      <c r="W862" s="150"/>
    </row>
    <row r="863" spans="5:23" x14ac:dyDescent="0.3">
      <c r="E863" s="150"/>
      <c r="F863" s="150"/>
      <c r="G863" s="150"/>
      <c r="H863" s="150"/>
      <c r="R863" s="150"/>
      <c r="T863" s="150"/>
      <c r="W863" s="150"/>
    </row>
    <row r="864" spans="5:23" x14ac:dyDescent="0.3">
      <c r="E864" s="150"/>
      <c r="F864" s="150"/>
      <c r="G864" s="150"/>
      <c r="H864" s="150"/>
      <c r="R864" s="150"/>
      <c r="T864" s="150"/>
      <c r="W864" s="150"/>
    </row>
    <row r="865" spans="5:23" x14ac:dyDescent="0.3">
      <c r="E865" s="150"/>
      <c r="F865" s="150"/>
      <c r="G865" s="150"/>
      <c r="H865" s="150"/>
      <c r="R865" s="150"/>
      <c r="T865" s="150"/>
      <c r="W865" s="150"/>
    </row>
    <row r="866" spans="5:23" x14ac:dyDescent="0.3">
      <c r="E866" s="150"/>
      <c r="F866" s="150"/>
      <c r="G866" s="150"/>
      <c r="H866" s="150"/>
      <c r="R866" s="150"/>
      <c r="T866" s="150"/>
      <c r="W866" s="150"/>
    </row>
    <row r="867" spans="5:23" x14ac:dyDescent="0.3">
      <c r="E867" s="150"/>
      <c r="F867" s="150"/>
      <c r="G867" s="150"/>
      <c r="H867" s="150"/>
      <c r="R867" s="150"/>
      <c r="T867" s="150"/>
      <c r="W867" s="150"/>
    </row>
    <row r="868" spans="5:23" x14ac:dyDescent="0.3">
      <c r="E868" s="150"/>
      <c r="F868" s="150"/>
      <c r="G868" s="150"/>
      <c r="H868" s="150"/>
      <c r="R868" s="150"/>
      <c r="T868" s="150"/>
      <c r="W868" s="150"/>
    </row>
    <row r="869" spans="5:23" x14ac:dyDescent="0.3">
      <c r="E869" s="150"/>
      <c r="F869" s="150"/>
      <c r="G869" s="150"/>
      <c r="H869" s="150"/>
      <c r="R869" s="150"/>
      <c r="T869" s="150"/>
      <c r="W869" s="150"/>
    </row>
    <row r="870" spans="5:23" x14ac:dyDescent="0.3">
      <c r="E870" s="150"/>
      <c r="F870" s="150"/>
      <c r="G870" s="150"/>
      <c r="H870" s="150"/>
      <c r="R870" s="150"/>
      <c r="T870" s="150"/>
      <c r="W870" s="150"/>
    </row>
    <row r="871" spans="5:23" x14ac:dyDescent="0.3">
      <c r="E871" s="150"/>
      <c r="F871" s="150"/>
      <c r="G871" s="150"/>
      <c r="H871" s="150"/>
      <c r="R871" s="150"/>
      <c r="T871" s="150"/>
      <c r="W871" s="150"/>
    </row>
    <row r="872" spans="5:23" x14ac:dyDescent="0.3">
      <c r="E872" s="150"/>
      <c r="F872" s="150"/>
      <c r="G872" s="150"/>
      <c r="H872" s="150"/>
      <c r="R872" s="150"/>
      <c r="T872" s="150"/>
      <c r="W872" s="150"/>
    </row>
    <row r="873" spans="5:23" x14ac:dyDescent="0.3">
      <c r="E873" s="150"/>
      <c r="F873" s="150"/>
      <c r="G873" s="150"/>
      <c r="H873" s="150"/>
      <c r="R873" s="150"/>
      <c r="T873" s="150"/>
      <c r="W873" s="150"/>
    </row>
    <row r="874" spans="5:23" x14ac:dyDescent="0.3">
      <c r="E874" s="150"/>
      <c r="F874" s="150"/>
      <c r="G874" s="150"/>
      <c r="H874" s="150"/>
      <c r="R874" s="150"/>
      <c r="T874" s="150"/>
      <c r="W874" s="150"/>
    </row>
    <row r="875" spans="5:23" x14ac:dyDescent="0.3">
      <c r="E875" s="150"/>
      <c r="F875" s="150"/>
      <c r="G875" s="150"/>
      <c r="H875" s="150"/>
      <c r="R875" s="150"/>
      <c r="T875" s="150"/>
      <c r="W875" s="150"/>
    </row>
    <row r="876" spans="5:23" x14ac:dyDescent="0.3">
      <c r="E876" s="150"/>
      <c r="F876" s="150"/>
      <c r="G876" s="150"/>
      <c r="H876" s="150"/>
      <c r="R876" s="150"/>
      <c r="T876" s="150"/>
      <c r="W876" s="150"/>
    </row>
    <row r="877" spans="5:23" x14ac:dyDescent="0.3">
      <c r="E877" s="150"/>
      <c r="F877" s="150"/>
      <c r="G877" s="150"/>
      <c r="H877" s="150"/>
      <c r="R877" s="150"/>
      <c r="T877" s="150"/>
      <c r="W877" s="150"/>
    </row>
    <row r="878" spans="5:23" x14ac:dyDescent="0.3">
      <c r="E878" s="150"/>
      <c r="F878" s="150"/>
      <c r="G878" s="150"/>
      <c r="H878" s="150"/>
      <c r="R878" s="150"/>
      <c r="T878" s="150"/>
      <c r="W878" s="150"/>
    </row>
    <row r="879" spans="5:23" x14ac:dyDescent="0.3">
      <c r="E879" s="150"/>
      <c r="F879" s="150"/>
      <c r="G879" s="150"/>
      <c r="H879" s="150"/>
      <c r="R879" s="150"/>
      <c r="T879" s="150"/>
      <c r="W879" s="150"/>
    </row>
    <row r="880" spans="5:23" x14ac:dyDescent="0.3">
      <c r="E880" s="150"/>
      <c r="F880" s="150"/>
      <c r="G880" s="150"/>
      <c r="H880" s="150"/>
      <c r="R880" s="150"/>
      <c r="T880" s="150"/>
      <c r="W880" s="150"/>
    </row>
    <row r="881" spans="5:23" x14ac:dyDescent="0.3">
      <c r="E881" s="150"/>
      <c r="F881" s="150"/>
      <c r="G881" s="150"/>
      <c r="H881" s="150"/>
      <c r="R881" s="150"/>
      <c r="T881" s="150"/>
      <c r="W881" s="150"/>
    </row>
    <row r="882" spans="5:23" x14ac:dyDescent="0.3">
      <c r="E882" s="150"/>
      <c r="F882" s="150"/>
      <c r="G882" s="150"/>
      <c r="H882" s="150"/>
      <c r="R882" s="150"/>
      <c r="T882" s="150"/>
      <c r="W882" s="150"/>
    </row>
    <row r="883" spans="5:23" x14ac:dyDescent="0.3">
      <c r="E883" s="150"/>
      <c r="F883" s="150"/>
      <c r="G883" s="150"/>
      <c r="H883" s="150"/>
      <c r="R883" s="150"/>
      <c r="T883" s="150"/>
      <c r="W883" s="150"/>
    </row>
    <row r="884" spans="5:23" x14ac:dyDescent="0.3">
      <c r="E884" s="150"/>
      <c r="F884" s="150"/>
      <c r="G884" s="150"/>
      <c r="H884" s="150"/>
      <c r="R884" s="150"/>
      <c r="T884" s="150"/>
      <c r="W884" s="150"/>
    </row>
    <row r="885" spans="5:23" x14ac:dyDescent="0.3">
      <c r="E885" s="150"/>
      <c r="F885" s="150"/>
      <c r="G885" s="150"/>
      <c r="H885" s="150"/>
      <c r="R885" s="150"/>
      <c r="T885" s="150"/>
      <c r="W885" s="150"/>
    </row>
    <row r="886" spans="5:23" x14ac:dyDescent="0.3">
      <c r="E886" s="150"/>
      <c r="F886" s="150"/>
      <c r="G886" s="150"/>
      <c r="H886" s="150"/>
      <c r="R886" s="150"/>
      <c r="T886" s="150"/>
      <c r="W886" s="150"/>
    </row>
    <row r="887" spans="5:23" x14ac:dyDescent="0.3">
      <c r="E887" s="150"/>
      <c r="F887" s="150"/>
      <c r="G887" s="150"/>
      <c r="H887" s="150"/>
      <c r="R887" s="150"/>
      <c r="T887" s="150"/>
      <c r="W887" s="150"/>
    </row>
    <row r="888" spans="5:23" x14ac:dyDescent="0.3">
      <c r="E888" s="150"/>
      <c r="F888" s="150"/>
      <c r="G888" s="150"/>
      <c r="H888" s="150"/>
      <c r="R888" s="150"/>
      <c r="T888" s="150"/>
      <c r="W888" s="150"/>
    </row>
    <row r="889" spans="5:23" x14ac:dyDescent="0.3">
      <c r="E889" s="150"/>
      <c r="F889" s="150"/>
      <c r="G889" s="150"/>
      <c r="H889" s="150"/>
      <c r="R889" s="150"/>
      <c r="T889" s="150"/>
      <c r="W889" s="150"/>
    </row>
    <row r="890" spans="5:23" x14ac:dyDescent="0.3">
      <c r="E890" s="150"/>
      <c r="F890" s="150"/>
      <c r="G890" s="150"/>
      <c r="H890" s="150"/>
      <c r="R890" s="150"/>
      <c r="T890" s="150"/>
      <c r="W890" s="150"/>
    </row>
    <row r="891" spans="5:23" x14ac:dyDescent="0.3">
      <c r="E891" s="150"/>
      <c r="F891" s="150"/>
      <c r="G891" s="150"/>
      <c r="H891" s="150"/>
      <c r="R891" s="150"/>
      <c r="T891" s="150"/>
      <c r="W891" s="150"/>
    </row>
    <row r="892" spans="5:23" x14ac:dyDescent="0.3">
      <c r="E892" s="150"/>
      <c r="F892" s="150"/>
      <c r="G892" s="150"/>
      <c r="H892" s="150"/>
      <c r="R892" s="150"/>
      <c r="T892" s="150"/>
      <c r="W892" s="150"/>
    </row>
    <row r="893" spans="5:23" x14ac:dyDescent="0.3">
      <c r="E893" s="150"/>
      <c r="F893" s="150"/>
      <c r="G893" s="150"/>
      <c r="H893" s="150"/>
      <c r="R893" s="150"/>
      <c r="T893" s="150"/>
      <c r="W893" s="150"/>
    </row>
    <row r="894" spans="5:23" x14ac:dyDescent="0.3">
      <c r="E894" s="150"/>
      <c r="F894" s="150"/>
      <c r="G894" s="150"/>
      <c r="H894" s="150"/>
      <c r="R894" s="150"/>
      <c r="T894" s="150"/>
      <c r="W894" s="150"/>
    </row>
    <row r="895" spans="5:23" x14ac:dyDescent="0.3">
      <c r="E895" s="150"/>
      <c r="F895" s="150"/>
      <c r="G895" s="150"/>
      <c r="H895" s="150"/>
      <c r="R895" s="150"/>
      <c r="T895" s="150"/>
      <c r="W895" s="150"/>
    </row>
    <row r="896" spans="5:23" x14ac:dyDescent="0.3">
      <c r="E896" s="150"/>
      <c r="F896" s="150"/>
      <c r="G896" s="150"/>
      <c r="H896" s="150"/>
      <c r="R896" s="150"/>
      <c r="T896" s="150"/>
      <c r="W896" s="150"/>
    </row>
    <row r="897" spans="5:23" x14ac:dyDescent="0.3">
      <c r="E897" s="150"/>
      <c r="F897" s="150"/>
      <c r="G897" s="150"/>
      <c r="H897" s="150"/>
      <c r="R897" s="150"/>
      <c r="T897" s="150"/>
      <c r="W897" s="150"/>
    </row>
    <row r="898" spans="5:23" x14ac:dyDescent="0.3">
      <c r="E898" s="150"/>
      <c r="F898" s="150"/>
      <c r="G898" s="150"/>
      <c r="H898" s="150"/>
      <c r="R898" s="150"/>
      <c r="T898" s="150"/>
      <c r="W898" s="150"/>
    </row>
    <row r="899" spans="5:23" x14ac:dyDescent="0.3">
      <c r="E899" s="150"/>
      <c r="F899" s="150"/>
      <c r="G899" s="150"/>
      <c r="H899" s="150"/>
      <c r="R899" s="150"/>
      <c r="T899" s="150"/>
      <c r="W899" s="150"/>
    </row>
    <row r="900" spans="5:23" x14ac:dyDescent="0.3">
      <c r="E900" s="150"/>
      <c r="F900" s="150"/>
      <c r="G900" s="150"/>
      <c r="H900" s="150"/>
      <c r="R900" s="150"/>
      <c r="T900" s="150"/>
      <c r="W900" s="150"/>
    </row>
    <row r="901" spans="5:23" x14ac:dyDescent="0.3">
      <c r="E901" s="150"/>
      <c r="F901" s="150"/>
      <c r="G901" s="150"/>
      <c r="H901" s="150"/>
      <c r="R901" s="150"/>
      <c r="T901" s="150"/>
      <c r="W901" s="150"/>
    </row>
    <row r="902" spans="5:23" x14ac:dyDescent="0.3">
      <c r="E902" s="150"/>
      <c r="F902" s="150"/>
      <c r="G902" s="150"/>
      <c r="H902" s="150"/>
      <c r="R902" s="150"/>
      <c r="T902" s="150"/>
      <c r="W902" s="150"/>
    </row>
    <row r="903" spans="5:23" x14ac:dyDescent="0.3">
      <c r="E903" s="150"/>
      <c r="F903" s="150"/>
      <c r="G903" s="150"/>
      <c r="H903" s="150"/>
      <c r="R903" s="150"/>
      <c r="T903" s="150"/>
      <c r="W903" s="150"/>
    </row>
    <row r="904" spans="5:23" x14ac:dyDescent="0.3">
      <c r="E904" s="150"/>
      <c r="F904" s="150"/>
      <c r="G904" s="150"/>
      <c r="H904" s="150"/>
      <c r="R904" s="150"/>
      <c r="T904" s="150"/>
      <c r="W904" s="150"/>
    </row>
    <row r="905" spans="5:23" x14ac:dyDescent="0.3">
      <c r="E905" s="150"/>
      <c r="F905" s="150"/>
      <c r="G905" s="150"/>
      <c r="H905" s="150"/>
      <c r="R905" s="150"/>
      <c r="T905" s="150"/>
      <c r="W905" s="150"/>
    </row>
    <row r="906" spans="5:23" x14ac:dyDescent="0.3">
      <c r="E906" s="150"/>
      <c r="F906" s="150"/>
      <c r="G906" s="150"/>
      <c r="H906" s="150"/>
      <c r="R906" s="150"/>
      <c r="T906" s="150"/>
      <c r="W906" s="150"/>
    </row>
    <row r="907" spans="5:23" x14ac:dyDescent="0.3">
      <c r="E907" s="150"/>
      <c r="F907" s="150"/>
      <c r="G907" s="150"/>
      <c r="H907" s="150"/>
      <c r="R907" s="150"/>
      <c r="T907" s="150"/>
      <c r="W907" s="150"/>
    </row>
    <row r="908" spans="5:23" x14ac:dyDescent="0.3">
      <c r="E908" s="150"/>
      <c r="F908" s="150"/>
      <c r="G908" s="150"/>
      <c r="H908" s="150"/>
      <c r="R908" s="150"/>
      <c r="T908" s="150"/>
      <c r="W908" s="150"/>
    </row>
    <row r="909" spans="5:23" x14ac:dyDescent="0.3">
      <c r="E909" s="150"/>
      <c r="F909" s="150"/>
      <c r="G909" s="150"/>
      <c r="H909" s="150"/>
      <c r="R909" s="150"/>
      <c r="T909" s="150"/>
      <c r="W909" s="150"/>
    </row>
    <row r="910" spans="5:23" x14ac:dyDescent="0.3">
      <c r="E910" s="150"/>
      <c r="F910" s="150"/>
      <c r="G910" s="150"/>
      <c r="H910" s="150"/>
      <c r="R910" s="150"/>
      <c r="T910" s="150"/>
      <c r="W910" s="150"/>
    </row>
    <row r="911" spans="5:23" x14ac:dyDescent="0.3">
      <c r="E911" s="150"/>
      <c r="F911" s="150"/>
      <c r="G911" s="150"/>
      <c r="H911" s="150"/>
      <c r="R911" s="150"/>
      <c r="T911" s="150"/>
      <c r="W911" s="150"/>
    </row>
    <row r="912" spans="5:23" x14ac:dyDescent="0.3">
      <c r="E912" s="150"/>
      <c r="F912" s="150"/>
      <c r="G912" s="150"/>
      <c r="H912" s="150"/>
      <c r="R912" s="150"/>
      <c r="T912" s="150"/>
      <c r="W912" s="150"/>
    </row>
    <row r="913" spans="5:23" x14ac:dyDescent="0.3">
      <c r="E913" s="150"/>
      <c r="F913" s="150"/>
      <c r="G913" s="150"/>
      <c r="H913" s="150"/>
      <c r="R913" s="150"/>
      <c r="T913" s="150"/>
      <c r="W913" s="150"/>
    </row>
    <row r="914" spans="5:23" x14ac:dyDescent="0.3">
      <c r="E914" s="150"/>
      <c r="F914" s="150"/>
      <c r="G914" s="150"/>
      <c r="H914" s="150"/>
      <c r="R914" s="150"/>
      <c r="T914" s="150"/>
      <c r="W914" s="150"/>
    </row>
    <row r="915" spans="5:23" x14ac:dyDescent="0.3">
      <c r="E915" s="150"/>
      <c r="F915" s="150"/>
      <c r="G915" s="150"/>
      <c r="H915" s="150"/>
      <c r="R915" s="150"/>
      <c r="T915" s="150"/>
      <c r="W915" s="150"/>
    </row>
    <row r="916" spans="5:23" x14ac:dyDescent="0.3">
      <c r="E916" s="150"/>
      <c r="F916" s="150"/>
      <c r="G916" s="150"/>
      <c r="H916" s="150"/>
      <c r="R916" s="150"/>
      <c r="T916" s="150"/>
      <c r="W916" s="150"/>
    </row>
    <row r="917" spans="5:23" x14ac:dyDescent="0.3">
      <c r="E917" s="150"/>
      <c r="F917" s="150"/>
      <c r="G917" s="150"/>
      <c r="H917" s="150"/>
      <c r="R917" s="150"/>
      <c r="T917" s="150"/>
      <c r="W917" s="150"/>
    </row>
    <row r="918" spans="5:23" x14ac:dyDescent="0.3">
      <c r="E918" s="150"/>
      <c r="F918" s="150"/>
      <c r="G918" s="150"/>
      <c r="H918" s="150"/>
      <c r="R918" s="150"/>
      <c r="T918" s="150"/>
      <c r="W918" s="150"/>
    </row>
    <row r="919" spans="5:23" x14ac:dyDescent="0.3">
      <c r="E919" s="150"/>
      <c r="F919" s="150"/>
      <c r="G919" s="150"/>
      <c r="H919" s="150"/>
      <c r="R919" s="150"/>
      <c r="T919" s="150"/>
      <c r="W919" s="150"/>
    </row>
    <row r="920" spans="5:23" x14ac:dyDescent="0.3">
      <c r="E920" s="150"/>
      <c r="F920" s="150"/>
      <c r="G920" s="150"/>
      <c r="H920" s="150"/>
      <c r="R920" s="150"/>
      <c r="T920" s="150"/>
      <c r="W920" s="150"/>
    </row>
    <row r="921" spans="5:23" x14ac:dyDescent="0.3">
      <c r="E921" s="150"/>
      <c r="F921" s="150"/>
      <c r="G921" s="150"/>
      <c r="H921" s="150"/>
      <c r="R921" s="150"/>
      <c r="T921" s="150"/>
      <c r="W921" s="150"/>
    </row>
    <row r="922" spans="5:23" x14ac:dyDescent="0.3">
      <c r="E922" s="150"/>
      <c r="F922" s="150"/>
      <c r="G922" s="150"/>
      <c r="H922" s="150"/>
      <c r="R922" s="150"/>
      <c r="T922" s="150"/>
      <c r="W922" s="150"/>
    </row>
    <row r="923" spans="5:23" x14ac:dyDescent="0.3">
      <c r="E923" s="150"/>
      <c r="F923" s="150"/>
      <c r="G923" s="150"/>
      <c r="H923" s="150"/>
      <c r="R923" s="150"/>
      <c r="T923" s="150"/>
      <c r="W923" s="150"/>
    </row>
    <row r="924" spans="5:23" x14ac:dyDescent="0.3">
      <c r="E924" s="150"/>
      <c r="F924" s="150"/>
      <c r="G924" s="150"/>
      <c r="H924" s="150"/>
      <c r="R924" s="150"/>
      <c r="T924" s="150"/>
      <c r="W924" s="150"/>
    </row>
    <row r="925" spans="5:23" x14ac:dyDescent="0.3">
      <c r="E925" s="150"/>
      <c r="F925" s="150"/>
      <c r="G925" s="150"/>
      <c r="H925" s="150"/>
      <c r="R925" s="150"/>
      <c r="T925" s="150"/>
      <c r="W925" s="150"/>
    </row>
    <row r="926" spans="5:23" x14ac:dyDescent="0.3">
      <c r="E926" s="150"/>
      <c r="F926" s="150"/>
      <c r="G926" s="150"/>
      <c r="H926" s="150"/>
      <c r="R926" s="150"/>
      <c r="T926" s="150"/>
      <c r="W926" s="150"/>
    </row>
    <row r="927" spans="5:23" x14ac:dyDescent="0.3">
      <c r="E927" s="150"/>
      <c r="F927" s="150"/>
      <c r="G927" s="150"/>
      <c r="H927" s="150"/>
      <c r="R927" s="150"/>
      <c r="T927" s="150"/>
      <c r="W927" s="150"/>
    </row>
    <row r="928" spans="5:23" x14ac:dyDescent="0.3">
      <c r="E928" s="150"/>
      <c r="F928" s="150"/>
      <c r="G928" s="150"/>
      <c r="H928" s="150"/>
      <c r="R928" s="150"/>
      <c r="T928" s="150"/>
      <c r="W928" s="150"/>
    </row>
    <row r="929" spans="5:23" x14ac:dyDescent="0.3">
      <c r="E929" s="150"/>
      <c r="F929" s="150"/>
      <c r="G929" s="150"/>
      <c r="H929" s="150"/>
      <c r="R929" s="150"/>
      <c r="T929" s="150"/>
      <c r="W929" s="150"/>
    </row>
    <row r="930" spans="5:23" x14ac:dyDescent="0.3">
      <c r="E930" s="150"/>
      <c r="F930" s="150"/>
      <c r="G930" s="150"/>
      <c r="H930" s="150"/>
      <c r="R930" s="150"/>
      <c r="T930" s="150"/>
      <c r="W930" s="150"/>
    </row>
    <row r="931" spans="5:23" x14ac:dyDescent="0.3">
      <c r="E931" s="150"/>
      <c r="F931" s="150"/>
      <c r="G931" s="150"/>
      <c r="H931" s="150"/>
      <c r="R931" s="150"/>
      <c r="T931" s="150"/>
      <c r="W931" s="150"/>
    </row>
    <row r="932" spans="5:23" x14ac:dyDescent="0.3">
      <c r="E932" s="150"/>
      <c r="F932" s="150"/>
      <c r="G932" s="150"/>
      <c r="H932" s="150"/>
      <c r="R932" s="150"/>
      <c r="T932" s="150"/>
      <c r="W932" s="150"/>
    </row>
    <row r="933" spans="5:23" x14ac:dyDescent="0.3">
      <c r="E933" s="150"/>
      <c r="F933" s="150"/>
      <c r="G933" s="150"/>
      <c r="H933" s="150"/>
      <c r="R933" s="150"/>
      <c r="T933" s="150"/>
      <c r="W933" s="150"/>
    </row>
    <row r="934" spans="5:23" x14ac:dyDescent="0.3">
      <c r="E934" s="150"/>
      <c r="F934" s="150"/>
      <c r="G934" s="150"/>
      <c r="H934" s="150"/>
      <c r="R934" s="150"/>
      <c r="T934" s="150"/>
      <c r="W934" s="150"/>
    </row>
    <row r="935" spans="5:23" x14ac:dyDescent="0.3">
      <c r="E935" s="150"/>
      <c r="F935" s="150"/>
      <c r="G935" s="150"/>
      <c r="H935" s="150"/>
      <c r="R935" s="150"/>
      <c r="T935" s="150"/>
      <c r="W935" s="150"/>
    </row>
    <row r="936" spans="5:23" x14ac:dyDescent="0.3">
      <c r="E936" s="150"/>
      <c r="F936" s="150"/>
      <c r="G936" s="150"/>
      <c r="H936" s="150"/>
      <c r="R936" s="150"/>
      <c r="T936" s="150"/>
      <c r="W936" s="150"/>
    </row>
    <row r="937" spans="5:23" x14ac:dyDescent="0.3">
      <c r="E937" s="150"/>
      <c r="F937" s="150"/>
      <c r="G937" s="150"/>
      <c r="H937" s="150"/>
      <c r="R937" s="150"/>
      <c r="T937" s="150"/>
      <c r="W937" s="150"/>
    </row>
    <row r="938" spans="5:23" x14ac:dyDescent="0.3">
      <c r="E938" s="150"/>
      <c r="F938" s="150"/>
      <c r="G938" s="150"/>
      <c r="H938" s="150"/>
      <c r="R938" s="150"/>
      <c r="T938" s="150"/>
      <c r="W938" s="150"/>
    </row>
    <row r="939" spans="5:23" x14ac:dyDescent="0.3">
      <c r="E939" s="150"/>
      <c r="F939" s="150"/>
      <c r="G939" s="150"/>
      <c r="H939" s="150"/>
      <c r="R939" s="150"/>
      <c r="T939" s="150"/>
      <c r="W939" s="150"/>
    </row>
    <row r="940" spans="5:23" x14ac:dyDescent="0.3">
      <c r="E940" s="150"/>
      <c r="F940" s="150"/>
      <c r="G940" s="150"/>
      <c r="H940" s="150"/>
      <c r="R940" s="150"/>
      <c r="T940" s="150"/>
      <c r="W940" s="150"/>
    </row>
    <row r="941" spans="5:23" x14ac:dyDescent="0.3">
      <c r="E941" s="150"/>
      <c r="F941" s="150"/>
      <c r="G941" s="150"/>
      <c r="H941" s="150"/>
      <c r="R941" s="150"/>
      <c r="T941" s="150"/>
      <c r="W941" s="150"/>
    </row>
    <row r="942" spans="5:23" x14ac:dyDescent="0.3">
      <c r="E942" s="150"/>
      <c r="F942" s="150"/>
      <c r="G942" s="150"/>
      <c r="H942" s="150"/>
      <c r="R942" s="150"/>
      <c r="T942" s="150"/>
      <c r="W942" s="150"/>
    </row>
    <row r="943" spans="5:23" x14ac:dyDescent="0.3">
      <c r="E943" s="150"/>
      <c r="F943" s="150"/>
      <c r="G943" s="150"/>
      <c r="H943" s="150"/>
      <c r="R943" s="150"/>
      <c r="T943" s="150"/>
      <c r="W943" s="150"/>
    </row>
    <row r="944" spans="5:23" x14ac:dyDescent="0.3">
      <c r="E944" s="150"/>
      <c r="F944" s="150"/>
      <c r="G944" s="150"/>
      <c r="H944" s="150"/>
      <c r="R944" s="150"/>
      <c r="T944" s="150"/>
      <c r="W944" s="150"/>
    </row>
    <row r="945" spans="5:23" x14ac:dyDescent="0.3">
      <c r="E945" s="150"/>
      <c r="F945" s="150"/>
      <c r="G945" s="150"/>
      <c r="H945" s="150"/>
      <c r="R945" s="150"/>
      <c r="T945" s="150"/>
      <c r="W945" s="150"/>
    </row>
    <row r="946" spans="5:23" x14ac:dyDescent="0.3">
      <c r="E946" s="150"/>
      <c r="F946" s="150"/>
      <c r="G946" s="150"/>
      <c r="H946" s="150"/>
      <c r="R946" s="150"/>
      <c r="T946" s="150"/>
      <c r="W946" s="150"/>
    </row>
    <row r="947" spans="5:23" x14ac:dyDescent="0.3">
      <c r="E947" s="150"/>
      <c r="F947" s="150"/>
      <c r="G947" s="150"/>
      <c r="H947" s="150"/>
      <c r="R947" s="150"/>
      <c r="T947" s="150"/>
      <c r="W947" s="150"/>
    </row>
    <row r="948" spans="5:23" x14ac:dyDescent="0.3">
      <c r="E948" s="150"/>
      <c r="F948" s="150"/>
      <c r="G948" s="150"/>
      <c r="H948" s="150"/>
      <c r="R948" s="150"/>
      <c r="T948" s="150"/>
      <c r="W948" s="150"/>
    </row>
    <row r="949" spans="5:23" x14ac:dyDescent="0.3">
      <c r="E949" s="150"/>
      <c r="F949" s="150"/>
      <c r="G949" s="150"/>
      <c r="H949" s="150"/>
      <c r="R949" s="150"/>
      <c r="T949" s="150"/>
      <c r="W949" s="150"/>
    </row>
    <row r="950" spans="5:23" x14ac:dyDescent="0.3">
      <c r="E950" s="150"/>
      <c r="F950" s="150"/>
      <c r="G950" s="150"/>
      <c r="H950" s="150"/>
      <c r="R950" s="150"/>
      <c r="T950" s="150"/>
      <c r="W950" s="150"/>
    </row>
    <row r="951" spans="5:23" x14ac:dyDescent="0.3">
      <c r="E951" s="150"/>
      <c r="F951" s="150"/>
      <c r="G951" s="150"/>
      <c r="H951" s="150"/>
      <c r="R951" s="150"/>
      <c r="T951" s="150"/>
      <c r="W951" s="150"/>
    </row>
    <row r="952" spans="5:23" x14ac:dyDescent="0.3">
      <c r="E952" s="150"/>
      <c r="F952" s="150"/>
      <c r="G952" s="150"/>
      <c r="H952" s="150"/>
      <c r="R952" s="150"/>
      <c r="T952" s="150"/>
      <c r="W952" s="150"/>
    </row>
    <row r="953" spans="5:23" x14ac:dyDescent="0.3">
      <c r="E953" s="150"/>
      <c r="F953" s="150"/>
      <c r="G953" s="150"/>
      <c r="H953" s="150"/>
      <c r="R953" s="150"/>
      <c r="T953" s="150"/>
      <c r="W953" s="150"/>
    </row>
    <row r="954" spans="5:23" x14ac:dyDescent="0.3">
      <c r="E954" s="150"/>
      <c r="F954" s="150"/>
      <c r="G954" s="150"/>
      <c r="H954" s="150"/>
      <c r="R954" s="150"/>
      <c r="T954" s="150"/>
      <c r="W954" s="150"/>
    </row>
    <row r="955" spans="5:23" x14ac:dyDescent="0.3">
      <c r="E955" s="150"/>
      <c r="F955" s="150"/>
      <c r="G955" s="150"/>
      <c r="H955" s="150"/>
      <c r="R955" s="150"/>
      <c r="T955" s="150"/>
      <c r="W955" s="150"/>
    </row>
    <row r="956" spans="5:23" x14ac:dyDescent="0.3">
      <c r="E956" s="150"/>
      <c r="F956" s="150"/>
      <c r="G956" s="150"/>
      <c r="H956" s="150"/>
      <c r="R956" s="150"/>
      <c r="T956" s="150"/>
      <c r="W956" s="150"/>
    </row>
    <row r="957" spans="5:23" x14ac:dyDescent="0.3">
      <c r="E957" s="150"/>
      <c r="F957" s="150"/>
      <c r="G957" s="150"/>
      <c r="H957" s="150"/>
      <c r="R957" s="150"/>
      <c r="T957" s="150"/>
      <c r="W957" s="150"/>
    </row>
    <row r="958" spans="5:23" x14ac:dyDescent="0.3">
      <c r="E958" s="150"/>
      <c r="F958" s="150"/>
      <c r="G958" s="150"/>
      <c r="H958" s="150"/>
      <c r="R958" s="150"/>
      <c r="T958" s="150"/>
      <c r="W958" s="150"/>
    </row>
    <row r="959" spans="5:23" x14ac:dyDescent="0.3">
      <c r="E959" s="150"/>
      <c r="F959" s="150"/>
      <c r="G959" s="150"/>
      <c r="H959" s="150"/>
      <c r="R959" s="150"/>
      <c r="T959" s="150"/>
      <c r="W959" s="150"/>
    </row>
    <row r="960" spans="5:23" x14ac:dyDescent="0.3">
      <c r="E960" s="150"/>
      <c r="F960" s="150"/>
      <c r="G960" s="150"/>
      <c r="H960" s="150"/>
      <c r="R960" s="150"/>
      <c r="T960" s="150"/>
      <c r="W960" s="150"/>
    </row>
    <row r="961" spans="5:23" x14ac:dyDescent="0.3">
      <c r="E961" s="150"/>
      <c r="F961" s="150"/>
      <c r="G961" s="150"/>
      <c r="H961" s="150"/>
      <c r="R961" s="150"/>
      <c r="T961" s="150"/>
      <c r="W961" s="150"/>
    </row>
    <row r="962" spans="5:23" x14ac:dyDescent="0.3">
      <c r="E962" s="150"/>
      <c r="F962" s="150"/>
      <c r="G962" s="150"/>
      <c r="H962" s="150"/>
      <c r="R962" s="150"/>
      <c r="T962" s="150"/>
      <c r="W962" s="150"/>
    </row>
    <row r="963" spans="5:23" x14ac:dyDescent="0.3">
      <c r="E963" s="150"/>
      <c r="F963" s="150"/>
      <c r="G963" s="150"/>
      <c r="H963" s="150"/>
      <c r="R963" s="150"/>
      <c r="T963" s="150"/>
      <c r="W963" s="150"/>
    </row>
    <row r="964" spans="5:23" x14ac:dyDescent="0.3">
      <c r="E964" s="150"/>
      <c r="F964" s="150"/>
      <c r="G964" s="150"/>
      <c r="H964" s="150"/>
      <c r="R964" s="150"/>
      <c r="T964" s="150"/>
      <c r="W964" s="150"/>
    </row>
    <row r="965" spans="5:23" x14ac:dyDescent="0.3">
      <c r="E965" s="150"/>
      <c r="F965" s="150"/>
      <c r="G965" s="150"/>
      <c r="H965" s="150"/>
      <c r="R965" s="150"/>
      <c r="T965" s="150"/>
      <c r="W965" s="150"/>
    </row>
    <row r="966" spans="5:23" x14ac:dyDescent="0.3">
      <c r="E966" s="150"/>
      <c r="F966" s="150"/>
      <c r="G966" s="150"/>
      <c r="H966" s="150"/>
      <c r="R966" s="150"/>
      <c r="T966" s="150"/>
      <c r="W966" s="150"/>
    </row>
    <row r="967" spans="5:23" x14ac:dyDescent="0.3">
      <c r="E967" s="150"/>
      <c r="F967" s="150"/>
      <c r="G967" s="150"/>
      <c r="H967" s="150"/>
      <c r="R967" s="150"/>
      <c r="T967" s="150"/>
      <c r="W967" s="150"/>
    </row>
    <row r="968" spans="5:23" x14ac:dyDescent="0.3">
      <c r="E968" s="150"/>
      <c r="F968" s="150"/>
      <c r="G968" s="150"/>
      <c r="H968" s="150"/>
      <c r="R968" s="150"/>
      <c r="T968" s="150"/>
      <c r="W968" s="150"/>
    </row>
    <row r="969" spans="5:23" x14ac:dyDescent="0.3">
      <c r="E969" s="150"/>
      <c r="F969" s="150"/>
      <c r="G969" s="150"/>
      <c r="H969" s="150"/>
      <c r="R969" s="150"/>
      <c r="T969" s="150"/>
      <c r="W969" s="150"/>
    </row>
    <row r="970" spans="5:23" x14ac:dyDescent="0.3">
      <c r="E970" s="150"/>
      <c r="F970" s="150"/>
      <c r="G970" s="150"/>
      <c r="H970" s="150"/>
      <c r="R970" s="150"/>
      <c r="T970" s="150"/>
      <c r="W970" s="150"/>
    </row>
    <row r="971" spans="5:23" x14ac:dyDescent="0.3">
      <c r="E971" s="150"/>
      <c r="F971" s="150"/>
      <c r="G971" s="150"/>
      <c r="H971" s="150"/>
      <c r="R971" s="150"/>
      <c r="T971" s="150"/>
      <c r="W971" s="150"/>
    </row>
    <row r="972" spans="5:23" x14ac:dyDescent="0.3">
      <c r="E972" s="150"/>
      <c r="F972" s="150"/>
      <c r="G972" s="150"/>
      <c r="H972" s="150"/>
      <c r="R972" s="150"/>
      <c r="T972" s="150"/>
      <c r="W972" s="150"/>
    </row>
    <row r="973" spans="5:23" x14ac:dyDescent="0.3">
      <c r="E973" s="150"/>
      <c r="F973" s="150"/>
      <c r="G973" s="150"/>
      <c r="H973" s="150"/>
      <c r="R973" s="150"/>
      <c r="T973" s="150"/>
      <c r="W973" s="150"/>
    </row>
    <row r="974" spans="5:23" x14ac:dyDescent="0.3">
      <c r="E974" s="150"/>
      <c r="F974" s="150"/>
      <c r="G974" s="150"/>
      <c r="H974" s="150"/>
      <c r="R974" s="150"/>
      <c r="T974" s="150"/>
      <c r="W974" s="150"/>
    </row>
    <row r="975" spans="5:23" x14ac:dyDescent="0.3">
      <c r="E975" s="150"/>
      <c r="F975" s="150"/>
      <c r="G975" s="150"/>
      <c r="H975" s="150"/>
      <c r="R975" s="150"/>
      <c r="T975" s="150"/>
      <c r="W975" s="150"/>
    </row>
    <row r="976" spans="5:23" x14ac:dyDescent="0.3">
      <c r="E976" s="150"/>
      <c r="F976" s="150"/>
      <c r="G976" s="150"/>
      <c r="H976" s="150"/>
      <c r="R976" s="150"/>
      <c r="T976" s="150"/>
      <c r="W976" s="150"/>
    </row>
    <row r="977" spans="5:23" x14ac:dyDescent="0.3">
      <c r="E977" s="150"/>
      <c r="F977" s="150"/>
      <c r="G977" s="150"/>
      <c r="H977" s="150"/>
      <c r="R977" s="150"/>
      <c r="T977" s="150"/>
      <c r="W977" s="150"/>
    </row>
    <row r="978" spans="5:23" x14ac:dyDescent="0.3">
      <c r="E978" s="150"/>
      <c r="F978" s="150"/>
      <c r="G978" s="150"/>
      <c r="H978" s="150"/>
      <c r="R978" s="150"/>
      <c r="T978" s="150"/>
      <c r="W978" s="150"/>
    </row>
    <row r="979" spans="5:23" x14ac:dyDescent="0.3">
      <c r="E979" s="150"/>
      <c r="F979" s="150"/>
      <c r="G979" s="150"/>
      <c r="H979" s="150"/>
      <c r="R979" s="150"/>
      <c r="T979" s="150"/>
      <c r="W979" s="150"/>
    </row>
    <row r="980" spans="5:23" x14ac:dyDescent="0.3">
      <c r="E980" s="150"/>
      <c r="F980" s="150"/>
      <c r="G980" s="150"/>
      <c r="H980" s="150"/>
      <c r="R980" s="150"/>
      <c r="T980" s="150"/>
      <c r="W980" s="150"/>
    </row>
    <row r="981" spans="5:23" x14ac:dyDescent="0.3">
      <c r="E981" s="150"/>
      <c r="F981" s="150"/>
      <c r="G981" s="150"/>
      <c r="H981" s="150"/>
      <c r="R981" s="150"/>
      <c r="T981" s="150"/>
      <c r="W981" s="150"/>
    </row>
    <row r="982" spans="5:23" x14ac:dyDescent="0.3">
      <c r="E982" s="150"/>
      <c r="F982" s="150"/>
      <c r="G982" s="150"/>
      <c r="H982" s="150"/>
      <c r="R982" s="150"/>
      <c r="T982" s="150"/>
      <c r="W982" s="150"/>
    </row>
    <row r="983" spans="5:23" x14ac:dyDescent="0.3">
      <c r="E983" s="150"/>
      <c r="F983" s="150"/>
      <c r="G983" s="150"/>
      <c r="H983" s="150"/>
      <c r="R983" s="150"/>
      <c r="T983" s="150"/>
      <c r="W983" s="150"/>
    </row>
    <row r="984" spans="5:23" x14ac:dyDescent="0.3">
      <c r="E984" s="150"/>
      <c r="F984" s="150"/>
      <c r="G984" s="150"/>
      <c r="H984" s="150"/>
      <c r="R984" s="150"/>
      <c r="T984" s="150"/>
      <c r="W984" s="150"/>
    </row>
    <row r="985" spans="5:23" x14ac:dyDescent="0.3">
      <c r="E985" s="150"/>
      <c r="F985" s="150"/>
      <c r="G985" s="150"/>
      <c r="H985" s="150"/>
      <c r="R985" s="150"/>
      <c r="T985" s="150"/>
      <c r="W985" s="150"/>
    </row>
    <row r="986" spans="5:23" x14ac:dyDescent="0.3">
      <c r="E986" s="150"/>
      <c r="F986" s="150"/>
      <c r="G986" s="150"/>
      <c r="H986" s="150"/>
      <c r="R986" s="150"/>
      <c r="T986" s="150"/>
      <c r="W986" s="150"/>
    </row>
    <row r="987" spans="5:23" x14ac:dyDescent="0.3">
      <c r="E987" s="150"/>
      <c r="F987" s="150"/>
      <c r="G987" s="150"/>
      <c r="H987" s="150"/>
      <c r="R987" s="150"/>
      <c r="T987" s="150"/>
      <c r="W987" s="150"/>
    </row>
    <row r="988" spans="5:23" x14ac:dyDescent="0.3">
      <c r="E988" s="150"/>
      <c r="F988" s="150"/>
      <c r="G988" s="150"/>
      <c r="H988" s="150"/>
      <c r="R988" s="150"/>
      <c r="T988" s="150"/>
      <c r="W988" s="150"/>
    </row>
    <row r="989" spans="5:23" x14ac:dyDescent="0.3">
      <c r="E989" s="150"/>
      <c r="F989" s="150"/>
      <c r="G989" s="150"/>
      <c r="H989" s="150"/>
      <c r="R989" s="150"/>
      <c r="T989" s="150"/>
      <c r="W989" s="150"/>
    </row>
    <row r="990" spans="5:23" x14ac:dyDescent="0.3">
      <c r="E990" s="150"/>
      <c r="F990" s="150"/>
      <c r="G990" s="150"/>
      <c r="H990" s="150"/>
      <c r="R990" s="150"/>
      <c r="T990" s="150"/>
      <c r="W990" s="150"/>
    </row>
    <row r="991" spans="5:23" x14ac:dyDescent="0.3">
      <c r="E991" s="150"/>
      <c r="F991" s="150"/>
      <c r="G991" s="150"/>
      <c r="H991" s="150"/>
      <c r="R991" s="150"/>
      <c r="T991" s="150"/>
      <c r="W991" s="150"/>
    </row>
    <row r="992" spans="5:23" x14ac:dyDescent="0.3">
      <c r="E992" s="150"/>
      <c r="F992" s="150"/>
      <c r="G992" s="150"/>
      <c r="H992" s="150"/>
      <c r="R992" s="150"/>
      <c r="T992" s="150"/>
      <c r="W992" s="150"/>
    </row>
    <row r="993" spans="5:23" x14ac:dyDescent="0.3">
      <c r="E993" s="150"/>
      <c r="F993" s="150"/>
      <c r="G993" s="150"/>
      <c r="H993" s="150"/>
      <c r="R993" s="150"/>
      <c r="T993" s="150"/>
      <c r="W993" s="150"/>
    </row>
    <row r="994" spans="5:23" x14ac:dyDescent="0.3">
      <c r="E994" s="150"/>
      <c r="F994" s="150"/>
      <c r="G994" s="150"/>
      <c r="H994" s="150"/>
      <c r="R994" s="150"/>
      <c r="T994" s="150"/>
      <c r="W994" s="150"/>
    </row>
    <row r="995" spans="5:23" x14ac:dyDescent="0.3">
      <c r="E995" s="150"/>
      <c r="F995" s="150"/>
      <c r="G995" s="150"/>
      <c r="H995" s="150"/>
      <c r="R995" s="150"/>
      <c r="T995" s="150"/>
      <c r="W995" s="150"/>
    </row>
    <row r="996" spans="5:23" x14ac:dyDescent="0.3">
      <c r="E996" s="150"/>
      <c r="F996" s="150"/>
      <c r="G996" s="150"/>
      <c r="H996" s="150"/>
      <c r="R996" s="150"/>
      <c r="T996" s="150"/>
      <c r="W996" s="150"/>
    </row>
    <row r="997" spans="5:23" x14ac:dyDescent="0.3">
      <c r="E997" s="150"/>
      <c r="F997" s="150"/>
      <c r="G997" s="150"/>
      <c r="H997" s="150"/>
      <c r="R997" s="150"/>
      <c r="T997" s="150"/>
      <c r="W997" s="150"/>
    </row>
    <row r="998" spans="5:23" x14ac:dyDescent="0.3">
      <c r="E998" s="150"/>
      <c r="F998" s="150"/>
      <c r="G998" s="150"/>
      <c r="H998" s="150"/>
      <c r="R998" s="150"/>
      <c r="T998" s="150"/>
      <c r="W998" s="150"/>
    </row>
    <row r="999" spans="5:23" x14ac:dyDescent="0.3">
      <c r="E999" s="150"/>
      <c r="F999" s="150"/>
      <c r="G999" s="150"/>
      <c r="H999" s="150"/>
      <c r="R999" s="150"/>
      <c r="T999" s="150"/>
      <c r="W999" s="150"/>
    </row>
    <row r="1000" spans="5:23" x14ac:dyDescent="0.3">
      <c r="E1000" s="150"/>
      <c r="F1000" s="150"/>
      <c r="G1000" s="150"/>
      <c r="H1000" s="150"/>
      <c r="R1000" s="150"/>
      <c r="T1000" s="150"/>
      <c r="W1000" s="150"/>
    </row>
  </sheetData>
  <autoFilter ref="E4:X55" xr:uid="{FFACE278-E85F-400F-A621-E9867C7F5309}"/>
  <mergeCells count="2">
    <mergeCell ref="A1:B1"/>
    <mergeCell ref="A2:B2"/>
  </mergeCells>
  <conditionalFormatting sqref="T5:T55">
    <cfRule type="containsText" dxfId="3" priority="3" stopIfTrue="1" operator="containsText" text="OK">
      <formula>NOT(ISERROR(SEARCH("OK",T5)))</formula>
    </cfRule>
    <cfRule type="notContainsText" dxfId="2" priority="4" stopIfTrue="1" operator="notContains" text="OK">
      <formula>ISERROR(SEARCH("OK",T5))</formula>
    </cfRule>
  </conditionalFormatting>
  <conditionalFormatting sqref="V5:W55">
    <cfRule type="cellIs" dxfId="1" priority="1" operator="equal">
      <formula>"WRONG"</formula>
    </cfRule>
    <cfRule type="cellIs" dxfId="0" priority="2" operator="equal">
      <formula>"RIGHT"</formula>
    </cfRule>
  </conditionalFormatting>
  <hyperlinks>
    <hyperlink ref="B3" location="'HOME'!D1" display="HOME" xr:uid="{109B8393-8109-4897-90B3-2FFCADAC2101}"/>
    <hyperlink ref="B4" location="'NORMAL'!D1" display="NORMAL" xr:uid="{D6C94BC3-2F8E-451C-A4D9-C52D9AA90488}"/>
    <hyperlink ref="B5" location="'LOGNORMAL'!D1" display="LOGNORMAL" xr:uid="{D615932E-6E09-4A68-A680-E951F517C91F}"/>
    <hyperlink ref="B6" location="'BENCHMARK_NORMALFAMILY'!D1" display="BENCHMARK_NORMALFAMILY" xr:uid="{3B192323-8612-4311-899B-688B63221837}"/>
  </hyperlink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SETUP</vt:lpstr>
      <vt:lpstr>NORMAL</vt:lpstr>
      <vt:lpstr>LOGNORMAL</vt:lpstr>
      <vt:lpstr>BENCHMARK_NORMALFAMILY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2026-07-08T06:33:16Z</dcterms:created>
  <dcterms:modified xsi:type="dcterms:W3CDTF">2026-07-19T08:30:38Z</dcterms:modified>
</cp:coreProperties>
</file>