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 2024 Confirmation Form- 50" sheetId="1" r:id="rId4"/>
    <sheet state="visible" name="Nametag Creation" sheetId="2" r:id="rId5"/>
    <sheet state="visible" name="Pitch Start Ups" sheetId="3" r:id="rId6"/>
    <sheet state="visible" name="IGNITE Email List 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https://drive.google.com/drive/u/1/folders/1hjDVP9K9gcnRWBuA2WtGFtsuR9o4EDa0
----
include photos in website
	-Zubin Hydrie</t>
      </text>
    </comment>
    <comment authorId="0" ref="C1">
      <text>
        <t xml:space="preserve">Company name, industry, website if applicable, founder names &amp; cofounders, linkedins, one sentence of company, AND company logos
	-Zubin Hydrie</t>
      </text>
    </comment>
    <comment authorId="0" ref="V26">
      <text>
        <t xml:space="preserve">Navya asked if we can please remove the background for her. She sent a transparent background version but looked terrible
	-Parker Shurtz
I just added Lionistic onto the main logo folder you made. I fixed the transparent background. Sorry for the delay
	-Troy Labs
^This is still CHloe Lmao
	-Troy Labs</t>
      </text>
    </comment>
    <comment authorId="0" ref="C39">
      <text>
        <t xml:space="preserve">Goes by 'Kido Care'??
	-Parker Shurtz
yeah, i just emailed to confirm that... bc that will look like a mistake on our end with the discrepancy
	-Troy Labs</t>
      </text>
    </comment>
    <comment authorId="0" ref="V9">
      <text>
        <t xml:space="preserve">BRO YOU SENT A LINK TO GOOGLE DRIVE HOME WTAF
	-Troy Labs
emailed
	-Troy Labs</t>
      </text>
    </comment>
    <comment authorId="0" ref="V39">
      <text>
        <t xml:space="preserve">NEED ACCESS
	-Troy Labs
resuested
	-Troy Labs
granted, but logos need to be transparent
	-Parker Shurtz</t>
      </text>
    </comment>
    <comment authorId="0" ref="V23">
      <text>
        <t xml:space="preserve">NEED LOGO WITHOUT BACKGROUND
	-Troy Labs
emailed
	-Troy Labs
still waiting to hear back
	-Parker Shurtz
If no reply by EOD 3/26, we are either using this logo (looks like shit) or somehow removing the background without it ultimately looking like shit
	-Parker Shurtz
No reply which means the above is in effect ^
	-Parker Shurtz
Hi Parker! Sorry, was able to look at it now. I think it is transparent... I think part of their logo is the Brown Box. SO we will just post it as is. Keep the Brown Background
	-Troy Labs
^ this is Chloe Lol
	-Troy Labs</t>
      </text>
    </comment>
  </commentList>
</comments>
</file>

<file path=xl/sharedStrings.xml><?xml version="1.0" encoding="utf-8"?>
<sst xmlns="http://schemas.openxmlformats.org/spreadsheetml/2006/main" count="861" uniqueCount="424">
  <si>
    <t xml:space="preserve">Emailed Welcome Packet? </t>
  </si>
  <si>
    <t xml:space="preserve">Startup Count </t>
  </si>
  <si>
    <t>Company Name:</t>
  </si>
  <si>
    <t>Company Industry:</t>
  </si>
  <si>
    <t>Origin Year of Company:</t>
  </si>
  <si>
    <t>Company Website:</t>
  </si>
  <si>
    <t>Final Pitch Deck:</t>
  </si>
  <si>
    <t>Founder Full Name*:*</t>
  </si>
  <si>
    <t>Founder Email Address:</t>
  </si>
  <si>
    <t>Founder LinkedIn:</t>
  </si>
  <si>
    <t>What school do you primarily belong to?</t>
  </si>
  <si>
    <t>What is your status with regards to your school?</t>
  </si>
  <si>
    <t>Please attach a photo of yourself to be added to our website.</t>
  </si>
  <si>
    <t>Do you have any Co-Founders?</t>
  </si>
  <si>
    <t>Co-Founder Full Name:</t>
  </si>
  <si>
    <t>Co-Founder LinkedIn:</t>
  </si>
  <si>
    <t xml:space="preserve">Which race or ethnicity best describes you? </t>
  </si>
  <si>
    <t>Do you have any other members of your Founding Team?</t>
  </si>
  <si>
    <t>Please attach a link to a Google Drive folder.</t>
  </si>
  <si>
    <t xml:space="preserve">By submitting this form, you are confirming your in-person attendenance at DEMO 2024. </t>
  </si>
  <si>
    <t>Submitted At</t>
  </si>
  <si>
    <t>Token</t>
  </si>
  <si>
    <t>Emailed</t>
  </si>
  <si>
    <t>AirVitalize Innovations</t>
  </si>
  <si>
    <t>Climate, Consumer Products/CPG</t>
  </si>
  <si>
    <t>2022</t>
  </si>
  <si>
    <t>Serena Allen</t>
  </si>
  <si>
    <t>serena@airvitalize.tech</t>
  </si>
  <si>
    <t>Price School of Public Policy</t>
  </si>
  <si>
    <t>Alumni</t>
  </si>
  <si>
    <t>https://drive.google.com/drive/folders/1bIHs4epXxD26fpQ2ub-DzL4jFGovUbj2?usp=sharing</t>
  </si>
  <si>
    <t>a9fhzb5se8agda9fhzbh1ib20picc0aj</t>
  </si>
  <si>
    <t>AiStudy</t>
  </si>
  <si>
    <t>AI/ML, Education, SaaS</t>
  </si>
  <si>
    <t>2024</t>
  </si>
  <si>
    <t>Adam Yang</t>
  </si>
  <si>
    <t>adamyang@usc.edu</t>
  </si>
  <si>
    <t>Viterbi School of Engineering</t>
  </si>
  <si>
    <t>Undergraduate Student</t>
  </si>
  <si>
    <t>Justin Xu</t>
  </si>
  <si>
    <t>Marshall School of Business</t>
  </si>
  <si>
    <t>Asian</t>
  </si>
  <si>
    <t>https://drive.google.com/drive/folders/1IPTPMcFoagc42-BedQyG9kL7IWVk7o2_?usp=sharing</t>
  </si>
  <si>
    <t>0v9vo6susd3txpbduiak20v9vf6n95it</t>
  </si>
  <si>
    <t>Amino Avenue</t>
  </si>
  <si>
    <t>Food</t>
  </si>
  <si>
    <t>2023</t>
  </si>
  <si>
    <t>Jenna Jiaying Wu</t>
  </si>
  <si>
    <t>jjwu@usc.edu</t>
  </si>
  <si>
    <t>Cameron Joshua Wong</t>
  </si>
  <si>
    <t>https://drive.google.com/drive/folders/1KxR_m6b2CUNsFpaibgtmL4NJI9tfx7a0?usp=sharing</t>
  </si>
  <si>
    <t>h903tx5kdxck0zh903tx6zzia97zsgo4</t>
  </si>
  <si>
    <t>anacapa</t>
  </si>
  <si>
    <t>Manufacturing</t>
  </si>
  <si>
    <t>2021</t>
  </si>
  <si>
    <t>Adiam Asfaha</t>
  </si>
  <si>
    <t>asfaha@usc.edu</t>
  </si>
  <si>
    <t>Graduate Student</t>
  </si>
  <si>
    <t>N/A</t>
  </si>
  <si>
    <t>5agapa9mczeayx28qmf105agapa6hfuh</t>
  </si>
  <si>
    <t>ARLingo</t>
  </si>
  <si>
    <t>Education</t>
  </si>
  <si>
    <t>Rylan Pozniak Daniels</t>
  </si>
  <si>
    <t>rylandan@usc.edu</t>
  </si>
  <si>
    <t>Iovine and Young Academy</t>
  </si>
  <si>
    <t>https://drive.google.com/drive/folders/170bnZNY8wVcWT0aJfa-E9eE2FffBwY12?usp=sharing</t>
  </si>
  <si>
    <t>8utmdq5wkyg6px48utmszmz8g0kkc1y2</t>
  </si>
  <si>
    <t>Bahamii</t>
  </si>
  <si>
    <t>Consumer Products/CPG, Food</t>
  </si>
  <si>
    <t>Aaron Nazarian</t>
  </si>
  <si>
    <t>aronnazarian@gmail.com</t>
  </si>
  <si>
    <t>Noah Nazarian</t>
  </si>
  <si>
    <t>White</t>
  </si>
  <si>
    <t>https://drive.google.com/drive/folders/1sGNqiokaeehZSZN69ZlNf-5creQXBxwL?usp=sharing</t>
  </si>
  <si>
    <t>2l3xr0dbfplo4c82l3x3gyfwoq26733d</t>
  </si>
  <si>
    <t>Beige</t>
  </si>
  <si>
    <t>Consumer Products/CPG, Media</t>
  </si>
  <si>
    <t>2020</t>
  </si>
  <si>
    <t>Kawser Khan</t>
  </si>
  <si>
    <t>kawser@beigecorporation.io</t>
  </si>
  <si>
    <t>College Dropout</t>
  </si>
  <si>
    <t>Other</t>
  </si>
  <si>
    <t>https://drive.google.com/drive/folders/1oODwvTfM2rL4dH1xHO9jhq5joeQrkNuZ?usp=sharing</t>
  </si>
  <si>
    <t>kry2a4xytet82mikry2alt12rlh87az2</t>
  </si>
  <si>
    <t>BIOMED, INC.</t>
  </si>
  <si>
    <t>BioTech, Healthcare</t>
  </si>
  <si>
    <t>BOBBY NTOYA</t>
  </si>
  <si>
    <t>bob@medibles.io</t>
  </si>
  <si>
    <t>https://drive.google.com/drive/u/0/home</t>
  </si>
  <si>
    <t>6jmxlxejg33h8q7nexr6jmxlh0oclkrl</t>
  </si>
  <si>
    <t>Buzzwa Core</t>
  </si>
  <si>
    <t>AI/ML, Consumer Products/CPG</t>
  </si>
  <si>
    <t>Ezra Bird</t>
  </si>
  <si>
    <t>ebird@usc.edu</t>
  </si>
  <si>
    <t>Samson Taxon</t>
  </si>
  <si>
    <t>I prefer not to answer</t>
  </si>
  <si>
    <t>https://drive.google.com/drive/folders/1Z99pYbao2tRXTHiT8OAghYYamKi4QuVc?usp=sharing</t>
  </si>
  <si>
    <t>pde0iruycs8q6pd9zw6poa2rghcbi9ph</t>
  </si>
  <si>
    <t>Catalyst Robotics</t>
  </si>
  <si>
    <t>AI/ML, Healthcare</t>
  </si>
  <si>
    <t>Detravious Jamari Brinkley</t>
  </si>
  <si>
    <t>dbrinkle@usc.edu</t>
  </si>
  <si>
    <t>Bella Nava</t>
  </si>
  <si>
    <t>Black or African American</t>
  </si>
  <si>
    <t>https://drive.google.com/drive/folders/1JPQDQITIjyC0zNDp4EHIus7KIUsx-9DQ?usp=sharing</t>
  </si>
  <si>
    <t>fe047nl5613vadgk4eo8fe047nwkgta5</t>
  </si>
  <si>
    <t>Convoice</t>
  </si>
  <si>
    <t>AI/ML, E-Commerce, Enterprise</t>
  </si>
  <si>
    <t>Yuxing Zhou</t>
  </si>
  <si>
    <t>yuxing@convoice.ai</t>
  </si>
  <si>
    <t>https://drive.google.com/drive/folders/1GWre4yIEgCefJzYFwOEyXbt7y7ReUaNL?usp=sharing</t>
  </si>
  <si>
    <t>eif10i4yo3wz6abeif10i7l59g84jvo7</t>
  </si>
  <si>
    <t>Degreely</t>
  </si>
  <si>
    <t>Danny Pugh</t>
  </si>
  <si>
    <t>danny@degreely.com</t>
  </si>
  <si>
    <t>Garrett Sanderson</t>
  </si>
  <si>
    <t>https://drive.google.com/drive/folders/15tt915obUnuAr92icDhWmITHw98ON0Rb?usp=share_link</t>
  </si>
  <si>
    <t>bdjsgzkhhoi354y4sdbcaq6bdjsgzkhf</t>
  </si>
  <si>
    <t>Digistone</t>
  </si>
  <si>
    <t>Consumer Products/CPG</t>
  </si>
  <si>
    <t>Darcell Edwards</t>
  </si>
  <si>
    <t>darcelle@usc.edu</t>
  </si>
  <si>
    <t>Ketana Chadalavada</t>
  </si>
  <si>
    <t>https://drive.google.com/file/d/1Ei3uFL4dHtYg-CMEypAYun22oDyJwcwr/view?usp=drive_link</t>
  </si>
  <si>
    <t>5rbm6y8ypq2v4w4085rbm606rzwd6nlg</t>
  </si>
  <si>
    <t>Dual-X Studio</t>
  </si>
  <si>
    <t>Entertainment</t>
  </si>
  <si>
    <t>Ellie(Ziyan) Cai</t>
  </si>
  <si>
    <t>ziyancai@usc.edu</t>
  </si>
  <si>
    <t>Annenberg School for Communication and Journalism</t>
  </si>
  <si>
    <t>https://drive.google.com/file/d/1x4iktzmzMYE3zzBoMIunxc57cTTlBo5R/view?usp=sharing</t>
  </si>
  <si>
    <t>wvpisj6g636o4hewvpisj20xfdi0vvgf</t>
  </si>
  <si>
    <t>EVRYN</t>
  </si>
  <si>
    <t>E-Commerce, Consumer Products/CPG</t>
  </si>
  <si>
    <t>Riya Daga</t>
  </si>
  <si>
    <t>rdaga@usc.edu</t>
  </si>
  <si>
    <t>https://drive.google.com/drive/folders/1IOoLEnHjqfin4aeuJRpv_H-cVNRMm9-M?usp=sharing</t>
  </si>
  <si>
    <t>s0qv9xb86bdfn5kuund7s0qv9xwk8ps6</t>
  </si>
  <si>
    <t>Fair &amp; Square</t>
  </si>
  <si>
    <t>Alex Duong</t>
  </si>
  <si>
    <t>marketing@itsfairandsquare.com</t>
  </si>
  <si>
    <t>https://drive.google.com/file/d/1rIwhm4BZ2ix7DleC76Dk5sqQxypFOLnN/view?usp=sharing</t>
  </si>
  <si>
    <t>ttwzn0fbm73fco3schikzttwzn0fz5yj</t>
  </si>
  <si>
    <t>Guard ProStamp Inc.</t>
  </si>
  <si>
    <t>SaaS</t>
  </si>
  <si>
    <t>Bo Ying Liu</t>
  </si>
  <si>
    <t>boyingli@usc.edu</t>
  </si>
  <si>
    <t>https://drive.google.com/drive/folders/1TFTyumqCv6pAIuAnHBUe48LdvkcvSk21?usp=drive_link</t>
  </si>
  <si>
    <t>j0w2zmgncvbfdgvtpj0w200eoxypxbnt</t>
  </si>
  <si>
    <t>Hatchet</t>
  </si>
  <si>
    <t>Information Technology</t>
  </si>
  <si>
    <t>Dylan Lewis</t>
  </si>
  <si>
    <t>dylanlew@usc.edu</t>
  </si>
  <si>
    <t>Alex Forgosh</t>
  </si>
  <si>
    <t>https://drive.google.com/drive/folders/1hLRw-6e_GubFMYkAeJliO5aRHhifjzjX?usp=sharing</t>
  </si>
  <si>
    <t>pbqq3sau4uyzupbqq3brli0aaul4z7bt</t>
  </si>
  <si>
    <t>Intuition Intelligence Inc.</t>
  </si>
  <si>
    <t>AI/ML, Entertainment, SaaS</t>
  </si>
  <si>
    <t>2019</t>
  </si>
  <si>
    <t>YUSUF ANSARI</t>
  </si>
  <si>
    <t>ansariarif@yahoo.com</t>
  </si>
  <si>
    <t>Marshall School of Business, Viterbi School of Engineering</t>
  </si>
  <si>
    <t>Arif Ansari</t>
  </si>
  <si>
    <t>Faculty/Staff</t>
  </si>
  <si>
    <t>https://drive.google.com/drive/folders/1Q_R7qAmfhNYghIPnIPWB2m1lIuBZo105?usp=drive_link</t>
  </si>
  <si>
    <t>dnnm59vscp23cz6xpkfdnnm59vhdyujo</t>
  </si>
  <si>
    <t>Jargon</t>
  </si>
  <si>
    <t>AI/ML, Education</t>
  </si>
  <si>
    <t>Sheila Wang</t>
  </si>
  <si>
    <t>wangshei@usc.edu</t>
  </si>
  <si>
    <t>Jason Wiemels</t>
  </si>
  <si>
    <t>https://drive.google.com/drive/folders/1KCfJ3tsbVE4PxiBKVb4FIfPLMm7P2GVD?usp=share_link</t>
  </si>
  <si>
    <t>yl4mo7zh8unebmylzdnu4ino8cgsm0tn</t>
  </si>
  <si>
    <t>Joja Entertainment LLC</t>
  </si>
  <si>
    <t>Entertainment, Media</t>
  </si>
  <si>
    <t>Danial Gondal</t>
  </si>
  <si>
    <t>admin@jojatv.com</t>
  </si>
  <si>
    <t>https://drive.google.com/drive/folders/1sB8_6C0YI9FllYdjwG8cLrmtN7cvnjht?usp=sharing</t>
  </si>
  <si>
    <t>k5ikoortx53v54tzw8k5ikoomlqmch7o</t>
  </si>
  <si>
    <t>KADAK</t>
  </si>
  <si>
    <t>Food, Hospitality, Retail</t>
  </si>
  <si>
    <t>Lakshya Bothra</t>
  </si>
  <si>
    <t>bothra@usc.edu</t>
  </si>
  <si>
    <t>Srishti Chopra</t>
  </si>
  <si>
    <t>University of Pennsylvania</t>
  </si>
  <si>
    <t>https://drive.google.com/drive/folders/1J8Hjrb4F1AL5Rq4mKYlg0TP63wjKb_mL?usp=sharing</t>
  </si>
  <si>
    <t>mjmrbkbhr5gu74d2y7mjmrbkjzzv6esr</t>
  </si>
  <si>
    <t>Laminar Copilot</t>
  </si>
  <si>
    <t>Transportation, SaaS</t>
  </si>
  <si>
    <t>Kevin Park</t>
  </si>
  <si>
    <t>kevin@laminarlogistics.com</t>
  </si>
  <si>
    <t>USC Marshall (MBA Drop Out)</t>
  </si>
  <si>
    <t>Moses Liu</t>
  </si>
  <si>
    <t>University of California Santa Barbara</t>
  </si>
  <si>
    <t>https://drive.google.com/drive/folders/18EAoDk2kK2rRjRDGPPzbgVT8jltWDHtv?usp=share_link</t>
  </si>
  <si>
    <t>1joja7rc76s89wcrl1joja7vm17xyjmd</t>
  </si>
  <si>
    <t>Lav</t>
  </si>
  <si>
    <t>Natalie felikian</t>
  </si>
  <si>
    <t>natalie@dresslav.com</t>
  </si>
  <si>
    <t>Davis School of Gerontology</t>
  </si>
  <si>
    <t>https://drive.google.com/drive/folders/13QXlQDvQsuxK_vMtLZKo1lZXBHvuEUL7</t>
  </si>
  <si>
    <t>7bdcxp3cpws2df7bdc1hpqtmn5ycputa</t>
  </si>
  <si>
    <t>Lionistic</t>
  </si>
  <si>
    <t>Navya Singh</t>
  </si>
  <si>
    <t>navyasin@usc.edu</t>
  </si>
  <si>
    <t>Viterbi School of Engineering, Marshall School of Business</t>
  </si>
  <si>
    <t>https://drive.google.com/file/d/1HAvI8vfRrdwASX16rWGSbtIICJ4qceBB/view?usp=sharing</t>
  </si>
  <si>
    <t>4lnusla3iay681a361nb94lnuslw8nhv</t>
  </si>
  <si>
    <t>Maplehouse</t>
  </si>
  <si>
    <t>Consumer Products/CPG, Fashion</t>
  </si>
  <si>
    <t>Tyler Shooshani</t>
  </si>
  <si>
    <t>tyler@maplehouse.co</t>
  </si>
  <si>
    <t>https://drive.google.com/drive/folders/1Va37RKxLOVMMlP5mHTlsNdJkTkYBxmdk?usp=sharing</t>
  </si>
  <si>
    <t>32kzfvz8r7oh21gvwg32kzfv86ia0y1f</t>
  </si>
  <si>
    <t>Nexus</t>
  </si>
  <si>
    <t>Saurabh Ghanekar</t>
  </si>
  <si>
    <t>sghaneka@usc.edu</t>
  </si>
  <si>
    <t>https://drive.google.com/drive/folders/1U1CgIrM3J4N0lpXLtL3TdKJ-NlHPKULO?usp=drive_link</t>
  </si>
  <si>
    <t>j2yg8r2ls9ukd6bxh29j2yg8nbifzodj</t>
  </si>
  <si>
    <t>NutriMind</t>
  </si>
  <si>
    <t>E-Commerce, Healthcare</t>
  </si>
  <si>
    <t>Yihan Luo</t>
  </si>
  <si>
    <t>luoyihan@usc.edu</t>
  </si>
  <si>
    <t>School of Cinematic Arts</t>
  </si>
  <si>
    <t>Yixin Sun</t>
  </si>
  <si>
    <t>https://drive.google.com/drive/folders/11O37VUaC3AST0hP7x0Ze3OYstxM7Qjd1?usp=drive_link</t>
  </si>
  <si>
    <t>gt6qxe7jj1dl5zmgt6fnn9gk3wcb7j40</t>
  </si>
  <si>
    <t>OfSpectrum</t>
  </si>
  <si>
    <t>AI/ML, Entertainment, Cybersecurity</t>
  </si>
  <si>
    <t>Yechen Wang</t>
  </si>
  <si>
    <t>yechenwa@usc.edu</t>
  </si>
  <si>
    <t>Yishu Huang</t>
  </si>
  <si>
    <t>Johns Hopkins University</t>
  </si>
  <si>
    <t>https://drive.google.com/drive/folders/1eG-J1Z6Sg9eEWZlL5fj55d9PzWfNoZxz?usp=sharing</t>
  </si>
  <si>
    <t>9kf2rkb75gl4x9kflu9fbnuc2ky6wnrl</t>
  </si>
  <si>
    <t>Orbital Entertainment Supply</t>
  </si>
  <si>
    <t>Aerospace &amp; Defense, Entertainment, Media</t>
  </si>
  <si>
    <t>Anna Shaposhnik</t>
  </si>
  <si>
    <t>shaposhn@usc.edu</t>
  </si>
  <si>
    <t>Luc Hosy</t>
  </si>
  <si>
    <t>https://drive.google.com/drive/folders/1dLEvytxJMR4cVnPDtv2UJclhqpTJuyYC?usp=sharing</t>
  </si>
  <si>
    <t>ydr4pl08csaf5h7kmmiydr4pl37zjhcm</t>
  </si>
  <si>
    <t>Packa.Design</t>
  </si>
  <si>
    <t>Retail</t>
  </si>
  <si>
    <t>samson@packa.design</t>
  </si>
  <si>
    <t>https://drive.google.com/drive/folders/1-7j2eqnUPX68eaOWlE0Q_TXf3twuqM5c?usp=sharing</t>
  </si>
  <si>
    <t>w6ns99txg1cf88enr54t84rw6ns99txt</t>
  </si>
  <si>
    <t>Prometheus Data</t>
  </si>
  <si>
    <t>AI/ML, Finance &amp; Insurance, Information Technology</t>
  </si>
  <si>
    <t>Samuel Cheng</t>
  </si>
  <si>
    <t>samuel.cheng@prometheusdata.io</t>
  </si>
  <si>
    <t>Yu Zhang</t>
  </si>
  <si>
    <t>https://drive.google.com/drive/folders/1t5rl8UbaCLREx8JsOzUhG3AJl4w448Cn?usp=sharing</t>
  </si>
  <si>
    <t>flglgfwvyfaofs80bcflglgfbl622e9z</t>
  </si>
  <si>
    <t>Quinta</t>
  </si>
  <si>
    <t>SaaS, Transportation</t>
  </si>
  <si>
    <t>Julian Lopez Birlain</t>
  </si>
  <si>
    <t>julianlopezbirlain@gmail.com</t>
  </si>
  <si>
    <t>Dana and David Dornsife College of Letters, Arts, and Sciences, Marshall School of Business</t>
  </si>
  <si>
    <t>Miguel Gutierrez Elizondo</t>
  </si>
  <si>
    <t>Universidad Anahuac</t>
  </si>
  <si>
    <t>https://drive.google.com/file/d/1VRKtMVoq0j91mpbBHqXs-iXVX06UrBjP/view?usp=sharing</t>
  </si>
  <si>
    <t>ez70tprhdje4ljnj4vgcjez70tprf0e7</t>
  </si>
  <si>
    <t>Recei</t>
  </si>
  <si>
    <t>Finance &amp; Insurance, Information Technology, Retail</t>
  </si>
  <si>
    <t>Joshua McCampbell</t>
  </si>
  <si>
    <t>mccampbe@usc.edu</t>
  </si>
  <si>
    <t>Mohammed Alamgir</t>
  </si>
  <si>
    <t>https://drive.google.com/drive/folders/1Dqh7rbiuvyLcZc4Un8D6hImhTc0lu5ye?usp=sharing</t>
  </si>
  <si>
    <t>o7dlc49tde05ekzo7qdq0lndnznl62s7</t>
  </si>
  <si>
    <t>RevSend</t>
  </si>
  <si>
    <t>Enterprise, SaaS</t>
  </si>
  <si>
    <t>Jonathan Nahin</t>
  </si>
  <si>
    <t>jon@revsend.com</t>
  </si>
  <si>
    <t>Marshall School of Business, Dana and David Dornsife College of Letters, Arts, and Sciences</t>
  </si>
  <si>
    <t>https://drive.google.com/drive/folders/1di03YEApv2S84_YIqeN9r4-hPLlkzm2D?usp=drive_link</t>
  </si>
  <si>
    <t>2dt13yiwnzg5qn2w62dt13wgf8na9t43</t>
  </si>
  <si>
    <t>Schej</t>
  </si>
  <si>
    <t>Jonathan Liu</t>
  </si>
  <si>
    <t>jzliu@usc.edu</t>
  </si>
  <si>
    <t>Tony Xin</t>
  </si>
  <si>
    <t>UC Berkeley</t>
  </si>
  <si>
    <t>https://drive.google.com/drive/folders/17FkwpZ1u-C56Oq0X_njJBU6niX3137EY?usp=sharing</t>
  </si>
  <si>
    <t>nz3xueg0dymiw7nz3xvb1ea5p88u0xts</t>
  </si>
  <si>
    <t>SeekEatsLA</t>
  </si>
  <si>
    <t>Food, Information Technology</t>
  </si>
  <si>
    <t>Phillip Lau</t>
  </si>
  <si>
    <t>phillip.lau22@gmail.com</t>
  </si>
  <si>
    <t>Rebecca Tao</t>
  </si>
  <si>
    <t>https://drive.google.com/drive/folders/1OVsDgipz06UC6t-Igxq1-XdTHquurvad?usp=sharing</t>
  </si>
  <si>
    <t>m2qz72odxumridffm2qz72q0s1vx1z73</t>
  </si>
  <si>
    <t>SentiMind</t>
  </si>
  <si>
    <t>Mahkameh Rasouli</t>
  </si>
  <si>
    <t>mahkamer@uci.edu</t>
  </si>
  <si>
    <t>UCI</t>
  </si>
  <si>
    <t>Pooyan Mobtahej</t>
  </si>
  <si>
    <t>https://drive.google.com/drive/folders/1M39pVN5LwHiLjAsFqTZXm31fJRN0K37x?usp=drive_link</t>
  </si>
  <si>
    <t>ded8cnm53ptubu7hjqded8ceksps5smf</t>
  </si>
  <si>
    <t>ShapeShift</t>
  </si>
  <si>
    <t>AI/ML, Consumer Products/CPG, SaaS</t>
  </si>
  <si>
    <t>Aryan Barik</t>
  </si>
  <si>
    <t>barik@usc.edu</t>
  </si>
  <si>
    <t>https://drive.google.com/drive/folders/1l7xK6C0KNfXis3RvGROcAT1RDN6WKIWk?usp=sharing</t>
  </si>
  <si>
    <t>m1nj7q5cc73z3ycwdmt3m1nj7qaqrmp3</t>
  </si>
  <si>
    <t>Skyguard</t>
  </si>
  <si>
    <t>AI/ML, SaaS, Manufacturing</t>
  </si>
  <si>
    <t>Xichen Gao</t>
  </si>
  <si>
    <t>xichenga@usc.edu</t>
  </si>
  <si>
    <t>https://drive.google.com/file/d/1zx-6fBYiSaRDhmN95NuGpVd0h1iMgTO4/view?usp=sharing</t>
  </si>
  <si>
    <t>ksd1npcwnpfmt3hzksd1n9iuq5vb2pv6</t>
  </si>
  <si>
    <t>Stellace</t>
  </si>
  <si>
    <t>E-Commerce, Retail, Healthcare</t>
  </si>
  <si>
    <t>Mario Apuzzo</t>
  </si>
  <si>
    <t>info@stellace.com</t>
  </si>
  <si>
    <t>https://drive.google.com/drive/folders/1xT3tAyowsSkW1PRqzbsBlh_gOiamMHZH?usp=sharing</t>
  </si>
  <si>
    <t>jjux6w6cx8a6bki46pjjux6whd0qvl3q</t>
  </si>
  <si>
    <t>Tanbii</t>
  </si>
  <si>
    <t>Climate, Entertainment, Education</t>
  </si>
  <si>
    <t>Sky Xiang</t>
  </si>
  <si>
    <t>sky.xiang@tanbii.com</t>
  </si>
  <si>
    <t>Robert Luo</t>
  </si>
  <si>
    <t>https://drive.google.com/drive/u/0/folders/1ywM6eqFJmxujwgPZ-oFJZLk1VqPaAdrZ</t>
  </si>
  <si>
    <t>tr1tfhgduhr6z2n4ctrfw63wxspcczsx</t>
  </si>
  <si>
    <t>TERRATOKES</t>
  </si>
  <si>
    <t>Consumer Products/CPG, E-Commerce, Manufacturing</t>
  </si>
  <si>
    <t>Jun Matsuo</t>
  </si>
  <si>
    <t>jun.matsuo@terratokes.com</t>
  </si>
  <si>
    <t>Plato Bougas</t>
  </si>
  <si>
    <t>https://drive.google.com/file/d/1tEopoxJJUISo7Mchc4zjHvjTRLouugmD/view?usp=sharing</t>
  </si>
  <si>
    <t>tq276ieaj06quz51pjtq276i0p8pnbnr</t>
  </si>
  <si>
    <t>The Indiestry</t>
  </si>
  <si>
    <t>Internet</t>
  </si>
  <si>
    <t>Alex Nimrod</t>
  </si>
  <si>
    <t>nimrod@usc.edu</t>
  </si>
  <si>
    <t>School of Dramatic Arts, School of Cinematic Arts</t>
  </si>
  <si>
    <t>Maximus Jenkins &amp; Kaleb Manske</t>
  </si>
  <si>
    <t>Dana and David Dornsife College of Letters, Arts, and Sciences, School of Cinematic Arts</t>
  </si>
  <si>
    <t>https://drive.google.com/drive/folders/1cfAPmLAMnBmiZlbJrmHAH-DM9Sx3dBw0?usp=share_link</t>
  </si>
  <si>
    <t>iu2hqv4gt0mmdb5iu2hqvfsyss8jl1tr</t>
  </si>
  <si>
    <t>ThirdPlace</t>
  </si>
  <si>
    <t>E-Commerce, SaaS</t>
  </si>
  <si>
    <t>Ryan Yeung</t>
  </si>
  <si>
    <t>ryyeung@usc.edu</t>
  </si>
  <si>
    <t>Neil Yeung</t>
  </si>
  <si>
    <t>Cornell</t>
  </si>
  <si>
    <t>https://drive.google.com/drive/folders/1Yz3T6K6Aq4QoQVZEJ4Zln-Ch2jbrfzW6?usp=sharing</t>
  </si>
  <si>
    <t>r7gfl8l4ag5mwo6mcmr7gfllz9cpnhyt</t>
  </si>
  <si>
    <t>TwoTwenty Hard Seltzer</t>
  </si>
  <si>
    <t>Consumer Products/CPG, Retail</t>
  </si>
  <si>
    <t>Nick Chetwood</t>
  </si>
  <si>
    <t>nicholas.chetwood.2025@marshall.usc.edu</t>
  </si>
  <si>
    <t>https://drive.google.com/drive/folders/1Fm1rsNbPREpmxpQ4qsuzgxYxqpeZXr75?usp=sharing</t>
  </si>
  <si>
    <t>se4vyrp5t8segwn6ei0hypvtlf8m2veg</t>
  </si>
  <si>
    <t>ūnderdose</t>
  </si>
  <si>
    <t>Consumer Products/CPG, Healthcare</t>
  </si>
  <si>
    <t>Tatum Verona</t>
  </si>
  <si>
    <t>tverona@usc.edu</t>
  </si>
  <si>
    <t>https://drive.google.com/drive/folders/1ZeW9j9XaZuvra9KjnJVNUpnUx2UERML6?usp=sharing</t>
  </si>
  <si>
    <t>nzmf3dhjzy65r7i6asycfnnzmf3dh0e7</t>
  </si>
  <si>
    <t>UpDonor</t>
  </si>
  <si>
    <t>Information Technology, Internet</t>
  </si>
  <si>
    <t>Matthew Grant</t>
  </si>
  <si>
    <t>matthew.grant@updonor.org</t>
  </si>
  <si>
    <t>https://drive.google.com/drive/folders/1LvD_RN39SGrgDiZSUMpj0ygyoUzneIUG?usp=drive_link</t>
  </si>
  <si>
    <t>wqjskdqp1jst9j7wqjskymnxgblypqhb</t>
  </si>
  <si>
    <t>ViBo Health</t>
  </si>
  <si>
    <t>Healthcare, Consumer Products/CPG</t>
  </si>
  <si>
    <t>Gil Travish</t>
  </si>
  <si>
    <t>gil.travish@vibo.health</t>
  </si>
  <si>
    <t>UCLA</t>
  </si>
  <si>
    <t>https://we.tl/t-hDUHsbfaYJ</t>
  </si>
  <si>
    <t>ix7ztl8ju5tijr7zkix7ztlljv4aohho</t>
  </si>
  <si>
    <t>WellTra.AI</t>
  </si>
  <si>
    <t>Healthcare, SaaS</t>
  </si>
  <si>
    <t>Omar Abdullateef</t>
  </si>
  <si>
    <t>omar.anees@outlook.com</t>
  </si>
  <si>
    <t>Anees Abdullateef</t>
  </si>
  <si>
    <t>CSULB</t>
  </si>
  <si>
    <t>https://drive.google.com/drive/folders/1OhjMiUvsGZfbgYS-xBtGe3TrpCbBwIrF?usp=sharing</t>
  </si>
  <si>
    <t>fkyomp7peefvdffkyxbdx2wkmf68hvpr</t>
  </si>
  <si>
    <t xml:space="preserve">Pulled Out of DEMO 2024 :( </t>
  </si>
  <si>
    <t>Holdit Labs</t>
  </si>
  <si>
    <t>SaaS, Enterprise, Healthcare</t>
  </si>
  <si>
    <t>Toby Fenner</t>
  </si>
  <si>
    <t>tfenner@usc.edu</t>
  </si>
  <si>
    <t>Benjamin Garofalo</t>
  </si>
  <si>
    <t>University of California, San Diego</t>
  </si>
  <si>
    <t>https://drive.google.com/drive/folders/1PTE-rlJ7X0D8dzPOGFHx2VqsXVs4KPYH?usp=drive_link</t>
  </si>
  <si>
    <t>650c28e2hppb650v2wyzb0p2ls89ap6w</t>
  </si>
  <si>
    <t>Old submission</t>
  </si>
  <si>
    <t>Guard ProStamp</t>
  </si>
  <si>
    <t>http://guardprostamp.com</t>
  </si>
  <si>
    <t>https://api.typeform.com/responses/files/d175c97dc2fca4f0d26d69203b041b862732afbed561b52e3c36eba7c1bb87c3/Guard_ProStamp_Final_Demo2024.pdf</t>
  </si>
  <si>
    <t>lby167@gmail.com</t>
  </si>
  <si>
    <t>https://www.linkedin.com/in/bo-ying-liu-p-e-8a0010a7/</t>
  </si>
  <si>
    <t>https://api.typeform.com/responses/files/633c006208bc1593834730599acee529dab62c20493c79cb1b3db88d5c07fe0a/Bo_YIng_Liu.jpg</t>
  </si>
  <si>
    <t>Company Name</t>
  </si>
  <si>
    <t>Company Industry</t>
  </si>
  <si>
    <t>Logo Added?</t>
  </si>
  <si>
    <t>QR Code?</t>
  </si>
  <si>
    <t>Done?</t>
  </si>
  <si>
    <t>Companies Hiring:</t>
  </si>
  <si>
    <t>Anacapa Robotics</t>
  </si>
  <si>
    <t>Terratokes</t>
  </si>
  <si>
    <t>Is it blurry?</t>
  </si>
  <si>
    <t>TwoTwenty</t>
  </si>
  <si>
    <t>Underdose</t>
  </si>
  <si>
    <t>Blurry?</t>
  </si>
  <si>
    <t>Blurry lol</t>
  </si>
  <si>
    <t>Company</t>
  </si>
  <si>
    <t>Foounder</t>
  </si>
  <si>
    <t>Maybe List</t>
  </si>
  <si>
    <t>Tanbii.Inc</t>
  </si>
  <si>
    <t>Yi Luo</t>
  </si>
  <si>
    <t>SeekEats</t>
  </si>
  <si>
    <t>Confirmed</t>
  </si>
  <si>
    <t>wangshei@Usc.edu</t>
  </si>
  <si>
    <t>TwentyTwo Hard Seltzer</t>
  </si>
  <si>
    <t xml:space="preserve">LAUNCH Winners </t>
  </si>
  <si>
    <t>Founder Email</t>
  </si>
  <si>
    <t>Startup Affiliation</t>
  </si>
  <si>
    <t>jamessw@usc.edu</t>
  </si>
  <si>
    <t>aansari@marshall.usc.edu</t>
  </si>
  <si>
    <t>justinxu@usc.edu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</si>
</sst>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  <font>
      <u/>
      <color rgb="FFFF0000"/>
    </font>
    <font>
      <color rgb="FF000000"/>
      <name val="Arial"/>
    </font>
    <font>
      <u/>
      <color rgb="FF000000"/>
      <name val="Arial"/>
    </font>
    <font>
      <color theme="1"/>
      <name val="Arial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quotePrefix="1" borderId="0" fillId="0" fontId="2" numFmtId="0" xfId="0" applyFont="1"/>
    <xf borderId="0" fillId="0" fontId="3" numFmtId="0" xfId="0" applyFont="1"/>
    <xf borderId="0" fillId="3" fontId="2" numFmtId="0" xfId="0" applyFill="1" applyFont="1"/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quotePrefix="1" borderId="0" fillId="0" fontId="4" numFmtId="0" xfId="0" applyFont="1"/>
    <xf borderId="0" fillId="0" fontId="5" numFmtId="0" xfId="0" applyFont="1"/>
    <xf borderId="0" fillId="4" fontId="6" numFmtId="0" xfId="0" applyAlignment="1" applyFill="1" applyFont="1">
      <alignment vertical="bottom"/>
    </xf>
    <xf borderId="0" fillId="4" fontId="7" numFmtId="0" xfId="0" applyAlignment="1" applyFont="1">
      <alignment vertical="bottom"/>
    </xf>
    <xf borderId="0" fillId="4" fontId="6" numFmtId="0" xfId="0" applyAlignment="1" applyFont="1">
      <alignment horizontal="center" vertical="bottom"/>
    </xf>
    <xf borderId="0" fillId="4" fontId="6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horizontal="left" shrinkToFit="0" vertical="bottom" wrapText="0"/>
    </xf>
    <xf borderId="0" fillId="5" fontId="6" numFmtId="0" xfId="0" applyAlignment="1" applyFill="1" applyFont="1">
      <alignment horizontal="left"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6" numFmtId="164" xfId="0" applyAlignment="1" applyFont="1" applyNumberFormat="1">
      <alignment horizontal="right" readingOrder="0" shrinkToFit="0" vertical="bottom" wrapText="0"/>
    </xf>
    <xf borderId="0" fillId="6" fontId="1" numFmtId="0" xfId="0" applyAlignment="1" applyFill="1" applyFont="1">
      <alignment horizontal="center" readingOrder="0"/>
    </xf>
    <xf borderId="0" fillId="0" fontId="1" numFmtId="0" xfId="0" applyFont="1"/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9" numFmtId="0" xfId="0" applyAlignment="1" applyFont="1">
      <alignment vertical="bottom"/>
    </xf>
    <xf borderId="0" fillId="2" fontId="2" numFmtId="0" xfId="0" applyFont="1"/>
    <xf borderId="0" fillId="2" fontId="8" numFmtId="0" xfId="0" applyAlignment="1" applyFont="1">
      <alignment vertical="bottom"/>
    </xf>
    <xf borderId="0" fillId="3" fontId="2" numFmtId="0" xfId="0" applyAlignment="1" applyFont="1">
      <alignment readingOrder="0"/>
    </xf>
    <xf borderId="0" fillId="4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oogle.com/url?q=http://guardprostamp.com&amp;sa=D&amp;source=editors&amp;ust=1710992421422234&amp;usg=AOvVaw1Gwk5D7cvQt5YDRyr4JsRm" TargetMode="External"/><Relationship Id="rId3" Type="http://schemas.openxmlformats.org/officeDocument/2006/relationships/hyperlink" Target="https://www.google.com/url?q=https://api.typeform.com/responses/files/d175c97dc2fca4f0d26d69203b041b862732afbed561b52e3c36eba7c1bb87c3/Guard_ProStamp_Final_Demo2024.pdf&amp;sa=D&amp;source=editors&amp;ust=1710992421422332&amp;usg=AOvVaw18nGyhQe27juRgQpa6QH4F" TargetMode="External"/><Relationship Id="rId4" Type="http://schemas.openxmlformats.org/officeDocument/2006/relationships/hyperlink" Target="https://www.google.com/url?q=https://www.linkedin.com/in/bo-ying-liu-p-e-8a0010a7/&amp;sa=D&amp;source=editors&amp;ust=1710992421422476&amp;usg=AOvVaw3qYnjh8Iewak_mx0oHNjOP" TargetMode="External"/><Relationship Id="rId5" Type="http://schemas.openxmlformats.org/officeDocument/2006/relationships/hyperlink" Target="https://www.google.com/url?q=https://api.typeform.com/responses/files/633c006208bc1593834730599acee529dab62c20493c79cb1b3db88d5c07fe0a/Bo_YIng_Liu.jpg&amp;sa=D&amp;source=editors&amp;ust=1710992421422599&amp;usg=AOvVaw0_HLd6tXXCD0VOtXhePnoh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0"/>
    <col customWidth="1" min="2" max="2" width="12.88"/>
    <col customWidth="1" min="3" max="3" width="22.25"/>
    <col customWidth="1" min="4" max="4" width="48.0"/>
    <col customWidth="1" min="22" max="22" width="18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10</v>
      </c>
      <c r="R1" s="2" t="s">
        <v>11</v>
      </c>
      <c r="S1" s="2" t="s">
        <v>16</v>
      </c>
      <c r="T1" s="2" t="s">
        <v>12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>
      <c r="A2" s="4" t="s">
        <v>22</v>
      </c>
      <c r="B2" s="5">
        <f>1</f>
        <v>1</v>
      </c>
      <c r="C2" s="5" t="s">
        <v>23</v>
      </c>
      <c r="D2" s="5" t="s">
        <v>24</v>
      </c>
      <c r="E2" s="6" t="s">
        <v>25</v>
      </c>
      <c r="F2" s="7" t="str">
        <f>HYPERLINK("https://www.airvitalize.tech")</f>
        <v>https://www.airvitalize.tech</v>
      </c>
      <c r="G2" s="7" t="str">
        <f>HYPERLINK("https://api.typeform.com/responses/files/ee87f1da64993b9e5c66d3d7e890d1bcd749fcff47b9029d181b32d603fb86d7/Untitled_document__3_.pdf")</f>
        <v>https://api.typeform.com/responses/files/ee87f1da64993b9e5c66d3d7e890d1bcd749fcff47b9029d181b32d603fb86d7/Untitled_document__3_.pdf</v>
      </c>
      <c r="H2" s="5" t="s">
        <v>26</v>
      </c>
      <c r="I2" s="5" t="s">
        <v>27</v>
      </c>
      <c r="J2" s="7" t="str">
        <f>HYPERLINK("https://www.linkedin.com/in/serenaal")</f>
        <v>https://www.linkedin.com/in/serenaal</v>
      </c>
      <c r="K2" s="5" t="s">
        <v>28</v>
      </c>
      <c r="L2" s="5" t="s">
        <v>29</v>
      </c>
      <c r="M2" s="7" t="str">
        <f>HYPERLINK("https://api.typeform.com/responses/files/97559db98158a7e43569a0c3af4bcd7595345c9b17245e6b877603d0272497c5/IMG_7462.jpg")</f>
        <v>https://api.typeform.com/responses/files/97559db98158a7e43569a0c3af4bcd7595345c9b17245e6b877603d0272497c5/IMG_7462.jpg</v>
      </c>
      <c r="N2" s="5" t="b">
        <v>0</v>
      </c>
      <c r="V2" s="8" t="s">
        <v>30</v>
      </c>
      <c r="W2" s="5" t="b">
        <v>1</v>
      </c>
      <c r="X2" s="9">
        <v>45358.893842592595</v>
      </c>
      <c r="Y2" s="5" t="s">
        <v>31</v>
      </c>
    </row>
    <row r="3">
      <c r="A3" s="4" t="s">
        <v>22</v>
      </c>
      <c r="B3" s="5">
        <f t="shared" ref="B3:B51" si="1">B2+1</f>
        <v>2</v>
      </c>
      <c r="C3" s="5" t="s">
        <v>32</v>
      </c>
      <c r="D3" s="5" t="s">
        <v>33</v>
      </c>
      <c r="E3" s="6" t="s">
        <v>34</v>
      </c>
      <c r="G3" s="7" t="str">
        <f>HYPERLINK("https://api.typeform.com/responses/files/a2a3457532d3ba87a32926cf812ad6199cbd8d0c04dd2a4758a3e5aa9a014da6/aiStudy_PD_Mar_2024.pdf")</f>
        <v>https://api.typeform.com/responses/files/a2a3457532d3ba87a32926cf812ad6199cbd8d0c04dd2a4758a3e5aa9a014da6/aiStudy_PD_Mar_2024.pdf</v>
      </c>
      <c r="H3" s="5" t="s">
        <v>35</v>
      </c>
      <c r="I3" s="5" t="s">
        <v>36</v>
      </c>
      <c r="J3" s="7" t="str">
        <f>HYPERLINK("https://www.linkedin.com/in/shixiang-yang-60b46a219/")</f>
        <v>https://www.linkedin.com/in/shixiang-yang-60b46a219/</v>
      </c>
      <c r="K3" s="5" t="s">
        <v>37</v>
      </c>
      <c r="L3" s="5" t="s">
        <v>38</v>
      </c>
      <c r="M3" s="7" t="str">
        <f>HYPERLINK("https://api.typeform.com/responses/files/5202d4bd6fb9118410e992d5f76314b8be1c75d882c388d941b3c35637d9eb61/Adam.jpg")</f>
        <v>https://api.typeform.com/responses/files/5202d4bd6fb9118410e992d5f76314b8be1c75d882c388d941b3c35637d9eb61/Adam.jpg</v>
      </c>
      <c r="N3" s="5" t="b">
        <v>1</v>
      </c>
      <c r="O3" s="5" t="s">
        <v>39</v>
      </c>
      <c r="P3" s="7" t="str">
        <f>HYPERLINK("https://www.linkedin.com/in/qinhaoxu-usc/")</f>
        <v>https://www.linkedin.com/in/qinhaoxu-usc/</v>
      </c>
      <c r="Q3" s="5" t="s">
        <v>40</v>
      </c>
      <c r="R3" s="5" t="s">
        <v>38</v>
      </c>
      <c r="S3" s="5" t="s">
        <v>41</v>
      </c>
      <c r="T3" s="7" t="str">
        <f>HYPERLINK("https://api.typeform.com/responses/files/abf8d00750b0e09f68bd1d91d9f64a1876caa8835f0f849269ae82ca9a157766/WechatIMG1577.png")</f>
        <v>https://api.typeform.com/responses/files/abf8d00750b0e09f68bd1d91d9f64a1876caa8835f0f849269ae82ca9a157766/WechatIMG1577.png</v>
      </c>
      <c r="U3" s="5" t="b">
        <v>0</v>
      </c>
      <c r="V3" s="8" t="s">
        <v>42</v>
      </c>
      <c r="W3" s="5" t="b">
        <v>1</v>
      </c>
      <c r="X3" s="9">
        <v>45369.26127314815</v>
      </c>
      <c r="Y3" s="5" t="s">
        <v>43</v>
      </c>
    </row>
    <row r="4">
      <c r="A4" s="4" t="s">
        <v>22</v>
      </c>
      <c r="B4" s="5">
        <f t="shared" si="1"/>
        <v>3</v>
      </c>
      <c r="C4" s="5" t="s">
        <v>44</v>
      </c>
      <c r="D4" s="5" t="s">
        <v>45</v>
      </c>
      <c r="E4" s="6" t="s">
        <v>46</v>
      </c>
      <c r="F4" s="7" t="str">
        <f>HYPERLINK("https://aminoave.com/")</f>
        <v>https://aminoave.com/</v>
      </c>
      <c r="G4" s="7" t="str">
        <f>HYPERLINK("https://api.typeform.com/responses/files/310fb9ed7607c275628dba3bcc64db1101329074ffa3247a54c4160acee7af07/Amino_Avenue___Pitch_Deck.pdf")</f>
        <v>https://api.typeform.com/responses/files/310fb9ed7607c275628dba3bcc64db1101329074ffa3247a54c4160acee7af07/Amino_Avenue___Pitch_Deck.pdf</v>
      </c>
      <c r="H4" s="5" t="s">
        <v>47</v>
      </c>
      <c r="I4" s="5" t="s">
        <v>48</v>
      </c>
      <c r="J4" s="7" t="str">
        <f>HYPERLINK("https://www.linkedin.com/in/jenna-jiaying-wu-24880b14a/")</f>
        <v>https://www.linkedin.com/in/jenna-jiaying-wu-24880b14a/</v>
      </c>
      <c r="K4" s="5" t="s">
        <v>40</v>
      </c>
      <c r="L4" s="5" t="s">
        <v>38</v>
      </c>
      <c r="M4" s="7" t="str">
        <f>HYPERLINK("https://api.typeform.com/responses/files/38c1bee97329860013ed555045bd2575635ca8ded4bb40afbbeb5ccceefb32d9/IMG_5764_2.jpg")</f>
        <v>https://api.typeform.com/responses/files/38c1bee97329860013ed555045bd2575635ca8ded4bb40afbbeb5ccceefb32d9/IMG_5764_2.jpg</v>
      </c>
      <c r="N4" s="5" t="b">
        <v>1</v>
      </c>
      <c r="O4" s="5" t="s">
        <v>49</v>
      </c>
      <c r="P4" s="7" t="str">
        <f>HYPERLINK("https://www.linkedin.com/in/cameronjwong/")</f>
        <v>https://www.linkedin.com/in/cameronjwong/</v>
      </c>
      <c r="Q4" s="5" t="s">
        <v>40</v>
      </c>
      <c r="R4" s="5" t="s">
        <v>38</v>
      </c>
      <c r="S4" s="5" t="s">
        <v>41</v>
      </c>
      <c r="T4" s="7" t="str">
        <f>HYPERLINK("https://api.typeform.com/responses/files/94132ef8e21adecd00a49e1f37a9fdd8bff4c25a3b2806ffa1397846961c8368/IMG_2705.jpg")</f>
        <v>https://api.typeform.com/responses/files/94132ef8e21adecd00a49e1f37a9fdd8bff4c25a3b2806ffa1397846961c8368/IMG_2705.jpg</v>
      </c>
      <c r="U4" s="5" t="b">
        <v>0</v>
      </c>
      <c r="V4" s="8" t="s">
        <v>50</v>
      </c>
      <c r="W4" s="5" t="b">
        <v>1</v>
      </c>
      <c r="X4" s="9">
        <v>45356.22974537037</v>
      </c>
      <c r="Y4" s="5" t="s">
        <v>51</v>
      </c>
    </row>
    <row r="5">
      <c r="A5" s="4" t="s">
        <v>22</v>
      </c>
      <c r="B5" s="5">
        <f t="shared" si="1"/>
        <v>4</v>
      </c>
      <c r="C5" s="4" t="s">
        <v>52</v>
      </c>
      <c r="D5" s="5" t="s">
        <v>53</v>
      </c>
      <c r="E5" s="6" t="s">
        <v>54</v>
      </c>
      <c r="F5" s="7" t="str">
        <f>HYPERLINK("https://www.anacaparobotics.com/")</f>
        <v>https://www.anacaparobotics.com/</v>
      </c>
      <c r="G5" s="7" t="str">
        <f>HYPERLINK("https://api.typeform.com/responses/files/7201a14c6fdf6ec257b66b695f38c10eb0b13a9e2aafdbffef75e80bd100b410/Emailed_presentation.pdf")</f>
        <v>https://api.typeform.com/responses/files/7201a14c6fdf6ec257b66b695f38c10eb0b13a9e2aafdbffef75e80bd100b410/Emailed_presentation.pdf</v>
      </c>
      <c r="H5" s="5" t="s">
        <v>55</v>
      </c>
      <c r="I5" s="5" t="s">
        <v>56</v>
      </c>
      <c r="J5" s="7" t="str">
        <f>HYPERLINK("https://www.linkedin.com/in/adiam-k-asfaha/")</f>
        <v>https://www.linkedin.com/in/adiam-k-asfaha/</v>
      </c>
      <c r="K5" s="5" t="s">
        <v>40</v>
      </c>
      <c r="L5" s="5" t="s">
        <v>57</v>
      </c>
      <c r="M5" s="7" t="str">
        <f>HYPERLINK("https://api.typeform.com/responses/files/dd7c8977a02c8e74257ac75bbfb821b7c5c53be1fc490ed783c558fa85ad2595/AAPortrait.jpeg")</f>
        <v>https://api.typeform.com/responses/files/dd7c8977a02c8e74257ac75bbfb821b7c5c53be1fc490ed783c558fa85ad2595/AAPortrait.jpeg</v>
      </c>
      <c r="N5" s="5" t="b">
        <v>0</v>
      </c>
      <c r="V5" s="8" t="s">
        <v>58</v>
      </c>
      <c r="W5" s="5" t="b">
        <v>1</v>
      </c>
      <c r="X5" s="9">
        <v>45360.166400462964</v>
      </c>
      <c r="Y5" s="5" t="s">
        <v>59</v>
      </c>
    </row>
    <row r="6">
      <c r="A6" s="4" t="s">
        <v>22</v>
      </c>
      <c r="B6" s="5">
        <f t="shared" si="1"/>
        <v>5</v>
      </c>
      <c r="C6" s="5" t="s">
        <v>60</v>
      </c>
      <c r="D6" s="5" t="s">
        <v>61</v>
      </c>
      <c r="E6" s="6" t="s">
        <v>46</v>
      </c>
      <c r="F6" s="7" t="str">
        <f>HYPERLINK("https://apps.apple.com/us/app/arlingo/id6476953173")</f>
        <v>https://apps.apple.com/us/app/arlingo/id6476953173</v>
      </c>
      <c r="G6" s="7" t="str">
        <f>HYPERLINK("https://api.typeform.com/responses/files/4fde2ba320eb565a2c99771f38b13108ca41bdedde8da0fca6fa39fba3c1c2d4/ARLingo_Pitch_Deck.pdf")</f>
        <v>https://api.typeform.com/responses/files/4fde2ba320eb565a2c99771f38b13108ca41bdedde8da0fca6fa39fba3c1c2d4/ARLingo_Pitch_Deck.pdf</v>
      </c>
      <c r="H6" s="5" t="s">
        <v>62</v>
      </c>
      <c r="I6" s="5" t="s">
        <v>63</v>
      </c>
      <c r="J6" s="7" t="str">
        <f>HYPERLINK("https://www.linkedin.com/in/rylandaniels/")</f>
        <v>https://www.linkedin.com/in/rylandaniels/</v>
      </c>
      <c r="K6" s="5" t="s">
        <v>64</v>
      </c>
      <c r="L6" s="5" t="s">
        <v>38</v>
      </c>
      <c r="M6" s="7" t="str">
        <f>HYPERLINK("https://api.typeform.com/responses/files/95ac05446d62ca6f4418b1d604e8b6c372e1a4d22ccb4c62db7056269b977b5d/rylan_spacesuit_profile.png")</f>
        <v>https://api.typeform.com/responses/files/95ac05446d62ca6f4418b1d604e8b6c372e1a4d22ccb4c62db7056269b977b5d/rylan_spacesuit_profile.png</v>
      </c>
      <c r="N6" s="5" t="b">
        <v>0</v>
      </c>
      <c r="V6" s="8" t="s">
        <v>65</v>
      </c>
      <c r="W6" s="5" t="b">
        <v>1</v>
      </c>
      <c r="X6" s="9">
        <v>45358.94871527778</v>
      </c>
      <c r="Y6" s="5" t="s">
        <v>66</v>
      </c>
    </row>
    <row r="7">
      <c r="A7" s="4" t="s">
        <v>22</v>
      </c>
      <c r="B7" s="5">
        <f t="shared" si="1"/>
        <v>6</v>
      </c>
      <c r="C7" s="5" t="s">
        <v>67</v>
      </c>
      <c r="D7" s="5" t="s">
        <v>68</v>
      </c>
      <c r="E7" s="6" t="s">
        <v>25</v>
      </c>
      <c r="F7" s="7" t="str">
        <f>HYPERLINK("https://bahamii.com")</f>
        <v>https://bahamii.com</v>
      </c>
      <c r="G7" s="7" t="str">
        <f>HYPERLINK("https://api.typeform.com/responses/files/dfd5400dc20cd9269e5c959bc0e1f617afa4bd2aa0eaab209b60ca27a3345ee4/Bahamii_Deck.pdf")</f>
        <v>https://api.typeform.com/responses/files/dfd5400dc20cd9269e5c959bc0e1f617afa4bd2aa0eaab209b60ca27a3345ee4/Bahamii_Deck.pdf</v>
      </c>
      <c r="H7" s="5" t="s">
        <v>69</v>
      </c>
      <c r="I7" s="5" t="s">
        <v>70</v>
      </c>
      <c r="J7" s="7" t="str">
        <f>HYPERLINK("https://www.linkedin.com/in/aaronnazarian/")</f>
        <v>https://www.linkedin.com/in/aaronnazarian/</v>
      </c>
      <c r="K7" s="5" t="s">
        <v>40</v>
      </c>
      <c r="L7" s="5" t="s">
        <v>38</v>
      </c>
      <c r="M7" s="7" t="str">
        <f>HYPERLINK("https://api.typeform.com/responses/files/3e2bf58ae19627df9c5b4b5d8ce2ad23d1b41fb842e513a4736dbba5fb20fc5c/Headshot_Square.JPG")</f>
        <v>https://api.typeform.com/responses/files/3e2bf58ae19627df9c5b4b5d8ce2ad23d1b41fb842e513a4736dbba5fb20fc5c/Headshot_Square.JPG</v>
      </c>
      <c r="N7" s="5" t="b">
        <v>1</v>
      </c>
      <c r="O7" s="5" t="s">
        <v>71</v>
      </c>
      <c r="P7" s="7" t="str">
        <f>HYPERLINK("https://www.linkedin.com/in/noahnazarian/")</f>
        <v>https://www.linkedin.com/in/noahnazarian/</v>
      </c>
      <c r="Q7" s="5" t="s">
        <v>40</v>
      </c>
      <c r="R7" s="5" t="s">
        <v>29</v>
      </c>
      <c r="S7" s="5" t="s">
        <v>72</v>
      </c>
      <c r="T7" s="7" t="str">
        <f>HYPERLINK("https://api.typeform.com/responses/files/a05d39a37538449bdde82ec599ff75ada55a5e1068da60e76ef86160981836ba/Headshot_Square.JPG")</f>
        <v>https://api.typeform.com/responses/files/a05d39a37538449bdde82ec599ff75ada55a5e1068da60e76ef86160981836ba/Headshot_Square.JPG</v>
      </c>
      <c r="U7" s="5" t="b">
        <v>0</v>
      </c>
      <c r="V7" s="8" t="s">
        <v>73</v>
      </c>
      <c r="W7" s="5" t="b">
        <v>1</v>
      </c>
      <c r="X7" s="9">
        <v>45359.0221875</v>
      </c>
      <c r="Y7" s="5" t="s">
        <v>74</v>
      </c>
    </row>
    <row r="8">
      <c r="A8" s="4" t="s">
        <v>22</v>
      </c>
      <c r="B8" s="5">
        <f t="shared" si="1"/>
        <v>7</v>
      </c>
      <c r="C8" s="5" t="s">
        <v>75</v>
      </c>
      <c r="D8" s="5" t="s">
        <v>76</v>
      </c>
      <c r="E8" s="6" t="s">
        <v>77</v>
      </c>
      <c r="F8" s="7" t="str">
        <f>HYPERLINK("https://beigevideo.com")</f>
        <v>https://beigevideo.com</v>
      </c>
      <c r="G8" s="7" t="str">
        <f>HYPERLINK("https://api.typeform.com/responses/files/b6b2dfa4f7a9432db01249a749f222643ec5ac9af85161a4bb895837e1efc903/Beige_Deck_2024.pdf")</f>
        <v>https://api.typeform.com/responses/files/b6b2dfa4f7a9432db01249a749f222643ec5ac9af85161a4bb895837e1efc903/Beige_Deck_2024.pdf</v>
      </c>
      <c r="H8" s="5" t="s">
        <v>78</v>
      </c>
      <c r="I8" s="5" t="s">
        <v>79</v>
      </c>
      <c r="J8" s="7" t="str">
        <f>HYPERLINK("https://www.linkedin.com/in/kawserkhan/")</f>
        <v>https://www.linkedin.com/in/kawserkhan/</v>
      </c>
      <c r="K8" s="5" t="s">
        <v>80</v>
      </c>
      <c r="L8" s="5" t="s">
        <v>81</v>
      </c>
      <c r="M8" s="7" t="str">
        <f>HYPERLINK("https://api.typeform.com/responses/files/86cc6e851ea6fd89e9608b6e50646b70252e9bb918e952da72b124276ed32fe9/Kawser_Headshot_PNG.png")</f>
        <v>https://api.typeform.com/responses/files/86cc6e851ea6fd89e9608b6e50646b70252e9bb918e952da72b124276ed32fe9/Kawser_Headshot_PNG.png</v>
      </c>
      <c r="N8" s="5" t="b">
        <v>0</v>
      </c>
      <c r="V8" s="8" t="s">
        <v>82</v>
      </c>
      <c r="W8" s="5" t="b">
        <v>1</v>
      </c>
      <c r="X8" s="9">
        <v>45360.329201388886</v>
      </c>
      <c r="Y8" s="5" t="s">
        <v>83</v>
      </c>
    </row>
    <row r="9">
      <c r="A9" s="4" t="s">
        <v>22</v>
      </c>
      <c r="B9" s="5">
        <f t="shared" si="1"/>
        <v>8</v>
      </c>
      <c r="C9" s="5" t="s">
        <v>84</v>
      </c>
      <c r="D9" s="5" t="s">
        <v>85</v>
      </c>
      <c r="E9" s="6" t="s">
        <v>54</v>
      </c>
      <c r="F9" s="7" t="str">
        <f>HYPERLINK("https://biomed.bio/")</f>
        <v>https://biomed.bio/</v>
      </c>
      <c r="G9" s="7" t="str">
        <f>HYPERLINK("https://api.typeform.com/responses/files/500f4ece860c7d805dafbd8c1950c4edd3abe24977b2df55aa0e87a79ea4297f/BIOMED_Pitch_Deck_01_10_2024.pdf")</f>
        <v>https://api.typeform.com/responses/files/500f4ece860c7d805dafbd8c1950c4edd3abe24977b2df55aa0e87a79ea4297f/BIOMED_Pitch_Deck_01_10_2024.pdf</v>
      </c>
      <c r="H9" s="5" t="s">
        <v>86</v>
      </c>
      <c r="I9" s="5" t="s">
        <v>87</v>
      </c>
      <c r="J9" s="7" t="str">
        <f>HYPERLINK("https://www.linkedin.com/in/bobbyntoya/")</f>
        <v>https://www.linkedin.com/in/bobbyntoya/</v>
      </c>
      <c r="K9" s="5" t="s">
        <v>40</v>
      </c>
      <c r="L9" s="5" t="s">
        <v>29</v>
      </c>
      <c r="M9" s="7" t="str">
        <f>HYPERLINK("https://api.typeform.com/responses/files/8d852d8d03a72b750ed16b413458536abb2647534a5473a378bee20a9269f48e/Bobby_Ntoya_1_1.png")</f>
        <v>https://api.typeform.com/responses/files/8d852d8d03a72b750ed16b413458536abb2647534a5473a378bee20a9269f48e/Bobby_Ntoya_1_1.png</v>
      </c>
      <c r="N9" s="5" t="b">
        <v>0</v>
      </c>
      <c r="V9" s="8" t="s">
        <v>88</v>
      </c>
      <c r="W9" s="5" t="b">
        <v>1</v>
      </c>
      <c r="X9" s="9">
        <v>45357.09836805556</v>
      </c>
      <c r="Y9" s="5" t="s">
        <v>89</v>
      </c>
    </row>
    <row r="10">
      <c r="A10" s="4" t="s">
        <v>22</v>
      </c>
      <c r="B10" s="5">
        <f t="shared" si="1"/>
        <v>9</v>
      </c>
      <c r="C10" s="5" t="s">
        <v>90</v>
      </c>
      <c r="D10" s="5" t="s">
        <v>91</v>
      </c>
      <c r="E10" s="6" t="s">
        <v>46</v>
      </c>
      <c r="F10" s="7" t="str">
        <f>HYPERLINK("https://buzzwa.co")</f>
        <v>https://buzzwa.co</v>
      </c>
      <c r="G10" s="7" t="str">
        <f>HYPERLINK("https://api.typeform.com/responses/files/93c3b061e02e1187e463a56912971adec62517fdcb29bfc3202fdf3e04a848de/Buzzwa_Core_Deck.pdf")</f>
        <v>https://api.typeform.com/responses/files/93c3b061e02e1187e463a56912971adec62517fdcb29bfc3202fdf3e04a848de/Buzzwa_Core_Deck.pdf</v>
      </c>
      <c r="H10" s="5" t="s">
        <v>92</v>
      </c>
      <c r="I10" s="5" t="s">
        <v>93</v>
      </c>
      <c r="J10" s="7" t="str">
        <f>HYPERLINK("https://www.linkedin.com/in/ezrabird/")</f>
        <v>https://www.linkedin.com/in/ezrabird/</v>
      </c>
      <c r="K10" s="5" t="s">
        <v>64</v>
      </c>
      <c r="L10" s="5" t="s">
        <v>38</v>
      </c>
      <c r="M10" s="7" t="str">
        <f>HYPERLINK("https://api.typeform.com/responses/files/328061f854934bb188e6241ff57ef7341442a8d2662647d30f8098ee2b679e80/ebird.png")</f>
        <v>https://api.typeform.com/responses/files/328061f854934bb188e6241ff57ef7341442a8d2662647d30f8098ee2b679e80/ebird.png</v>
      </c>
      <c r="N10" s="5" t="b">
        <v>1</v>
      </c>
      <c r="O10" s="5" t="s">
        <v>94</v>
      </c>
      <c r="P10" s="7" t="str">
        <f>HYPERLINK("https://www.linkedin.com/in/samsontaxon/")</f>
        <v>https://www.linkedin.com/in/samsontaxon/</v>
      </c>
      <c r="Q10" s="5" t="s">
        <v>64</v>
      </c>
      <c r="R10" s="5" t="s">
        <v>38</v>
      </c>
      <c r="S10" s="5" t="s">
        <v>95</v>
      </c>
      <c r="T10" s="7" t="str">
        <f>HYPERLINK("https://api.typeform.com/responses/files/65333919f98a74fa13fb02b97950794f7dc5e2889fa13b0db21c90be72a9d573/stax.png")</f>
        <v>https://api.typeform.com/responses/files/65333919f98a74fa13fb02b97950794f7dc5e2889fa13b0db21c90be72a9d573/stax.png</v>
      </c>
      <c r="U10" s="5" t="b">
        <v>0</v>
      </c>
      <c r="V10" s="8" t="s">
        <v>96</v>
      </c>
      <c r="W10" s="5" t="b">
        <v>1</v>
      </c>
      <c r="X10" s="9">
        <v>45360.06475694444</v>
      </c>
      <c r="Y10" s="5" t="s">
        <v>97</v>
      </c>
    </row>
    <row r="11">
      <c r="A11" s="4" t="s">
        <v>22</v>
      </c>
      <c r="B11" s="5">
        <f t="shared" si="1"/>
        <v>10</v>
      </c>
      <c r="C11" s="5" t="s">
        <v>98</v>
      </c>
      <c r="D11" s="5" t="s">
        <v>99</v>
      </c>
      <c r="E11" s="6" t="s">
        <v>54</v>
      </c>
      <c r="G11" s="7" t="str">
        <f>HYPERLINK("https://api.typeform.com/responses/files/edf7c9df0a3428211777be6109414890e61e00e018a979f6550937c96dcfb1fe/pitchDeck_CatalystRobotics.pdf")</f>
        <v>https://api.typeform.com/responses/files/edf7c9df0a3428211777be6109414890e61e00e018a979f6550937c96dcfb1fe/pitchDeck_CatalystRobotics.pdf</v>
      </c>
      <c r="H11" s="5" t="s">
        <v>100</v>
      </c>
      <c r="I11" s="5" t="s">
        <v>101</v>
      </c>
      <c r="J11" s="7" t="str">
        <f>HYPERLINK("https://www.linkedin.com/in/detravious-brinkley-342916125/")</f>
        <v>https://www.linkedin.com/in/detravious-brinkley-342916125/</v>
      </c>
      <c r="K11" s="5" t="s">
        <v>37</v>
      </c>
      <c r="L11" s="5" t="s">
        <v>57</v>
      </c>
      <c r="M11" s="7" t="str">
        <f>HYPERLINK("https://api.typeform.com/responses/files/fd6984286230c6b08bfc414fab5cb1b9510c21c19318586b6ffea128b102bc4e/2023_USCGreif_Hshots_573.JPG")</f>
        <v>https://api.typeform.com/responses/files/fd6984286230c6b08bfc414fab5cb1b9510c21c19318586b6ffea128b102bc4e/2023_USCGreif_Hshots_573.JPG</v>
      </c>
      <c r="N11" s="5" t="b">
        <v>1</v>
      </c>
      <c r="O11" s="5" t="s">
        <v>102</v>
      </c>
      <c r="P11" s="7" t="str">
        <f>HYPERLINK("https://www.linkedin.com/in/bellanava/")</f>
        <v>https://www.linkedin.com/in/bellanava/</v>
      </c>
      <c r="Q11" s="5" t="s">
        <v>37</v>
      </c>
      <c r="R11" s="5" t="s">
        <v>29</v>
      </c>
      <c r="S11" s="5" t="s">
        <v>103</v>
      </c>
      <c r="U11" s="5" t="b">
        <v>0</v>
      </c>
      <c r="V11" s="8" t="s">
        <v>104</v>
      </c>
      <c r="W11" s="5" t="b">
        <v>1</v>
      </c>
      <c r="X11" s="9">
        <v>45361.26127314815</v>
      </c>
      <c r="Y11" s="5" t="s">
        <v>105</v>
      </c>
    </row>
    <row r="12">
      <c r="A12" s="4" t="s">
        <v>22</v>
      </c>
      <c r="B12" s="5">
        <f t="shared" si="1"/>
        <v>11</v>
      </c>
      <c r="C12" s="5" t="s">
        <v>106</v>
      </c>
      <c r="D12" s="5" t="s">
        <v>107</v>
      </c>
      <c r="E12" s="6" t="s">
        <v>46</v>
      </c>
      <c r="F12" s="7" t="str">
        <f>HYPERLINK("https://convoice.ai")</f>
        <v>https://convoice.ai</v>
      </c>
      <c r="G12" s="7" t="str">
        <f>HYPERLINK("https://api.typeform.com/responses/files/389218fc65cf9e4558515521b4169892bef6ec8bdffd0e2aed2ab8192b57ef4e/convoice_pitch_deck.pptx.pdf")</f>
        <v>https://api.typeform.com/responses/files/389218fc65cf9e4558515521b4169892bef6ec8bdffd0e2aed2ab8192b57ef4e/convoice_pitch_deck.pptx.pdf</v>
      </c>
      <c r="H12" s="5" t="s">
        <v>108</v>
      </c>
      <c r="I12" s="5" t="s">
        <v>109</v>
      </c>
      <c r="K12" s="5" t="s">
        <v>37</v>
      </c>
      <c r="L12" s="5" t="s">
        <v>38</v>
      </c>
      <c r="M12" s="7" t="str">
        <f>HYPERLINK("https://api.typeform.com/responses/files/34d1c746fe049fb2502ed34d477b4ea682488def0e24546cf114cdf659ddd60d/compressed_profile_small.png")</f>
        <v>https://api.typeform.com/responses/files/34d1c746fe049fb2502ed34d477b4ea682488def0e24546cf114cdf659ddd60d/compressed_profile_small.png</v>
      </c>
      <c r="N12" s="5" t="b">
        <v>0</v>
      </c>
      <c r="V12" s="8" t="s">
        <v>110</v>
      </c>
      <c r="W12" s="5" t="b">
        <v>1</v>
      </c>
      <c r="X12" s="9">
        <v>45360.2622337963</v>
      </c>
      <c r="Y12" s="5" t="s">
        <v>111</v>
      </c>
    </row>
    <row r="13">
      <c r="A13" s="4" t="s">
        <v>22</v>
      </c>
      <c r="B13" s="5">
        <f t="shared" si="1"/>
        <v>12</v>
      </c>
      <c r="C13" s="5" t="s">
        <v>112</v>
      </c>
      <c r="D13" s="5" t="s">
        <v>61</v>
      </c>
      <c r="E13" s="6" t="s">
        <v>46</v>
      </c>
      <c r="F13" s="7" t="str">
        <f>HYPERLINK("https://degreely.com/")</f>
        <v>https://degreely.com/</v>
      </c>
      <c r="G13" s="7" t="str">
        <f>HYPERLINK("https://api.typeform.com/responses/files/119b22d8ae49abb55e4789031b625ea0038a0537a79f47bcdab09243cfe8f7de/degreely_mar2024.pdf")</f>
        <v>https://api.typeform.com/responses/files/119b22d8ae49abb55e4789031b625ea0038a0537a79f47bcdab09243cfe8f7de/degreely_mar2024.pdf</v>
      </c>
      <c r="H13" s="5" t="s">
        <v>113</v>
      </c>
      <c r="I13" s="5" t="s">
        <v>114</v>
      </c>
      <c r="J13" s="7" t="str">
        <f>HYPERLINK("https://www.linkedin.com/in/dannypugh")</f>
        <v>https://www.linkedin.com/in/dannypugh</v>
      </c>
      <c r="K13" s="5" t="s">
        <v>64</v>
      </c>
      <c r="L13" s="5" t="s">
        <v>29</v>
      </c>
      <c r="M13" s="7" t="str">
        <f>HYPERLINK("https://api.typeform.com/responses/files/66751e35920e05776e474f3dc8ef2398c46dbc2b5ed2dceeef5c17234b661ca5/IMG_1964.jpeg")</f>
        <v>https://api.typeform.com/responses/files/66751e35920e05776e474f3dc8ef2398c46dbc2b5ed2dceeef5c17234b661ca5/IMG_1964.jpeg</v>
      </c>
      <c r="N13" s="5" t="b">
        <v>1</v>
      </c>
      <c r="O13" s="5" t="s">
        <v>115</v>
      </c>
      <c r="P13" s="7" t="str">
        <f>HYPERLINK("https://www.linkedin.com/in/garrett-sanderson-3b7b2070/")</f>
        <v>https://www.linkedin.com/in/garrett-sanderson-3b7b2070/</v>
      </c>
      <c r="Q13" s="5" t="s">
        <v>64</v>
      </c>
      <c r="R13" s="5" t="s">
        <v>29</v>
      </c>
      <c r="S13" s="5" t="s">
        <v>72</v>
      </c>
      <c r="T13" s="7" t="str">
        <f>HYPERLINK("https://api.typeform.com/responses/files/98057aa33f1c8c612d825e1838c56ff6d04aa72467da6ccd82756a8e7fa3d60b/1517513850203.jpeg")</f>
        <v>https://api.typeform.com/responses/files/98057aa33f1c8c612d825e1838c56ff6d04aa72467da6ccd82756a8e7fa3d60b/1517513850203.jpeg</v>
      </c>
      <c r="U13" s="5" t="b">
        <v>0</v>
      </c>
      <c r="V13" s="8" t="s">
        <v>116</v>
      </c>
      <c r="W13" s="5" t="b">
        <v>1</v>
      </c>
      <c r="X13" s="9">
        <v>45360.046805555554</v>
      </c>
      <c r="Y13" s="5" t="s">
        <v>117</v>
      </c>
    </row>
    <row r="14">
      <c r="A14" s="4" t="s">
        <v>22</v>
      </c>
      <c r="B14" s="5">
        <f t="shared" si="1"/>
        <v>13</v>
      </c>
      <c r="C14" s="5" t="s">
        <v>118</v>
      </c>
      <c r="D14" s="5" t="s">
        <v>119</v>
      </c>
      <c r="E14" s="6" t="s">
        <v>46</v>
      </c>
      <c r="F14" s="7" t="str">
        <f>HYPERLINK("https://digistone.io")</f>
        <v>https://digistone.io</v>
      </c>
      <c r="G14" s="7" t="str">
        <f>HYPERLINK("https://api.typeform.com/responses/files/28f52720ad33cb42a7dd7b281078e76a942fd1235f868d3e858aab6c9095b01f/Digistone_Deck__1_.pdf")</f>
        <v>https://api.typeform.com/responses/files/28f52720ad33cb42a7dd7b281078e76a942fd1235f868d3e858aab6c9095b01f/Digistone_Deck__1_.pdf</v>
      </c>
      <c r="H14" s="5" t="s">
        <v>120</v>
      </c>
      <c r="I14" s="5" t="s">
        <v>121</v>
      </c>
      <c r="J14" s="7" t="str">
        <f>HYPERLINK("https://www.linkedin.com/in/darcell-edwards/")</f>
        <v>https://www.linkedin.com/in/darcell-edwards/</v>
      </c>
      <c r="K14" s="5" t="s">
        <v>64</v>
      </c>
      <c r="L14" s="5" t="s">
        <v>57</v>
      </c>
      <c r="M14" s="7" t="str">
        <f>HYPERLINK("https://api.typeform.com/responses/files/8ab83e0c6e2ed01ae9f02fadfd84379db9a9995c8e8c9f3eecf5937646a8989e/Darcell_headshot.jpeg")</f>
        <v>https://api.typeform.com/responses/files/8ab83e0c6e2ed01ae9f02fadfd84379db9a9995c8e8c9f3eecf5937646a8989e/Darcell_headshot.jpeg</v>
      </c>
      <c r="N14" s="5" t="b">
        <v>1</v>
      </c>
      <c r="O14" s="5" t="s">
        <v>122</v>
      </c>
      <c r="P14" s="7" t="str">
        <f>HYPERLINK("https://www.linkedin.com/in/ketanac/")</f>
        <v>https://www.linkedin.com/in/ketanac/</v>
      </c>
      <c r="Q14" s="5" t="s">
        <v>64</v>
      </c>
      <c r="R14" s="5" t="s">
        <v>57</v>
      </c>
      <c r="S14" s="5" t="s">
        <v>95</v>
      </c>
      <c r="T14" s="7" t="str">
        <f>HYPERLINK("https://api.typeform.com/responses/files/ddae20b1ae617ab041c995f138fedb68c31518faf23443f761e511b416bafaf9/Ketana_headshot.png")</f>
        <v>https://api.typeform.com/responses/files/ddae20b1ae617ab041c995f138fedb68c31518faf23443f761e511b416bafaf9/Ketana_headshot.png</v>
      </c>
      <c r="U14" s="5" t="b">
        <v>0</v>
      </c>
      <c r="V14" s="8" t="s">
        <v>123</v>
      </c>
      <c r="W14" s="5" t="b">
        <v>1</v>
      </c>
      <c r="X14" s="9">
        <v>45360.165185185186</v>
      </c>
      <c r="Y14" s="5" t="s">
        <v>124</v>
      </c>
    </row>
    <row r="15">
      <c r="A15" s="4" t="s">
        <v>22</v>
      </c>
      <c r="B15" s="5">
        <f t="shared" si="1"/>
        <v>14</v>
      </c>
      <c r="C15" s="5" t="s">
        <v>125</v>
      </c>
      <c r="D15" s="5" t="s">
        <v>126</v>
      </c>
      <c r="E15" s="6" t="s">
        <v>46</v>
      </c>
      <c r="G15" s="7" t="str">
        <f>HYPERLINK("https://api.typeform.com/responses/files/36ae02744da51037aeca40cdc37782d7c78a58f9ed87e6af53990a02bba097a5/sent.pdf")</f>
        <v>https://api.typeform.com/responses/files/36ae02744da51037aeca40cdc37782d7c78a58f9ed87e6af53990a02bba097a5/sent.pdf</v>
      </c>
      <c r="H15" s="5" t="s">
        <v>127</v>
      </c>
      <c r="I15" s="5" t="s">
        <v>128</v>
      </c>
      <c r="J15" s="7" t="str">
        <f>HYPERLINK("https://www.linkedin.com/in/ellie-cai-473848249/")</f>
        <v>https://www.linkedin.com/in/ellie-cai-473848249/</v>
      </c>
      <c r="K15" s="5" t="s">
        <v>129</v>
      </c>
      <c r="L15" s="5" t="s">
        <v>57</v>
      </c>
      <c r="M15" s="7" t="str">
        <f>HYPERLINK("https://api.typeform.com/responses/files/79395fa445ae2271a4a969980894ad4cdfcde7022709cac239113851ca13878a/个人头像.jpg")</f>
        <v>https://api.typeform.com/responses/files/79395fa445ae2271a4a969980894ad4cdfcde7022709cac239113851ca13878a/个人头像.jpg</v>
      </c>
      <c r="N15" s="5" t="b">
        <v>0</v>
      </c>
      <c r="V15" s="8" t="s">
        <v>130</v>
      </c>
      <c r="W15" s="5" t="b">
        <v>1</v>
      </c>
      <c r="X15" s="9">
        <v>45360.146157407406</v>
      </c>
      <c r="Y15" s="5" t="s">
        <v>131</v>
      </c>
    </row>
    <row r="16">
      <c r="A16" s="4" t="s">
        <v>22</v>
      </c>
      <c r="B16" s="5">
        <f t="shared" si="1"/>
        <v>15</v>
      </c>
      <c r="C16" s="5" t="s">
        <v>132</v>
      </c>
      <c r="D16" s="5" t="s">
        <v>133</v>
      </c>
      <c r="E16" s="6" t="s">
        <v>34</v>
      </c>
      <c r="F16" s="7" t="str">
        <f>HYPERLINK("https://evrynskincare.com/")</f>
        <v>https://evrynskincare.com/</v>
      </c>
      <c r="G16" s="7" t="str">
        <f>HYPERLINK("https://api.typeform.com/responses/files/3d94714138bc456eace0b551bbe042a2b5a29c6a6f17948cd1cd787f4b4e555d/TroyLabs_DEMO__EVRYN_Pitch_Deck.pdf")</f>
        <v>https://api.typeform.com/responses/files/3d94714138bc456eace0b551bbe042a2b5a29c6a6f17948cd1cd787f4b4e555d/TroyLabs_DEMO__EVRYN_Pitch_Deck.pdf</v>
      </c>
      <c r="H16" s="5" t="s">
        <v>134</v>
      </c>
      <c r="I16" s="5" t="s">
        <v>135</v>
      </c>
      <c r="J16" s="7" t="str">
        <f>HYPERLINK("https://www.linkedin.com/in/riya-daga-734a94211/")</f>
        <v>https://www.linkedin.com/in/riya-daga-734a94211/</v>
      </c>
      <c r="K16" s="5" t="s">
        <v>40</v>
      </c>
      <c r="L16" s="5" t="s">
        <v>38</v>
      </c>
      <c r="M16" s="7" t="str">
        <f>HYPERLINK("https://api.typeform.com/responses/files/b309eefd393e08dc2def524d5ddc1dc3858a13a91b540e45da4670da5b249ad6/Daga_Riya_Photo.png")</f>
        <v>https://api.typeform.com/responses/files/b309eefd393e08dc2def524d5ddc1dc3858a13a91b540e45da4670da5b249ad6/Daga_Riya_Photo.png</v>
      </c>
      <c r="N16" s="5" t="b">
        <v>0</v>
      </c>
      <c r="V16" s="8" t="s">
        <v>136</v>
      </c>
      <c r="W16" s="5" t="b">
        <v>1</v>
      </c>
      <c r="X16" s="9">
        <v>45362.61101851852</v>
      </c>
      <c r="Y16" s="5" t="s">
        <v>137</v>
      </c>
    </row>
    <row r="17">
      <c r="A17" s="4" t="s">
        <v>22</v>
      </c>
      <c r="B17" s="5">
        <f t="shared" si="1"/>
        <v>16</v>
      </c>
      <c r="C17" s="5" t="s">
        <v>138</v>
      </c>
      <c r="D17" s="5" t="s">
        <v>119</v>
      </c>
      <c r="E17" s="6" t="s">
        <v>25</v>
      </c>
      <c r="F17" s="7" t="str">
        <f>HYPERLINK("https://itsfairandsquare.com")</f>
        <v>https://itsfairandsquare.com</v>
      </c>
      <c r="G17" s="7" t="str">
        <f>HYPERLINK("https://api.typeform.com/responses/files/5a8248232e818b552d1bf044658f1e8cf35291c1e6354d67cc151e4ba48272fd/F_S_Investor_Pitch_Deck.pdf")</f>
        <v>https://api.typeform.com/responses/files/5a8248232e818b552d1bf044658f1e8cf35291c1e6354d67cc151e4ba48272fd/F_S_Investor_Pitch_Deck.pdf</v>
      </c>
      <c r="H17" s="5" t="s">
        <v>139</v>
      </c>
      <c r="I17" s="5" t="s">
        <v>140</v>
      </c>
      <c r="J17" s="7" t="str">
        <f>HYPERLINK("https://www.linkedin.com/in/alexander-duong/")</f>
        <v>https://www.linkedin.com/in/alexander-duong/</v>
      </c>
      <c r="K17" s="5" t="s">
        <v>40</v>
      </c>
      <c r="L17" s="5" t="s">
        <v>29</v>
      </c>
      <c r="M17" s="7" t="str">
        <f>HYPERLINK("https://api.typeform.com/responses/files/dc66cd481d35265c642329f9a4ed8675a14067c58116ed38a64e49ba97273862/Fair___Square_AlexDuong_Headshot.jpg")</f>
        <v>https://api.typeform.com/responses/files/dc66cd481d35265c642329f9a4ed8675a14067c58116ed38a64e49ba97273862/Fair___Square_AlexDuong_Headshot.jpg</v>
      </c>
      <c r="N17" s="5" t="b">
        <v>0</v>
      </c>
      <c r="V17" s="8" t="s">
        <v>141</v>
      </c>
      <c r="W17" s="5" t="b">
        <v>1</v>
      </c>
      <c r="X17" s="9">
        <v>45360.072916666664</v>
      </c>
      <c r="Y17" s="5" t="s">
        <v>142</v>
      </c>
    </row>
    <row r="18">
      <c r="B18" s="5">
        <f t="shared" si="1"/>
        <v>17</v>
      </c>
      <c r="C18" s="5" t="s">
        <v>143</v>
      </c>
      <c r="D18" s="5" t="s">
        <v>144</v>
      </c>
      <c r="E18" s="6" t="s">
        <v>46</v>
      </c>
      <c r="F18" s="7" t="str">
        <f>HYPERLINK("https://guardprostamp.com")</f>
        <v>https://guardprostamp.com</v>
      </c>
      <c r="G18" s="7" t="str">
        <f>HYPERLINK("https://api.typeform.com/responses/files/d1466bb7d2b25174f6cee235ccdec7575074005e8331c3104495a6fb6fe997e9/Guard_ProStamp___V2__1__Final.pdf")</f>
        <v>https://api.typeform.com/responses/files/d1466bb7d2b25174f6cee235ccdec7575074005e8331c3104495a6fb6fe997e9/Guard_ProStamp___V2__1__Final.pdf</v>
      </c>
      <c r="H18" s="5" t="s">
        <v>145</v>
      </c>
      <c r="I18" s="5" t="s">
        <v>146</v>
      </c>
      <c r="J18" s="7" t="str">
        <f>HYPERLINK("https://www.linkedin.com/in/bo-ying-liu-p-e-8a0010a7/")</f>
        <v>https://www.linkedin.com/in/bo-ying-liu-p-e-8a0010a7/</v>
      </c>
      <c r="K18" s="5" t="s">
        <v>40</v>
      </c>
      <c r="L18" s="5" t="s">
        <v>57</v>
      </c>
      <c r="M18" s="7" t="str">
        <f>HYPERLINK("https://api.typeform.com/responses/files/efeda7bf1f544bae290196464f0d283ae0d93f9f0436f6eb04c75bb7a87d9e23/Bo_YIng_Liu.jpg")</f>
        <v>https://api.typeform.com/responses/files/efeda7bf1f544bae290196464f0d283ae0d93f9f0436f6eb04c75bb7a87d9e23/Bo_YIng_Liu.jpg</v>
      </c>
      <c r="N18" s="5" t="b">
        <v>0</v>
      </c>
      <c r="V18" s="8" t="s">
        <v>147</v>
      </c>
      <c r="W18" s="5" t="b">
        <v>1</v>
      </c>
      <c r="X18" s="9">
        <v>45376.72570601852</v>
      </c>
      <c r="Y18" s="5" t="s">
        <v>148</v>
      </c>
    </row>
    <row r="19">
      <c r="A19" s="4" t="s">
        <v>22</v>
      </c>
      <c r="B19" s="5">
        <f t="shared" si="1"/>
        <v>18</v>
      </c>
      <c r="C19" s="5" t="s">
        <v>149</v>
      </c>
      <c r="D19" s="5" t="s">
        <v>150</v>
      </c>
      <c r="E19" s="6" t="s">
        <v>46</v>
      </c>
      <c r="F19" s="7" t="str">
        <f>HYPERLINK("https://www.tryhatchet.com/")</f>
        <v>https://www.tryhatchet.com/</v>
      </c>
      <c r="G19" s="7" t="str">
        <f>HYPERLINK("https://api.typeform.com/responses/files/f273d3f5b752417084ae460f41cff7d1895018ac7be86df4cdb1a193e7905b2f/Pitch_Deck_Link.pdf")</f>
        <v>https://api.typeform.com/responses/files/f273d3f5b752417084ae460f41cff7d1895018ac7be86df4cdb1a193e7905b2f/Pitch_Deck_Link.pdf</v>
      </c>
      <c r="H19" s="5" t="s">
        <v>151</v>
      </c>
      <c r="I19" s="5" t="s">
        <v>152</v>
      </c>
      <c r="J19" s="7" t="str">
        <f>HYPERLINK("https://www.linkedin.com/in/dylanmichaellewis/")</f>
        <v>https://www.linkedin.com/in/dylanmichaellewis/</v>
      </c>
      <c r="K19" s="5" t="s">
        <v>40</v>
      </c>
      <c r="L19" s="5" t="s">
        <v>38</v>
      </c>
      <c r="M19" s="7" t="str">
        <f>HYPERLINK("https://api.typeform.com/responses/files/b65769627205ddc3aabcc47cf7ad89e0464d2b6caa4e0f3557b6cc888a248fdd/speech.jpg")</f>
        <v>https://api.typeform.com/responses/files/b65769627205ddc3aabcc47cf7ad89e0464d2b6caa4e0f3557b6cc888a248fdd/speech.jpg</v>
      </c>
      <c r="N19" s="5" t="b">
        <v>1</v>
      </c>
      <c r="O19" s="5" t="s">
        <v>153</v>
      </c>
      <c r="P19" s="7" t="str">
        <f>HYPERLINK("https://www.linkedin.com/in/forgosh/")</f>
        <v>https://www.linkedin.com/in/forgosh/</v>
      </c>
      <c r="Q19" s="5" t="s">
        <v>37</v>
      </c>
      <c r="R19" s="5" t="s">
        <v>38</v>
      </c>
      <c r="S19" s="5" t="s">
        <v>72</v>
      </c>
      <c r="T19" s="7" t="str">
        <f>HYPERLINK("https://api.typeform.com/responses/files/f136f86cc8bfc3def928a1018b0f6c0b6bc7b8e04f074f7498f8b1a339fd85cb/IMG_4049.heic")</f>
        <v>https://api.typeform.com/responses/files/f136f86cc8bfc3def928a1018b0f6c0b6bc7b8e04f074f7498f8b1a339fd85cb/IMG_4049.heic</v>
      </c>
      <c r="U19" s="5" t="b">
        <v>0</v>
      </c>
      <c r="V19" s="8" t="s">
        <v>154</v>
      </c>
      <c r="W19" s="5" t="b">
        <v>1</v>
      </c>
      <c r="X19" s="9">
        <v>45359.198645833334</v>
      </c>
      <c r="Y19" s="5" t="s">
        <v>155</v>
      </c>
    </row>
    <row r="20">
      <c r="A20" s="4" t="s">
        <v>22</v>
      </c>
      <c r="B20" s="5">
        <f t="shared" si="1"/>
        <v>19</v>
      </c>
      <c r="C20" s="5" t="s">
        <v>156</v>
      </c>
      <c r="D20" s="5" t="s">
        <v>157</v>
      </c>
      <c r="E20" s="6" t="s">
        <v>158</v>
      </c>
      <c r="F20" s="7" t="str">
        <f>HYPERLINK("http://intuitionintelligence.com/")</f>
        <v>http://intuitionintelligence.com/</v>
      </c>
      <c r="G20" s="7" t="str">
        <f>HYPERLINK("https://api.typeform.com/responses/files/2ff5d43b2cf846447901a2b6e21520a65109eddf68580a97bd13669749397671/Pitch_Deck___Intuition_Intelligence_March8_2024.pdf")</f>
        <v>https://api.typeform.com/responses/files/2ff5d43b2cf846447901a2b6e21520a65109eddf68580a97bd13669749397671/Pitch_Deck___Intuition_Intelligence_March8_2024.pdf</v>
      </c>
      <c r="H20" s="5" t="s">
        <v>159</v>
      </c>
      <c r="I20" s="5" t="s">
        <v>160</v>
      </c>
      <c r="J20" s="7" t="str">
        <f>HYPERLINK("https://www.linkedin.com/in/yusuf-ansari-1755514/")</f>
        <v>https://www.linkedin.com/in/yusuf-ansari-1755514/</v>
      </c>
      <c r="K20" s="5" t="s">
        <v>161</v>
      </c>
      <c r="L20" s="5" t="s">
        <v>29</v>
      </c>
      <c r="M20" s="7" t="str">
        <f>HYPERLINK("https://api.typeform.com/responses/files/bc7da031542233c8785cc82aa9967b363a784d5f814c9e274e78b6bbb8050c6c/image001.png")</f>
        <v>https://api.typeform.com/responses/files/bc7da031542233c8785cc82aa9967b363a784d5f814c9e274e78b6bbb8050c6c/image001.png</v>
      </c>
      <c r="N20" s="5" t="b">
        <v>1</v>
      </c>
      <c r="O20" s="5" t="s">
        <v>162</v>
      </c>
      <c r="P20" s="7" t="str">
        <f>HYPERLINK("https://www.linkedin.com/in/arif-ansari-a3b235b/")</f>
        <v>https://www.linkedin.com/in/arif-ansari-a3b235b/</v>
      </c>
      <c r="Q20" s="5" t="s">
        <v>161</v>
      </c>
      <c r="R20" s="5" t="s">
        <v>163</v>
      </c>
      <c r="S20" s="5" t="s">
        <v>41</v>
      </c>
      <c r="T20" s="7" t="str">
        <f>HYPERLINK("https://api.typeform.com/responses/files/624709024ca4fc54db36ed01b3371f7622f28551e3e78742cb8d3cdc4bdbc76b/Arif_Ansari_HR.jpeg")</f>
        <v>https://api.typeform.com/responses/files/624709024ca4fc54db36ed01b3371f7622f28551e3e78742cb8d3cdc4bdbc76b/Arif_Ansari_HR.jpeg</v>
      </c>
      <c r="U20" s="5" t="b">
        <v>0</v>
      </c>
      <c r="V20" s="8" t="s">
        <v>164</v>
      </c>
      <c r="W20" s="5" t="b">
        <v>1</v>
      </c>
      <c r="X20" s="9">
        <v>45360.18717592592</v>
      </c>
      <c r="Y20" s="5" t="s">
        <v>165</v>
      </c>
    </row>
    <row r="21">
      <c r="A21" s="4" t="s">
        <v>22</v>
      </c>
      <c r="B21" s="5">
        <f t="shared" si="1"/>
        <v>20</v>
      </c>
      <c r="C21" s="5" t="s">
        <v>166</v>
      </c>
      <c r="D21" s="5" t="s">
        <v>167</v>
      </c>
      <c r="E21" s="6" t="s">
        <v>46</v>
      </c>
      <c r="G21" s="7" t="str">
        <f>HYPERLINK("https://api.typeform.com/responses/files/d2625c780c3dd3630f0e9a9781a17353c21b00915bc1fc32fd5b77b819fc5a18/Slide_16_9___42.pdf")</f>
        <v>https://api.typeform.com/responses/files/d2625c780c3dd3630f0e9a9781a17353c21b00915bc1fc32fd5b77b819fc5a18/Slide_16_9___42.pdf</v>
      </c>
      <c r="H21" s="5" t="s">
        <v>168</v>
      </c>
      <c r="I21" s="5" t="s">
        <v>169</v>
      </c>
      <c r="J21" s="7" t="str">
        <f>HYPERLINK("https://www.linkedin.com/in/wang-sheila")</f>
        <v>https://www.linkedin.com/in/wang-sheila</v>
      </c>
      <c r="K21" s="5" t="s">
        <v>64</v>
      </c>
      <c r="L21" s="5" t="s">
        <v>38</v>
      </c>
      <c r="M21" s="7" t="str">
        <f>HYPERLINK("https://api.typeform.com/responses/files/82440c05d93bb4a8de87de6128829aed23f6483490a3edc6d0ce275b066080e1/74102b4621b4b7b0a39b6d42d9203a69.jpeg")</f>
        <v>https://api.typeform.com/responses/files/82440c05d93bb4a8de87de6128829aed23f6483490a3edc6d0ce275b066080e1/74102b4621b4b7b0a39b6d42d9203a69.jpeg</v>
      </c>
      <c r="N21" s="5" t="b">
        <v>1</v>
      </c>
      <c r="O21" s="5" t="s">
        <v>170</v>
      </c>
      <c r="P21" s="7" t="str">
        <f>HYPERLINK("https://www.linkedin.com/in/jwiemels/")</f>
        <v>https://www.linkedin.com/in/jwiemels/</v>
      </c>
      <c r="Q21" s="5" t="s">
        <v>37</v>
      </c>
      <c r="R21" s="5" t="s">
        <v>38</v>
      </c>
      <c r="S21" s="5" t="s">
        <v>41</v>
      </c>
      <c r="T21" s="7" t="str">
        <f>HYPERLINK("https://api.typeform.com/responses/files/355fc22f738dde10f5a33e9bd47222450e7fe16c7323770c9b4510b1a37f8b2d/IMG_7491.heic")</f>
        <v>https://api.typeform.com/responses/files/355fc22f738dde10f5a33e9bd47222450e7fe16c7323770c9b4510b1a37f8b2d/IMG_7491.heic</v>
      </c>
      <c r="U21" s="5" t="b">
        <v>0</v>
      </c>
      <c r="V21" s="8" t="s">
        <v>171</v>
      </c>
      <c r="W21" s="5" t="b">
        <v>1</v>
      </c>
      <c r="X21" s="9">
        <v>45360.24260416667</v>
      </c>
      <c r="Y21" s="5" t="s">
        <v>172</v>
      </c>
    </row>
    <row r="22">
      <c r="A22" s="4" t="s">
        <v>22</v>
      </c>
      <c r="B22" s="5">
        <f t="shared" si="1"/>
        <v>21</v>
      </c>
      <c r="C22" s="5" t="s">
        <v>173</v>
      </c>
      <c r="D22" s="5" t="s">
        <v>174</v>
      </c>
      <c r="E22" s="6" t="s">
        <v>46</v>
      </c>
      <c r="F22" s="7" t="str">
        <f>HYPERLINK("https://jojaentertainment.com")</f>
        <v>https://jojaentertainment.com</v>
      </c>
      <c r="G22" s="7" t="str">
        <f>HYPERLINK("https://api.typeform.com/responses/files/a95953985e0d1450eedaf79a4cf310e3b7762202e3f40462f203b8963b7c751d/JOJA_ENTERTAINMENT_TroyLabsDemo24.pdf")</f>
        <v>https://api.typeform.com/responses/files/a95953985e0d1450eedaf79a4cf310e3b7762202e3f40462f203b8963b7c751d/JOJA_ENTERTAINMENT_TroyLabsDemo24.pdf</v>
      </c>
      <c r="H22" s="5" t="s">
        <v>175</v>
      </c>
      <c r="I22" s="5" t="s">
        <v>176</v>
      </c>
      <c r="J22" s="7" t="str">
        <f>HYPERLINK("https://www.linkedin.com/in/danialgondal/")</f>
        <v>https://www.linkedin.com/in/danialgondal/</v>
      </c>
      <c r="K22" s="5" t="s">
        <v>64</v>
      </c>
      <c r="L22" s="5" t="s">
        <v>29</v>
      </c>
      <c r="M22" s="7" t="str">
        <f>HYPERLINK("https://api.typeform.com/responses/files/b4c2ee5de1dcb956fcaeda049be342a387540c5d8194b70516ae0d5fc26b23e3/Danial_Gondal_Headshot.png")</f>
        <v>https://api.typeform.com/responses/files/b4c2ee5de1dcb956fcaeda049be342a387540c5d8194b70516ae0d5fc26b23e3/Danial_Gondal_Headshot.png</v>
      </c>
      <c r="N22" s="5" t="b">
        <v>0</v>
      </c>
      <c r="V22" s="8" t="s">
        <v>177</v>
      </c>
      <c r="W22" s="5" t="b">
        <v>1</v>
      </c>
      <c r="X22" s="9">
        <v>45356.37634259259</v>
      </c>
      <c r="Y22" s="5" t="s">
        <v>178</v>
      </c>
    </row>
    <row r="23">
      <c r="A23" s="4" t="s">
        <v>22</v>
      </c>
      <c r="B23" s="5">
        <f t="shared" si="1"/>
        <v>22</v>
      </c>
      <c r="C23" s="5" t="s">
        <v>179</v>
      </c>
      <c r="D23" s="5" t="s">
        <v>180</v>
      </c>
      <c r="E23" s="6" t="s">
        <v>46</v>
      </c>
      <c r="G23" s="7" t="str">
        <f>HYPERLINK("https://api.typeform.com/responses/files/c4ddf44f33cf734d82f625940e9228403b3c180610de88ea3f14148e5cb56075/Kadak_1_compressed.pdf")</f>
        <v>https://api.typeform.com/responses/files/c4ddf44f33cf734d82f625940e9228403b3c180610de88ea3f14148e5cb56075/Kadak_1_compressed.pdf</v>
      </c>
      <c r="H23" s="5" t="s">
        <v>181</v>
      </c>
      <c r="I23" s="5" t="s">
        <v>182</v>
      </c>
      <c r="J23" s="7" t="str">
        <f>HYPERLINK("https://linkedin.com/in/lakshyabothra")</f>
        <v>https://linkedin.com/in/lakshyabothra</v>
      </c>
      <c r="K23" s="5" t="s">
        <v>40</v>
      </c>
      <c r="L23" s="5" t="s">
        <v>38</v>
      </c>
      <c r="M23" s="7" t="str">
        <f>HYPERLINK("https://api.typeform.com/responses/files/5d1b026e1dcb0b278ae71ffb71d22b931b1328eb5d8418c763cc54cc73740e7d/Bothra_Lakshya_Photo.png")</f>
        <v>https://api.typeform.com/responses/files/5d1b026e1dcb0b278ae71ffb71d22b931b1328eb5d8418c763cc54cc73740e7d/Bothra_Lakshya_Photo.png</v>
      </c>
      <c r="N23" s="5" t="b">
        <v>1</v>
      </c>
      <c r="O23" s="5" t="s">
        <v>183</v>
      </c>
      <c r="P23" s="7" t="str">
        <f>HYPERLINK("http://www.linkedin.com/in/srishtichopra")</f>
        <v>http://www.linkedin.com/in/srishtichopra</v>
      </c>
      <c r="Q23" s="5" t="s">
        <v>184</v>
      </c>
      <c r="R23" s="5" t="s">
        <v>38</v>
      </c>
      <c r="S23" s="5" t="s">
        <v>41</v>
      </c>
      <c r="T23" s="7" t="str">
        <f>HYPERLINK("https://api.typeform.com/responses/files/901a9569de1d4f981f8e5705421696f4afdf649241979b5daed0540631d1da58/Screenshot_2024_03_18_at_9.54.42_PM.png")</f>
        <v>https://api.typeform.com/responses/files/901a9569de1d4f981f8e5705421696f4afdf649241979b5daed0540631d1da58/Screenshot_2024_03_18_at_9.54.42_PM.png</v>
      </c>
      <c r="U23" s="5" t="b">
        <v>0</v>
      </c>
      <c r="V23" s="8" t="s">
        <v>185</v>
      </c>
      <c r="W23" s="5" t="b">
        <v>1</v>
      </c>
      <c r="X23" s="9">
        <v>45370.20549768519</v>
      </c>
      <c r="Y23" s="5" t="s">
        <v>186</v>
      </c>
    </row>
    <row r="24">
      <c r="A24" s="4" t="s">
        <v>22</v>
      </c>
      <c r="B24" s="5">
        <f t="shared" si="1"/>
        <v>23</v>
      </c>
      <c r="C24" s="5" t="s">
        <v>187</v>
      </c>
      <c r="D24" s="5" t="s">
        <v>188</v>
      </c>
      <c r="E24" s="6" t="s">
        <v>46</v>
      </c>
      <c r="G24" s="7" t="str">
        <f>HYPERLINK("https://api.typeform.com/responses/files/0b1192009abb715ac45d7b71c284f5dd510029ecfeb5df5302d63ff7ad8b67af/Laminar_Copilot_PDF_Edition.pdf")</f>
        <v>https://api.typeform.com/responses/files/0b1192009abb715ac45d7b71c284f5dd510029ecfeb5df5302d63ff7ad8b67af/Laminar_Copilot_PDF_Edition.pdf</v>
      </c>
      <c r="H24" s="5" t="s">
        <v>189</v>
      </c>
      <c r="I24" s="5" t="s">
        <v>190</v>
      </c>
      <c r="J24" s="7" t="str">
        <f>HYPERLINK("https://www.linkedin.com/in/kevinshinilpark/")</f>
        <v>https://www.linkedin.com/in/kevinshinilpark/</v>
      </c>
      <c r="K24" s="5" t="s">
        <v>191</v>
      </c>
      <c r="L24" s="5" t="s">
        <v>29</v>
      </c>
      <c r="M24" s="7" t="str">
        <f>HYPERLINK("https://api.typeform.com/responses/files/86171cfea227dc9cf8d49a7d0dbfa27addbd7a5ec9888c74cd52693d6e00654c/DSC00102_removebg_2.png")</f>
        <v>https://api.typeform.com/responses/files/86171cfea227dc9cf8d49a7d0dbfa27addbd7a5ec9888c74cd52693d6e00654c/DSC00102_removebg_2.png</v>
      </c>
      <c r="N24" s="5" t="b">
        <v>1</v>
      </c>
      <c r="O24" s="5" t="s">
        <v>192</v>
      </c>
      <c r="P24" s="7" t="str">
        <f>HYPERLINK("https://www.linkedin.com/in/moses-liu-a0378a107/")</f>
        <v>https://www.linkedin.com/in/moses-liu-a0378a107/</v>
      </c>
      <c r="Q24" s="5" t="s">
        <v>193</v>
      </c>
      <c r="R24" s="5" t="s">
        <v>29</v>
      </c>
      <c r="S24" s="5" t="s">
        <v>41</v>
      </c>
      <c r="T24" s="7" t="str">
        <f>HYPERLINK("https://api.typeform.com/responses/files/0eff88cf2d44ab1b16a567ff0eaddd03e9d9e57d30a3d2500f33dd78216f9558/Moses_Liu.jpeg")</f>
        <v>https://api.typeform.com/responses/files/0eff88cf2d44ab1b16a567ff0eaddd03e9d9e57d30a3d2500f33dd78216f9558/Moses_Liu.jpeg</v>
      </c>
      <c r="U24" s="5" t="b">
        <v>0</v>
      </c>
      <c r="V24" s="8" t="s">
        <v>194</v>
      </c>
      <c r="W24" s="5" t="b">
        <v>1</v>
      </c>
      <c r="X24" s="9">
        <v>45360.206087962964</v>
      </c>
      <c r="Y24" s="5" t="s">
        <v>195</v>
      </c>
    </row>
    <row r="25">
      <c r="A25" s="4" t="s">
        <v>22</v>
      </c>
      <c r="B25" s="5">
        <f t="shared" si="1"/>
        <v>24</v>
      </c>
      <c r="C25" s="5" t="s">
        <v>196</v>
      </c>
      <c r="D25" s="5" t="s">
        <v>119</v>
      </c>
      <c r="E25" s="6" t="s">
        <v>46</v>
      </c>
      <c r="F25" s="7" t="str">
        <f>HYPERLINK("https://www.dresslav.com")</f>
        <v>https://www.dresslav.com</v>
      </c>
      <c r="G25" s="7" t="str">
        <f>HYPERLINK("https://api.typeform.com/responses/files/00df88fd08a7bbbe102cf5dc742d464f1f37c725d06f74b4bab187d1cd2e0496/Emailed.pdf")</f>
        <v>https://api.typeform.com/responses/files/00df88fd08a7bbbe102cf5dc742d464f1f37c725d06f74b4bab187d1cd2e0496/Emailed.pdf</v>
      </c>
      <c r="H25" s="5" t="s">
        <v>197</v>
      </c>
      <c r="I25" s="5" t="s">
        <v>198</v>
      </c>
      <c r="J25" s="7" t="str">
        <f>HYPERLINK("https://www.linkedin.com/in/natalie-felikian-b4258720a?utm_source=share&amp;utm_campaign=share_via&amp;utm_content=profile&amp;utm_medium=ios_app")</f>
        <v>https://www.linkedin.com/in/natalie-felikian-b4258720a?utm_source=share&amp;utm_campaign=share_via&amp;utm_content=profile&amp;utm_medium=ios_app</v>
      </c>
      <c r="K25" s="5" t="s">
        <v>199</v>
      </c>
      <c r="L25" s="5" t="s">
        <v>38</v>
      </c>
      <c r="M25" s="7" t="str">
        <f>HYPERLINK("https://api.typeform.com/responses/files/f0f6ab003962bf5a5563d4f3bf93047de07e1f5c3e040b172ca1a6f261fa4ecd/IMG_1645.jpeg")</f>
        <v>https://api.typeform.com/responses/files/f0f6ab003962bf5a5563d4f3bf93047de07e1f5c3e040b172ca1a6f261fa4ecd/IMG_1645.jpeg</v>
      </c>
      <c r="N25" s="5" t="b">
        <v>0</v>
      </c>
      <c r="V25" s="8" t="s">
        <v>200</v>
      </c>
      <c r="W25" s="5" t="b">
        <v>1</v>
      </c>
      <c r="X25" s="9">
        <v>45359.87936342593</v>
      </c>
      <c r="Y25" s="5" t="s">
        <v>201</v>
      </c>
    </row>
    <row r="26">
      <c r="A26" s="4" t="s">
        <v>22</v>
      </c>
      <c r="B26" s="5">
        <f t="shared" si="1"/>
        <v>25</v>
      </c>
      <c r="C26" s="5" t="s">
        <v>202</v>
      </c>
      <c r="D26" s="5" t="s">
        <v>150</v>
      </c>
      <c r="E26" s="6" t="s">
        <v>77</v>
      </c>
      <c r="F26" s="7" t="str">
        <f>HYPERLINK("https://lionistic.xyz/")</f>
        <v>https://lionistic.xyz/</v>
      </c>
      <c r="G26" s="7" t="str">
        <f>HYPERLINK("https://api.typeform.com/responses/files/30dba3e220dacc4a478a6fa0c08c3a44ac0bbe8966eceebf44a7f2d4f4e66d58/LinkdforCollege.pptx")</f>
        <v>https://api.typeform.com/responses/files/30dba3e220dacc4a478a6fa0c08c3a44ac0bbe8966eceebf44a7f2d4f4e66d58/LinkdforCollege.pptx</v>
      </c>
      <c r="H26" s="5" t="s">
        <v>203</v>
      </c>
      <c r="I26" s="5" t="s">
        <v>204</v>
      </c>
      <c r="J26" s="7" t="str">
        <f>HYPERLINK("https://www.linkedin.com/in/navyasingh9/")</f>
        <v>https://www.linkedin.com/in/navyasingh9/</v>
      </c>
      <c r="K26" s="5" t="s">
        <v>205</v>
      </c>
      <c r="L26" s="5" t="s">
        <v>57</v>
      </c>
      <c r="M26" s="7" t="str">
        <f>HYPERLINK("https://api.typeform.com/responses/files/6bfed2482ecd19aa42f347c50138acc850b8f32682c669982b08cb6303017705/navlinkedin.jpeg")</f>
        <v>https://api.typeform.com/responses/files/6bfed2482ecd19aa42f347c50138acc850b8f32682c669982b08cb6303017705/navlinkedin.jpeg</v>
      </c>
      <c r="N26" s="5" t="b">
        <v>0</v>
      </c>
      <c r="V26" s="8" t="s">
        <v>206</v>
      </c>
      <c r="W26" s="5" t="b">
        <v>1</v>
      </c>
      <c r="X26" s="9">
        <v>45368.14440972222</v>
      </c>
      <c r="Y26" s="5" t="s">
        <v>207</v>
      </c>
    </row>
    <row r="27">
      <c r="A27" s="4" t="s">
        <v>22</v>
      </c>
      <c r="B27" s="5">
        <f t="shared" si="1"/>
        <v>26</v>
      </c>
      <c r="C27" s="5" t="s">
        <v>208</v>
      </c>
      <c r="D27" s="5" t="s">
        <v>209</v>
      </c>
      <c r="E27" s="6" t="s">
        <v>46</v>
      </c>
      <c r="F27" s="7" t="str">
        <f>HYPERLINK("https://www.maplehouse.co")</f>
        <v>https://www.maplehouse.co</v>
      </c>
      <c r="G27" s="7" t="str">
        <f>HYPERLINK("https://api.typeform.com/responses/files/26d867a8006c708b244796a65f99a6b4b792d31cb72425ed2f7e55cb963c7f76/Maplehouse_Pitch_Deck__3.03.24__w_o_financials_compressed.pdf")</f>
        <v>https://api.typeform.com/responses/files/26d867a8006c708b244796a65f99a6b4b792d31cb72425ed2f7e55cb963c7f76/Maplehouse_Pitch_Deck__3.03.24__w_o_financials_compressed.pdf</v>
      </c>
      <c r="H27" s="5" t="s">
        <v>210</v>
      </c>
      <c r="I27" s="5" t="s">
        <v>211</v>
      </c>
      <c r="J27" s="7" t="str">
        <f>HYPERLINK("https://www.linkedin.com/in/tyler-shooshani")</f>
        <v>https://www.linkedin.com/in/tyler-shooshani</v>
      </c>
      <c r="K27" s="5" t="s">
        <v>40</v>
      </c>
      <c r="L27" s="5" t="s">
        <v>29</v>
      </c>
      <c r="M27" s="7" t="str">
        <f>HYPERLINK("https://api.typeform.com/responses/files/b278bfb6a3347f6b90cb14c2793e25c512afb36ae7fcfdeb6ff41541a5093711/9CB67E02_08EE_4092_B7A3_E1DD6EE04667_1_105_c.jpeg")</f>
        <v>https://api.typeform.com/responses/files/b278bfb6a3347f6b90cb14c2793e25c512afb36ae7fcfdeb6ff41541a5093711/9CB67E02_08EE_4092_B7A3_E1DD6EE04667_1_105_c.jpeg</v>
      </c>
      <c r="N27" s="5" t="b">
        <v>0</v>
      </c>
      <c r="V27" s="8" t="s">
        <v>212</v>
      </c>
      <c r="W27" s="5" t="b">
        <v>1</v>
      </c>
      <c r="X27" s="9">
        <v>45356.70753472222</v>
      </c>
      <c r="Y27" s="5" t="s">
        <v>213</v>
      </c>
    </row>
    <row r="28">
      <c r="A28" s="4" t="s">
        <v>22</v>
      </c>
      <c r="B28" s="5">
        <f t="shared" si="1"/>
        <v>27</v>
      </c>
      <c r="C28" s="5" t="s">
        <v>214</v>
      </c>
      <c r="D28" s="5" t="s">
        <v>33</v>
      </c>
      <c r="E28" s="6" t="s">
        <v>34</v>
      </c>
      <c r="G28" s="7" t="str">
        <f>HYPERLINK("https://api.typeform.com/responses/files/fb5a2b2cfa970f66d137978a78270e1b75736de97fca6f7616ef53b0efafe48c/Nexus_Slide_Deck.pdf")</f>
        <v>https://api.typeform.com/responses/files/fb5a2b2cfa970f66d137978a78270e1b75736de97fca6f7616ef53b0efafe48c/Nexus_Slide_Deck.pdf</v>
      </c>
      <c r="H28" s="5" t="s">
        <v>215</v>
      </c>
      <c r="I28" s="5" t="s">
        <v>216</v>
      </c>
      <c r="J28" s="7" t="str">
        <f>HYPERLINK("https://www.linkedin.com/in/saurabhghanekar/")</f>
        <v>https://www.linkedin.com/in/saurabhghanekar/</v>
      </c>
      <c r="K28" s="5" t="s">
        <v>37</v>
      </c>
      <c r="L28" s="5" t="s">
        <v>57</v>
      </c>
      <c r="M28" s="7" t="str">
        <f>HYPERLINK("https://api.typeform.com/responses/files/c364d88d4ced757ff8430b5a1b364ce149b0a3065eb30ab6a67f7b25c81799bb/Me4_bg_cropped.jpeg")</f>
        <v>https://api.typeform.com/responses/files/c364d88d4ced757ff8430b5a1b364ce149b0a3065eb30ab6a67f7b25c81799bb/Me4_bg_cropped.jpeg</v>
      </c>
      <c r="N28" s="5" t="b">
        <v>0</v>
      </c>
      <c r="V28" s="8" t="s">
        <v>217</v>
      </c>
      <c r="W28" s="5" t="b">
        <v>1</v>
      </c>
      <c r="X28" s="9">
        <v>45359.9452662037</v>
      </c>
      <c r="Y28" s="5" t="s">
        <v>218</v>
      </c>
    </row>
    <row r="29">
      <c r="A29" s="4" t="s">
        <v>22</v>
      </c>
      <c r="B29" s="5">
        <f t="shared" si="1"/>
        <v>28</v>
      </c>
      <c r="C29" s="5" t="s">
        <v>219</v>
      </c>
      <c r="D29" s="5" t="s">
        <v>220</v>
      </c>
      <c r="E29" s="6" t="s">
        <v>34</v>
      </c>
      <c r="G29" s="7" t="str">
        <f>HYPERLINK("https://api.typeform.com/responses/files/9917e2270036e730e7fe63753d723cac8927f1a73e3dd7de9bd7e1b47dc1221c/pitch_deck_compressed.pdf")</f>
        <v>https://api.typeform.com/responses/files/9917e2270036e730e7fe63753d723cac8927f1a73e3dd7de9bd7e1b47dc1221c/pitch_deck_compressed.pdf</v>
      </c>
      <c r="H29" s="5" t="s">
        <v>221</v>
      </c>
      <c r="I29" s="5" t="s">
        <v>222</v>
      </c>
      <c r="J29" s="7" t="str">
        <f>HYPERLINK("https://linkedin.com/in/sakura-yihan-luo-a151451b1")</f>
        <v>https://linkedin.com/in/sakura-yihan-luo-a151451b1</v>
      </c>
      <c r="K29" s="5" t="s">
        <v>223</v>
      </c>
      <c r="L29" s="5" t="s">
        <v>57</v>
      </c>
      <c r="M29" s="7" t="str">
        <f>HYPERLINK("https://api.typeform.com/responses/files/a90bbd738be38d121d57811ada0e95936be87e4df08e606aa311cc70d149e3a5/IMG_5644.jpg")</f>
        <v>https://api.typeform.com/responses/files/a90bbd738be38d121d57811ada0e95936be87e4df08e606aa311cc70d149e3a5/IMG_5644.jpg</v>
      </c>
      <c r="N29" s="5" t="b">
        <v>1</v>
      </c>
      <c r="O29" s="5" t="s">
        <v>224</v>
      </c>
      <c r="P29" s="7" t="str">
        <f>HYPERLINK("https://www.linkedin.com/in/yixin-sun66/?utm_source=share&amp;utm_campaign=share_via&amp;utm_content=profile&amp;utm_medium=ios_app")</f>
        <v>https://www.linkedin.com/in/yixin-sun66/?utm_source=share&amp;utm_campaign=share_via&amp;utm_content=profile&amp;utm_medium=ios_app</v>
      </c>
      <c r="Q29" s="5" t="s">
        <v>28</v>
      </c>
      <c r="R29" s="5" t="s">
        <v>57</v>
      </c>
      <c r="S29" s="5" t="s">
        <v>41</v>
      </c>
      <c r="T29" s="7" t="str">
        <f>HYPERLINK("https://api.typeform.com/responses/files/fbdd4d690abc2d32009ab02961f1e9ad6d662fa2a87d3d649b1fdc34865fe99d/Screen_Shot_2024_03_15_at_9.47.48_PM.png")</f>
        <v>https://api.typeform.com/responses/files/fbdd4d690abc2d32009ab02961f1e9ad6d662fa2a87d3d649b1fdc34865fe99d/Screen_Shot_2024_03_15_at_9.47.48_PM.png</v>
      </c>
      <c r="U29" s="5" t="b">
        <v>0</v>
      </c>
      <c r="V29" s="8" t="s">
        <v>225</v>
      </c>
      <c r="W29" s="5" t="b">
        <v>1</v>
      </c>
      <c r="X29" s="9">
        <v>45367.20444444445</v>
      </c>
      <c r="Y29" s="5" t="s">
        <v>226</v>
      </c>
    </row>
    <row r="30">
      <c r="A30" s="4" t="s">
        <v>22</v>
      </c>
      <c r="B30" s="5">
        <f t="shared" si="1"/>
        <v>29</v>
      </c>
      <c r="C30" s="5" t="s">
        <v>227</v>
      </c>
      <c r="D30" s="5" t="s">
        <v>228</v>
      </c>
      <c r="E30" s="6" t="s">
        <v>34</v>
      </c>
      <c r="F30" s="7" t="str">
        <f>HYPERLINK("https://www.ofspectrum.com/home")</f>
        <v>https://www.ofspectrum.com/home</v>
      </c>
      <c r="G30" s="7" t="str">
        <f>HYPERLINK("https://api.typeform.com/responses/files/b9beb1decfb069683742b01030201a5bf38abfe0914670ec8dee26965179394a/Pitch_OfSpectrum.pptx")</f>
        <v>https://api.typeform.com/responses/files/b9beb1decfb069683742b01030201a5bf38abfe0914670ec8dee26965179394a/Pitch_OfSpectrum.pptx</v>
      </c>
      <c r="H30" s="5" t="s">
        <v>229</v>
      </c>
      <c r="I30" s="5" t="s">
        <v>230</v>
      </c>
      <c r="K30" s="5" t="s">
        <v>37</v>
      </c>
      <c r="L30" s="5" t="s">
        <v>57</v>
      </c>
      <c r="M30" s="7" t="str">
        <f>HYPERLINK("https://api.typeform.com/responses/files/c26a46497dd27a043aa101f1e7e8f308513464c88a0f62e433f39055b5fddf75/Photo_1080.png")</f>
        <v>https://api.typeform.com/responses/files/c26a46497dd27a043aa101f1e7e8f308513464c88a0f62e433f39055b5fddf75/Photo_1080.png</v>
      </c>
      <c r="N30" s="5" t="b">
        <v>1</v>
      </c>
      <c r="O30" s="5" t="s">
        <v>231</v>
      </c>
      <c r="Q30" s="5" t="s">
        <v>232</v>
      </c>
      <c r="R30" s="5" t="s">
        <v>57</v>
      </c>
      <c r="S30" s="5" t="s">
        <v>41</v>
      </c>
      <c r="T30" s="7" t="str">
        <f>HYPERLINK("https://api.typeform.com/responses/files/3b3057d1c56eafc69cb364aeb5ae336640098834417d9ef282cb7cd14070926e/YSH.jpg")</f>
        <v>https://api.typeform.com/responses/files/3b3057d1c56eafc69cb364aeb5ae336640098834417d9ef282cb7cd14070926e/YSH.jpg</v>
      </c>
      <c r="U30" s="5" t="b">
        <v>0</v>
      </c>
      <c r="V30" s="8" t="s">
        <v>233</v>
      </c>
      <c r="W30" s="5" t="b">
        <v>1</v>
      </c>
      <c r="X30" s="9">
        <v>45368.20715277778</v>
      </c>
      <c r="Y30" s="5" t="s">
        <v>234</v>
      </c>
    </row>
    <row r="31">
      <c r="A31" s="4" t="s">
        <v>22</v>
      </c>
      <c r="B31" s="5">
        <f t="shared" si="1"/>
        <v>30</v>
      </c>
      <c r="C31" s="5" t="s">
        <v>235</v>
      </c>
      <c r="D31" s="5" t="s">
        <v>236</v>
      </c>
      <c r="E31" s="6" t="s">
        <v>46</v>
      </c>
      <c r="F31" s="7" t="str">
        <f>HYPERLINK("https://orbes.space")</f>
        <v>https://orbes.space</v>
      </c>
      <c r="G31" s="7" t="str">
        <f>HYPERLINK("https://api.typeform.com/responses/files/6cf836c780069392bc0143e6b34ef074c239693d424e403da1e2d12421536b71/OrbitalEntertainmentSupply_Pitch_03042024.pdf")</f>
        <v>https://api.typeform.com/responses/files/6cf836c780069392bc0143e6b34ef074c239693d424e403da1e2d12421536b71/OrbitalEntertainmentSupply_Pitch_03042024.pdf</v>
      </c>
      <c r="H31" s="5" t="s">
        <v>237</v>
      </c>
      <c r="I31" s="5" t="s">
        <v>238</v>
      </c>
      <c r="J31" s="7" t="str">
        <f>HYPERLINK("https://www.linkedin.com/in/sheepianna/")</f>
        <v>https://www.linkedin.com/in/sheepianna/</v>
      </c>
      <c r="K31" s="5" t="s">
        <v>64</v>
      </c>
      <c r="L31" s="5" t="s">
        <v>38</v>
      </c>
      <c r="M31" s="7" t="str">
        <f>HYPERLINK("https://api.typeform.com/responses/files/6c3624e21fb34382ddcd54667f51e3cb772d48e52582fb5f42a4ff7966860f70/AnnaHeadshot.jpg")</f>
        <v>https://api.typeform.com/responses/files/6c3624e21fb34382ddcd54667f51e3cb772d48e52582fb5f42a4ff7966860f70/AnnaHeadshot.jpg</v>
      </c>
      <c r="N31" s="5" t="b">
        <v>1</v>
      </c>
      <c r="O31" s="5" t="s">
        <v>239</v>
      </c>
      <c r="P31" s="7" t="str">
        <f>HYPERLINK("https://www.linkedin.com/in/luchosy/")</f>
        <v>https://www.linkedin.com/in/luchosy/</v>
      </c>
      <c r="Q31" s="5" t="s">
        <v>64</v>
      </c>
      <c r="R31" s="5" t="s">
        <v>38</v>
      </c>
      <c r="S31" s="5" t="s">
        <v>72</v>
      </c>
      <c r="T31" s="7" t="str">
        <f>HYPERLINK("https://api.typeform.com/responses/files/a94627e9241aa9158700095445bbc1a3bc19c000e6cbf8f5f42c84e9fca38dd6/1613473955859.jpeg")</f>
        <v>https://api.typeform.com/responses/files/a94627e9241aa9158700095445bbc1a3bc19c000e6cbf8f5f42c84e9fca38dd6/1613473955859.jpeg</v>
      </c>
      <c r="U31" s="5" t="b">
        <v>0</v>
      </c>
      <c r="V31" s="8" t="s">
        <v>240</v>
      </c>
      <c r="W31" s="5" t="b">
        <v>1</v>
      </c>
      <c r="X31" s="9">
        <v>45360.08059027778</v>
      </c>
      <c r="Y31" s="5" t="s">
        <v>241</v>
      </c>
    </row>
    <row r="32">
      <c r="A32" s="4" t="s">
        <v>22</v>
      </c>
      <c r="B32" s="5">
        <f t="shared" si="1"/>
        <v>31</v>
      </c>
      <c r="C32" s="5" t="s">
        <v>242</v>
      </c>
      <c r="D32" s="5" t="s">
        <v>243</v>
      </c>
      <c r="E32" s="6" t="s">
        <v>25</v>
      </c>
      <c r="F32" s="7" t="str">
        <f>HYPERLINK("https://packa.design/")</f>
        <v>https://packa.design/</v>
      </c>
      <c r="G32" s="7" t="str">
        <f>HYPERLINK("https://api.typeform.com/responses/files/6cd5ae0a1d156d9226f3c553ca17a05c7a3100c867fb8c01c69abdb086290b32/VC_Deck__1_.pdf")</f>
        <v>https://api.typeform.com/responses/files/6cd5ae0a1d156d9226f3c553ca17a05c7a3100c867fb8c01c69abdb086290b32/VC_Deck__1_.pdf</v>
      </c>
      <c r="H32" s="5" t="s">
        <v>94</v>
      </c>
      <c r="I32" s="5" t="s">
        <v>244</v>
      </c>
      <c r="J32" s="7" t="str">
        <f>HYPERLINK("https://www.linkedin.com/in/samsontaxon/")</f>
        <v>https://www.linkedin.com/in/samsontaxon/</v>
      </c>
      <c r="K32" s="5" t="s">
        <v>64</v>
      </c>
      <c r="L32" s="5" t="s">
        <v>38</v>
      </c>
      <c r="M32" s="7" t="str">
        <f>HYPERLINK("https://api.typeform.com/responses/files/09b2c2c8aaa6c516476f65a37d9f14daf542362c2606af8f325d317f4612e3c2/1657527439596_1.jpg")</f>
        <v>https://api.typeform.com/responses/files/09b2c2c8aaa6c516476f65a37d9f14daf542362c2606af8f325d317f4612e3c2/1657527439596_1.jpg</v>
      </c>
      <c r="N32" s="5" t="b">
        <v>1</v>
      </c>
      <c r="O32" s="5" t="s">
        <v>92</v>
      </c>
      <c r="P32" s="7" t="str">
        <f>HYPERLINK("https://www.linkedin.com/in/ezrabird/")</f>
        <v>https://www.linkedin.com/in/ezrabird/</v>
      </c>
      <c r="Q32" s="5" t="s">
        <v>64</v>
      </c>
      <c r="R32" s="5" t="s">
        <v>38</v>
      </c>
      <c r="S32" s="5" t="s">
        <v>72</v>
      </c>
      <c r="T32" s="7" t="str">
        <f>HYPERLINK("https://api.typeform.com/responses/files/fefc0cc527a3386d290d974e1b57b8552775fdd3c9f67706922cae9ea199c490/Buzzwa_Core_Screenshot.png")</f>
        <v>https://api.typeform.com/responses/files/fefc0cc527a3386d290d974e1b57b8552775fdd3c9f67706922cae9ea199c490/Buzzwa_Core_Screenshot.png</v>
      </c>
      <c r="U32" s="5" t="b">
        <v>0</v>
      </c>
      <c r="V32" s="8" t="s">
        <v>245</v>
      </c>
      <c r="W32" s="5" t="b">
        <v>1</v>
      </c>
      <c r="X32" s="9">
        <v>45360.0184375</v>
      </c>
      <c r="Y32" s="5" t="s">
        <v>246</v>
      </c>
    </row>
    <row r="33">
      <c r="A33" s="4" t="s">
        <v>22</v>
      </c>
      <c r="B33" s="5">
        <f t="shared" si="1"/>
        <v>32</v>
      </c>
      <c r="C33" s="5" t="s">
        <v>247</v>
      </c>
      <c r="D33" s="5" t="s">
        <v>248</v>
      </c>
      <c r="E33" s="6" t="s">
        <v>46</v>
      </c>
      <c r="F33" s="7" t="str">
        <f>HYPERLINK("https://www.prometheusdata.io")</f>
        <v>https://www.prometheusdata.io</v>
      </c>
      <c r="G33" s="7" t="str">
        <f>HYPERLINK("https://api.typeform.com/responses/files/4d29f54697eda0de0b2bff3f7f96004b50774c30b8c59af5fd2e7593dd8d0dab/DEMO2024_TL.pdf")</f>
        <v>https://api.typeform.com/responses/files/4d29f54697eda0de0b2bff3f7f96004b50774c30b8c59af5fd2e7593dd8d0dab/DEMO2024_TL.pdf</v>
      </c>
      <c r="H33" s="5" t="s">
        <v>249</v>
      </c>
      <c r="I33" s="5" t="s">
        <v>250</v>
      </c>
      <c r="J33" s="7" t="str">
        <f>HYPERLINK("https://linkedin.com/in/srcheng")</f>
        <v>https://linkedin.com/in/srcheng</v>
      </c>
      <c r="K33" s="5" t="s">
        <v>205</v>
      </c>
      <c r="L33" s="5" t="s">
        <v>29</v>
      </c>
      <c r="M33" s="7" t="str">
        <f>HYPERLINK("https://api.typeform.com/responses/files/e0d41a1f3d9ee8dbbeed196ba0a52b83f7bb65b0e6d7a641a77489b618ba79b1/IMG_2702.jpeg")</f>
        <v>https://api.typeform.com/responses/files/e0d41a1f3d9ee8dbbeed196ba0a52b83f7bb65b0e6d7a641a77489b618ba79b1/IMG_2702.jpeg</v>
      </c>
      <c r="N33" s="5" t="b">
        <v>1</v>
      </c>
      <c r="O33" s="5" t="s">
        <v>251</v>
      </c>
      <c r="P33" s="7" t="str">
        <f>HYPERLINK("https://linkedin.com/in/yuzh")</f>
        <v>https://linkedin.com/in/yuzh</v>
      </c>
      <c r="Q33" s="5" t="s">
        <v>40</v>
      </c>
      <c r="R33" s="5" t="s">
        <v>29</v>
      </c>
      <c r="S33" s="5" t="s">
        <v>41</v>
      </c>
      <c r="T33" s="7" t="str">
        <f>HYPERLINK("https://api.typeform.com/responses/files/6b32290167620210ede0824b8b4513a79fb641753dc224080b756b13ed6fd7c9/DSC_00512.jpg")</f>
        <v>https://api.typeform.com/responses/files/6b32290167620210ede0824b8b4513a79fb641753dc224080b756b13ed6fd7c9/DSC_00512.jpg</v>
      </c>
      <c r="U33" s="5" t="b">
        <v>0</v>
      </c>
      <c r="V33" s="8" t="s">
        <v>252</v>
      </c>
      <c r="W33" s="5" t="b">
        <v>1</v>
      </c>
      <c r="X33" s="9">
        <v>45358.55094907407</v>
      </c>
      <c r="Y33" s="5" t="s">
        <v>253</v>
      </c>
    </row>
    <row r="34">
      <c r="A34" s="4" t="s">
        <v>22</v>
      </c>
      <c r="B34" s="5">
        <f t="shared" si="1"/>
        <v>33</v>
      </c>
      <c r="C34" s="5" t="s">
        <v>254</v>
      </c>
      <c r="D34" s="5" t="s">
        <v>255</v>
      </c>
      <c r="E34" s="6" t="s">
        <v>46</v>
      </c>
      <c r="F34" s="7" t="str">
        <f>HYPERLINK("https://quintaapp.com.mx")</f>
        <v>https://quintaapp.com.mx</v>
      </c>
      <c r="G34" s="7" t="str">
        <f>HYPERLINK("https://api.typeform.com/responses/files/77ea38ab15bb70190d875a86b02d689c3fa49ff39397e6061f6444724075664e/Quinta_Pitch.zip")</f>
        <v>https://api.typeform.com/responses/files/77ea38ab15bb70190d875a86b02d689c3fa49ff39397e6061f6444724075664e/Quinta_Pitch.zip</v>
      </c>
      <c r="H34" s="5" t="s">
        <v>256</v>
      </c>
      <c r="I34" s="5" t="s">
        <v>257</v>
      </c>
      <c r="J34" s="7" t="str">
        <f>HYPERLINK("https://www.linkedin.com/in/julianlopezbirlain/")</f>
        <v>https://www.linkedin.com/in/julianlopezbirlain/</v>
      </c>
      <c r="K34" s="5" t="s">
        <v>258</v>
      </c>
      <c r="L34" s="5" t="s">
        <v>29</v>
      </c>
      <c r="M34" s="7" t="str">
        <f>HYPERLINK("https://api.typeform.com/responses/files/9e2fe2917618211c3b9ed0ad5d19c21c6bba77be0a0ad0103ce65310405926a8/IMG_3953.JPG")</f>
        <v>https://api.typeform.com/responses/files/9e2fe2917618211c3b9ed0ad5d19c21c6bba77be0a0ad0103ce65310405926a8/IMG_3953.JPG</v>
      </c>
      <c r="N34" s="5" t="b">
        <v>1</v>
      </c>
      <c r="O34" s="5" t="s">
        <v>259</v>
      </c>
      <c r="P34" s="7" t="str">
        <f>HYPERLINK("https://www.linkedin.com/in/miguel-gutierrez-elizondo-ba035b269/")</f>
        <v>https://www.linkedin.com/in/miguel-gutierrez-elizondo-ba035b269/</v>
      </c>
      <c r="Q34" s="5" t="s">
        <v>260</v>
      </c>
      <c r="R34" s="5" t="s">
        <v>29</v>
      </c>
      <c r="S34" s="5" t="s">
        <v>72</v>
      </c>
      <c r="T34" s="7" t="str">
        <f>HYPERLINK("https://api.typeform.com/responses/files/efa493a23b55ec1e33a2824ea16557389a16be0b82a9725934ff017bb99a764b/1697668437190.jpg")</f>
        <v>https://api.typeform.com/responses/files/efa493a23b55ec1e33a2824ea16557389a16be0b82a9725934ff017bb99a764b/1697668437190.jpg</v>
      </c>
      <c r="U34" s="5" t="b">
        <v>0</v>
      </c>
      <c r="V34" s="8" t="s">
        <v>261</v>
      </c>
      <c r="W34" s="5" t="b">
        <v>1</v>
      </c>
      <c r="X34" s="9">
        <v>45360.07611111111</v>
      </c>
      <c r="Y34" s="5" t="s">
        <v>262</v>
      </c>
    </row>
    <row r="35">
      <c r="A35" s="4" t="s">
        <v>22</v>
      </c>
      <c r="B35" s="5">
        <f t="shared" si="1"/>
        <v>34</v>
      </c>
      <c r="C35" s="5" t="s">
        <v>263</v>
      </c>
      <c r="D35" s="5" t="s">
        <v>264</v>
      </c>
      <c r="E35" s="6" t="s">
        <v>46</v>
      </c>
      <c r="G35" s="7" t="str">
        <f>HYPERLINK("https://api.typeform.com/responses/files/5bf0b6b5ae20ad157470ca95403b4ba629bf5ef780f6bc03cfe3d602e3414c45/Recei_PitchDeck.pdf")</f>
        <v>https://api.typeform.com/responses/files/5bf0b6b5ae20ad157470ca95403b4ba629bf5ef780f6bc03cfe3d602e3414c45/Recei_PitchDeck.pdf</v>
      </c>
      <c r="H35" s="5" t="s">
        <v>265</v>
      </c>
      <c r="I35" s="5" t="s">
        <v>266</v>
      </c>
      <c r="J35" s="7" t="str">
        <f>HYPERLINK("https://www.linkedin.com/in/joshuamccamp")</f>
        <v>https://www.linkedin.com/in/joshuamccamp</v>
      </c>
      <c r="K35" s="5" t="s">
        <v>40</v>
      </c>
      <c r="L35" s="5" t="s">
        <v>57</v>
      </c>
      <c r="M35" s="7" t="str">
        <f>HYPERLINK("https://api.typeform.com/responses/files/faf5da8cb27ac691e5b9badca611d9ab12579be693a3b97be599f5f2fdcfcad6/IMG_0686.jpeg")</f>
        <v>https://api.typeform.com/responses/files/faf5da8cb27ac691e5b9badca611d9ab12579be693a3b97be599f5f2fdcfcad6/IMG_0686.jpeg</v>
      </c>
      <c r="N35" s="5" t="b">
        <v>1</v>
      </c>
      <c r="O35" s="5" t="s">
        <v>267</v>
      </c>
      <c r="P35" s="7" t="str">
        <f>HYPERLINK("https://www.linkedin.com/in/alamgirmohammed")</f>
        <v>https://www.linkedin.com/in/alamgirmohammed</v>
      </c>
      <c r="Q35" s="5" t="s">
        <v>37</v>
      </c>
      <c r="R35" s="5" t="s">
        <v>38</v>
      </c>
      <c r="S35" s="5" t="s">
        <v>41</v>
      </c>
      <c r="T35" s="7" t="str">
        <f>HYPERLINK("https://api.typeform.com/responses/files/c59e9e0f0b14e90509ae237df7ade1b9abf28203b7b82d7cba76544e4b54d62a/1646106640869.jpeg")</f>
        <v>https://api.typeform.com/responses/files/c59e9e0f0b14e90509ae237df7ade1b9abf28203b7b82d7cba76544e4b54d62a/1646106640869.jpeg</v>
      </c>
      <c r="U35" s="5" t="b">
        <v>0</v>
      </c>
      <c r="V35" s="8" t="s">
        <v>268</v>
      </c>
      <c r="W35" s="5" t="b">
        <v>1</v>
      </c>
      <c r="X35" s="9">
        <v>45369.77868055556</v>
      </c>
      <c r="Y35" s="5" t="s">
        <v>269</v>
      </c>
    </row>
    <row r="36">
      <c r="A36" s="4" t="s">
        <v>22</v>
      </c>
      <c r="B36" s="5">
        <f t="shared" si="1"/>
        <v>35</v>
      </c>
      <c r="C36" s="5" t="s">
        <v>270</v>
      </c>
      <c r="D36" s="5" t="s">
        <v>271</v>
      </c>
      <c r="E36" s="6" t="s">
        <v>158</v>
      </c>
      <c r="F36" s="7" t="str">
        <f>HYPERLINK("https://revsend.com")</f>
        <v>https://revsend.com</v>
      </c>
      <c r="G36" s="7" t="str">
        <f>HYPERLINK("https://api.typeform.com/responses/files/2b55010c8b8ab5370718c7e1a11c0df5f9a7050d0c174b4107bd1961590ddfc0/RevSend_Deck__Troy_Labs_DEMO_.pptx")</f>
        <v>https://api.typeform.com/responses/files/2b55010c8b8ab5370718c7e1a11c0df5f9a7050d0c174b4107bd1961590ddfc0/RevSend_Deck__Troy_Labs_DEMO_.pptx</v>
      </c>
      <c r="H36" s="5" t="s">
        <v>272</v>
      </c>
      <c r="I36" s="5" t="s">
        <v>273</v>
      </c>
      <c r="J36" s="7" t="str">
        <f>HYPERLINK("https://www.linkedin.com/in/jonathan-nahin-41ab0263/")</f>
        <v>https://www.linkedin.com/in/jonathan-nahin-41ab0263/</v>
      </c>
      <c r="K36" s="5" t="s">
        <v>274</v>
      </c>
      <c r="L36" s="5" t="s">
        <v>29</v>
      </c>
      <c r="M36" s="7" t="str">
        <f>HYPERLINK("https://api.typeform.com/responses/files/217cff00116efac022b62a2fc4a4ea8960262827973d095731e09f92a53d3086/432421081_10161609701747387_4304741662789315750_n.jpg")</f>
        <v>https://api.typeform.com/responses/files/217cff00116efac022b62a2fc4a4ea8960262827973d095731e09f92a53d3086/432421081_10161609701747387_4304741662789315750_n.jpg</v>
      </c>
      <c r="N36" s="5" t="b">
        <v>0</v>
      </c>
      <c r="V36" s="8" t="s">
        <v>275</v>
      </c>
      <c r="W36" s="5" t="b">
        <v>1</v>
      </c>
      <c r="X36" s="9">
        <v>45370.29586805555</v>
      </c>
      <c r="Y36" s="5" t="s">
        <v>276</v>
      </c>
    </row>
    <row r="37">
      <c r="A37" s="4" t="s">
        <v>22</v>
      </c>
      <c r="B37" s="5">
        <f t="shared" si="1"/>
        <v>36</v>
      </c>
      <c r="C37" s="5" t="s">
        <v>277</v>
      </c>
      <c r="D37" s="5" t="s">
        <v>144</v>
      </c>
      <c r="E37" s="6" t="s">
        <v>25</v>
      </c>
      <c r="F37" s="7" t="str">
        <f>HYPERLINK("https://schej.it/")</f>
        <v>https://schej.it/</v>
      </c>
      <c r="G37" s="7" t="str">
        <f>HYPERLINK("https://api.typeform.com/responses/files/36686a95807acb9213d7729b9f71b10f5568d3c96995bdf2db314bf776cc99de/schej_pitch_deck.pdf")</f>
        <v>https://api.typeform.com/responses/files/36686a95807acb9213d7729b9f71b10f5568d3c96995bdf2db314bf776cc99de/schej_pitch_deck.pdf</v>
      </c>
      <c r="H37" s="5" t="s">
        <v>278</v>
      </c>
      <c r="I37" s="5" t="s">
        <v>279</v>
      </c>
      <c r="J37" s="7" t="str">
        <f>HYPERLINK("https://www.linkedin.com/in/jonathan-z-liu/")</f>
        <v>https://www.linkedin.com/in/jonathan-z-liu/</v>
      </c>
      <c r="K37" s="5" t="s">
        <v>37</v>
      </c>
      <c r="L37" s="5" t="s">
        <v>38</v>
      </c>
      <c r="M37" s="7" t="str">
        <f>HYPERLINK("https://api.typeform.com/responses/files/c1cf5e2650e1d1a393c014752d8e09e2b15129640fc64174351d89ef8e0123de/Professional.jpg")</f>
        <v>https://api.typeform.com/responses/files/c1cf5e2650e1d1a393c014752d8e09e2b15129640fc64174351d89ef8e0123de/Professional.jpg</v>
      </c>
      <c r="N37" s="5" t="b">
        <v>1</v>
      </c>
      <c r="O37" s="5" t="s">
        <v>280</v>
      </c>
      <c r="P37" s="7" t="str">
        <f>HYPERLINK("https://www.linkedin.com/in/tony-xin/")</f>
        <v>https://www.linkedin.com/in/tony-xin/</v>
      </c>
      <c r="Q37" s="5" t="s">
        <v>281</v>
      </c>
      <c r="R37" s="5" t="s">
        <v>38</v>
      </c>
      <c r="S37" s="5" t="s">
        <v>41</v>
      </c>
      <c r="T37" s="7" t="str">
        <f>HYPERLINK("https://api.typeform.com/responses/files/d345fa6ba3f029403901142dcb163f5e3af5db49ca0cb61a69d8e3693bf0c59f/1632279310530.jpeg")</f>
        <v>https://api.typeform.com/responses/files/d345fa6ba3f029403901142dcb163f5e3af5db49ca0cb61a69d8e3693bf0c59f/1632279310530.jpeg</v>
      </c>
      <c r="U37" s="5" t="b">
        <v>0</v>
      </c>
      <c r="V37" s="8" t="s">
        <v>282</v>
      </c>
      <c r="W37" s="5" t="b">
        <v>1</v>
      </c>
      <c r="X37" s="9">
        <v>45356.842835648145</v>
      </c>
      <c r="Y37" s="5" t="s">
        <v>283</v>
      </c>
    </row>
    <row r="38">
      <c r="A38" s="4" t="s">
        <v>22</v>
      </c>
      <c r="B38" s="5">
        <f t="shared" si="1"/>
        <v>37</v>
      </c>
      <c r="C38" s="5" t="s">
        <v>284</v>
      </c>
      <c r="D38" s="5" t="s">
        <v>285</v>
      </c>
      <c r="E38" s="6" t="s">
        <v>25</v>
      </c>
      <c r="F38" s="7" t="str">
        <f>HYPERLINK("https://seekeats.com/")</f>
        <v>https://seekeats.com/</v>
      </c>
      <c r="G38" s="7" t="str">
        <f>HYPERLINK("https://api.typeform.com/responses/files/a7be3550ee7cb1d2a1374b128e75778f080e9e3fc0c32178934a17c855f210e6/SeekEats_Deck_new.pdf")</f>
        <v>https://api.typeform.com/responses/files/a7be3550ee7cb1d2a1374b128e75778f080e9e3fc0c32178934a17c855f210e6/SeekEats_Deck_new.pdf</v>
      </c>
      <c r="H38" s="5" t="s">
        <v>286</v>
      </c>
      <c r="I38" s="5" t="s">
        <v>287</v>
      </c>
      <c r="J38" s="7" t="str">
        <f>HYPERLINK("https://www.linkedin.com/in/phillipslau/")</f>
        <v>https://www.linkedin.com/in/phillipslau/</v>
      </c>
      <c r="K38" s="5" t="s">
        <v>40</v>
      </c>
      <c r="L38" s="5" t="s">
        <v>29</v>
      </c>
      <c r="M38" s="7" t="str">
        <f>HYPERLINK("https://api.typeform.com/responses/files/936957215911f579b54db2afad8b791dff6e2967c25c9334980e75da919120d0/375702349_981012296519904_5661091162573854009_n__1_.jpg")</f>
        <v>https://api.typeform.com/responses/files/936957215911f579b54db2afad8b791dff6e2967c25c9334980e75da919120d0/375702349_981012296519904_5661091162573854009_n__1_.jpg</v>
      </c>
      <c r="N38" s="5" t="b">
        <v>1</v>
      </c>
      <c r="O38" s="5" t="s">
        <v>288</v>
      </c>
      <c r="Q38" s="5" t="s">
        <v>40</v>
      </c>
      <c r="R38" s="5" t="s">
        <v>38</v>
      </c>
      <c r="S38" s="5" t="s">
        <v>41</v>
      </c>
      <c r="U38" s="5" t="b">
        <v>0</v>
      </c>
      <c r="V38" s="8" t="s">
        <v>289</v>
      </c>
      <c r="W38" s="5" t="b">
        <v>1</v>
      </c>
      <c r="X38" s="9">
        <v>45360.26136574074</v>
      </c>
      <c r="Y38" s="5" t="s">
        <v>290</v>
      </c>
    </row>
    <row r="39">
      <c r="A39" s="4" t="s">
        <v>22</v>
      </c>
      <c r="B39" s="5">
        <f t="shared" si="1"/>
        <v>38</v>
      </c>
      <c r="C39" s="5" t="s">
        <v>291</v>
      </c>
      <c r="D39" s="5" t="s">
        <v>85</v>
      </c>
      <c r="E39" s="6" t="s">
        <v>46</v>
      </c>
      <c r="G39" s="7" t="str">
        <f>HYPERLINK("https://api.typeform.com/responses/files/8e1c44a102108fae68634c6692ea89b9cf2651107248e4ad3f04b00db642f0f4/Copy_of__Original_size__UCI_AI_Hackathon.pdf")</f>
        <v>https://api.typeform.com/responses/files/8e1c44a102108fae68634c6692ea89b9cf2651107248e4ad3f04b00db642f0f4/Copy_of__Original_size__UCI_AI_Hackathon.pdf</v>
      </c>
      <c r="H39" s="5" t="s">
        <v>292</v>
      </c>
      <c r="I39" s="5" t="s">
        <v>293</v>
      </c>
      <c r="J39" s="7" t="str">
        <f>HYPERLINK("https://linkedin.com/in/mahkamehrasouli/")</f>
        <v>https://linkedin.com/in/mahkamehrasouli/</v>
      </c>
      <c r="K39" s="5" t="s">
        <v>294</v>
      </c>
      <c r="L39" s="5" t="s">
        <v>57</v>
      </c>
      <c r="M39" s="7" t="str">
        <f>HYPERLINK("https://api.typeform.com/responses/files/f780478fad77a2590e1a60365831e483e68043f6f799a1ea89f135700a8c323b/Photobooth.jpg")</f>
        <v>https://api.typeform.com/responses/files/f780478fad77a2590e1a60365831e483e68043f6f799a1ea89f135700a8c323b/Photobooth.jpg</v>
      </c>
      <c r="N39" s="5" t="b">
        <v>1</v>
      </c>
      <c r="O39" s="5" t="s">
        <v>295</v>
      </c>
      <c r="P39" s="7" t="str">
        <f>HYPERLINK("https://se.linkedin.com/in/pooyanm")</f>
        <v>https://se.linkedin.com/in/pooyanm</v>
      </c>
      <c r="Q39" s="5" t="s">
        <v>294</v>
      </c>
      <c r="R39" s="5" t="s">
        <v>163</v>
      </c>
      <c r="S39" s="5" t="s">
        <v>72</v>
      </c>
      <c r="T39" s="7" t="str">
        <f>HYPERLINK("https://api.typeform.com/responses/files/1e899f331de931e2711b31954b5a5144930d89ea6e88f006acaba62bcd38cd5f/image_123650291.JPG")</f>
        <v>https://api.typeform.com/responses/files/1e899f331de931e2711b31954b5a5144930d89ea6e88f006acaba62bcd38cd5f/image_123650291.JPG</v>
      </c>
      <c r="U39" s="5" t="b">
        <v>0</v>
      </c>
      <c r="V39" s="8" t="s">
        <v>296</v>
      </c>
      <c r="W39" s="5" t="b">
        <v>1</v>
      </c>
      <c r="X39" s="9">
        <v>45358.03226851852</v>
      </c>
      <c r="Y39" s="5" t="s">
        <v>297</v>
      </c>
    </row>
    <row r="40">
      <c r="A40" s="4" t="s">
        <v>22</v>
      </c>
      <c r="B40" s="5">
        <f t="shared" si="1"/>
        <v>39</v>
      </c>
      <c r="C40" s="5" t="s">
        <v>298</v>
      </c>
      <c r="D40" s="5" t="s">
        <v>299</v>
      </c>
      <c r="E40" s="6" t="s">
        <v>34</v>
      </c>
      <c r="G40" s="7" t="str">
        <f>HYPERLINK("https://api.typeform.com/responses/files/41230348409d2f16f9e3d4f277024ac9956d576614bc5d0a72bb86824b14c273/ShapeShift_pitchdeck_final_compressed.pdf")</f>
        <v>https://api.typeform.com/responses/files/41230348409d2f16f9e3d4f277024ac9956d576614bc5d0a72bb86824b14c273/ShapeShift_pitchdeck_final_compressed.pdf</v>
      </c>
      <c r="H40" s="5" t="s">
        <v>300</v>
      </c>
      <c r="I40" s="5" t="s">
        <v>301</v>
      </c>
      <c r="J40" s="7" t="str">
        <f>HYPERLINK("https://www.linkedin.com/in/aryan-barik/")</f>
        <v>https://www.linkedin.com/in/aryan-barik/</v>
      </c>
      <c r="K40" s="5" t="s">
        <v>37</v>
      </c>
      <c r="L40" s="5" t="s">
        <v>57</v>
      </c>
      <c r="M40" s="7" t="str">
        <f>HYPERLINK("https://api.typeform.com/responses/files/7936af9fd2e806cd12b4322be0eeae58c608a7f83fd5726f5ddaa83609f2b108/Snapseed_3.jpg")</f>
        <v>https://api.typeform.com/responses/files/7936af9fd2e806cd12b4322be0eeae58c608a7f83fd5726f5ddaa83609f2b108/Snapseed_3.jpg</v>
      </c>
      <c r="N40" s="5" t="b">
        <v>0</v>
      </c>
      <c r="V40" s="8" t="s">
        <v>302</v>
      </c>
      <c r="W40" s="5" t="b">
        <v>1</v>
      </c>
      <c r="X40" s="9">
        <v>45370.24087962963</v>
      </c>
      <c r="Y40" s="5" t="s">
        <v>303</v>
      </c>
    </row>
    <row r="41">
      <c r="A41" s="4" t="s">
        <v>22</v>
      </c>
      <c r="B41" s="5">
        <f t="shared" si="1"/>
        <v>40</v>
      </c>
      <c r="C41" s="5" t="s">
        <v>304</v>
      </c>
      <c r="D41" s="5" t="s">
        <v>305</v>
      </c>
      <c r="E41" s="6" t="s">
        <v>46</v>
      </c>
      <c r="F41" s="7" t="str">
        <f>HYPERLINK("https://www.markrayant.com/")</f>
        <v>https://www.markrayant.com/</v>
      </c>
      <c r="G41" s="7" t="str">
        <f>HYPERLINK("https://api.typeform.com/responses/files/404200c3064ef958732b8308f07b43f75d3a6c0d2586815a71c4d285befb9d11/Main_SkyGuard_Pitch_Deck__1___1_.pptx")</f>
        <v>https://api.typeform.com/responses/files/404200c3064ef958732b8308f07b43f75d3a6c0d2586815a71c4d285befb9d11/Main_SkyGuard_Pitch_Deck__1___1_.pptx</v>
      </c>
      <c r="H41" s="5" t="s">
        <v>306</v>
      </c>
      <c r="I41" s="5" t="s">
        <v>307</v>
      </c>
      <c r="J41" s="7" t="str">
        <f>HYPERLINK("https://www.linkedin.com/in/xichenstevengao")</f>
        <v>https://www.linkedin.com/in/xichenstevengao</v>
      </c>
      <c r="K41" s="5" t="s">
        <v>37</v>
      </c>
      <c r="L41" s="5" t="s">
        <v>38</v>
      </c>
      <c r="M41" s="7" t="str">
        <f>HYPERLINK("https://api.typeform.com/responses/files/73a1c8b1ecaf431846b22d1d363ab5da04a520d257a0b107e8ad17eabee88cdb/imresizer_1708662568793.jpg")</f>
        <v>https://api.typeform.com/responses/files/73a1c8b1ecaf431846b22d1d363ab5da04a520d257a0b107e8ad17eabee88cdb/imresizer_1708662568793.jpg</v>
      </c>
      <c r="N41" s="5" t="b">
        <v>0</v>
      </c>
      <c r="V41" s="8" t="s">
        <v>308</v>
      </c>
      <c r="W41" s="5" t="b">
        <v>1</v>
      </c>
      <c r="X41" s="9">
        <v>45360.22381944444</v>
      </c>
      <c r="Y41" s="5" t="s">
        <v>309</v>
      </c>
    </row>
    <row r="42">
      <c r="A42" s="4" t="s">
        <v>22</v>
      </c>
      <c r="B42" s="5">
        <f t="shared" si="1"/>
        <v>41</v>
      </c>
      <c r="C42" s="5" t="s">
        <v>310</v>
      </c>
      <c r="D42" s="5" t="s">
        <v>311</v>
      </c>
      <c r="E42" s="6" t="s">
        <v>25</v>
      </c>
      <c r="F42" s="7" t="str">
        <f>HYPERLINK("https://stellace.com")</f>
        <v>https://stellace.com</v>
      </c>
      <c r="G42" s="7" t="str">
        <f>HYPERLINK("https://api.typeform.com/responses/files/e235a53d91801788c0a850ab9088f102faef59de7b3a2819ba0a18d5613a7a6f/Stellace_Public_Deck.pdf")</f>
        <v>https://api.typeform.com/responses/files/e235a53d91801788c0a850ab9088f102faef59de7b3a2819ba0a18d5613a7a6f/Stellace_Public_Deck.pdf</v>
      </c>
      <c r="H42" s="5" t="s">
        <v>312</v>
      </c>
      <c r="I42" s="5" t="s">
        <v>313</v>
      </c>
      <c r="J42" s="7" t="str">
        <f>HYPERLINK("https://linkedin.com/mario-apuzzo")</f>
        <v>https://linkedin.com/mario-apuzzo</v>
      </c>
      <c r="K42" s="5" t="s">
        <v>40</v>
      </c>
      <c r="L42" s="5" t="s">
        <v>38</v>
      </c>
      <c r="M42" s="7" t="str">
        <f>HYPERLINK("https://api.typeform.com/responses/files/bffa1c77f5c11e5f86d1a5de9a6a47b9c1ecb237231830b9bfc7f485a580017a/Screen_Shot_2023_02_10_at_5.15.32_PM.png")</f>
        <v>https://api.typeform.com/responses/files/bffa1c77f5c11e5f86d1a5de9a6a47b9c1ecb237231830b9bfc7f485a580017a/Screen_Shot_2023_02_10_at_5.15.32_PM.png</v>
      </c>
      <c r="N42" s="5" t="b">
        <v>0</v>
      </c>
      <c r="V42" s="8" t="s">
        <v>314</v>
      </c>
      <c r="W42" s="5" t="b">
        <v>1</v>
      </c>
      <c r="X42" s="9">
        <v>45357.856944444444</v>
      </c>
      <c r="Y42" s="5" t="s">
        <v>315</v>
      </c>
    </row>
    <row r="43">
      <c r="A43" s="4" t="s">
        <v>22</v>
      </c>
      <c r="B43" s="5">
        <f t="shared" si="1"/>
        <v>42</v>
      </c>
      <c r="C43" s="5" t="s">
        <v>316</v>
      </c>
      <c r="D43" s="5" t="s">
        <v>317</v>
      </c>
      <c r="E43" s="6" t="s">
        <v>25</v>
      </c>
      <c r="F43" s="7" t="str">
        <f>HYPERLINK("https://tanbii.com")</f>
        <v>https://tanbii.com</v>
      </c>
      <c r="G43" s="7" t="str">
        <f>HYPERLINK("https://api.typeform.com/responses/files/5b89201472c5155cbb8e4f4b0b5a89d28c9ac8c9bd959b458ab2ae8692a9d360/Tanbii_Deck_USC.pdf")</f>
        <v>https://api.typeform.com/responses/files/5b89201472c5155cbb8e4f4b0b5a89d28c9ac8c9bd959b458ab2ae8692a9d360/Tanbii_Deck_USC.pdf</v>
      </c>
      <c r="H43" s="5" t="s">
        <v>318</v>
      </c>
      <c r="I43" s="5" t="s">
        <v>319</v>
      </c>
      <c r="K43" s="5" t="s">
        <v>258</v>
      </c>
      <c r="L43" s="5" t="s">
        <v>29</v>
      </c>
      <c r="M43" s="7" t="str">
        <f>HYPERLINK("https://api.typeform.com/responses/files/146eaf15ce494e62162b14f75c30139401559a764c07bca1cc720f630e0fc1c5/Career_Pic.jpg")</f>
        <v>https://api.typeform.com/responses/files/146eaf15ce494e62162b14f75c30139401559a764c07bca1cc720f630e0fc1c5/Career_Pic.jpg</v>
      </c>
      <c r="N43" s="5" t="b">
        <v>1</v>
      </c>
      <c r="O43" s="5" t="s">
        <v>320</v>
      </c>
      <c r="P43" s="7" t="str">
        <f>HYPERLINK("https://www.linkedin.com/in/mrrobluo/")</f>
        <v>https://www.linkedin.com/in/mrrobluo/</v>
      </c>
      <c r="Q43" s="5" t="s">
        <v>40</v>
      </c>
      <c r="R43" s="5" t="s">
        <v>29</v>
      </c>
      <c r="S43" s="5" t="s">
        <v>41</v>
      </c>
      <c r="T43" s="7" t="str">
        <f>HYPERLINK("https://api.typeform.com/responses/files/8a034a7a1c5547ccafb5478a5e38a42bee33da3716c3e0768b8099e0a7224504/Screenshot_2024_03_05_at_9.23.36_AM.png")</f>
        <v>https://api.typeform.com/responses/files/8a034a7a1c5547ccafb5478a5e38a42bee33da3716c3e0768b8099e0a7224504/Screenshot_2024_03_05_at_9.23.36_AM.png</v>
      </c>
      <c r="U43" s="5" t="b">
        <v>0</v>
      </c>
      <c r="V43" s="8" t="s">
        <v>321</v>
      </c>
      <c r="W43" s="5" t="b">
        <v>1</v>
      </c>
      <c r="X43" s="9">
        <v>45356.73097222222</v>
      </c>
      <c r="Y43" s="5" t="s">
        <v>322</v>
      </c>
    </row>
    <row r="44">
      <c r="A44" s="4" t="s">
        <v>22</v>
      </c>
      <c r="B44" s="5">
        <f t="shared" si="1"/>
        <v>43</v>
      </c>
      <c r="C44" s="5" t="s">
        <v>323</v>
      </c>
      <c r="D44" s="5" t="s">
        <v>324</v>
      </c>
      <c r="E44" s="6" t="s">
        <v>25</v>
      </c>
      <c r="F44" s="7" t="str">
        <f>HYPERLINK("https://www.terratokes.com/")</f>
        <v>https://www.terratokes.com/</v>
      </c>
      <c r="G44" s="7" t="str">
        <f>HYPERLINK("https://api.typeform.com/responses/files/14bc8deafcd95e617a8c3eeea97db7a1e413d4845299717a5e4b4dc605dfbeb8/Troy_Labs_Pitch_Deck_1.pdf.zip")</f>
        <v>https://api.typeform.com/responses/files/14bc8deafcd95e617a8c3eeea97db7a1e413d4845299717a5e4b4dc605dfbeb8/Troy_Labs_Pitch_Deck_1.pdf.zip</v>
      </c>
      <c r="H44" s="5" t="s">
        <v>325</v>
      </c>
      <c r="I44" s="5" t="s">
        <v>326</v>
      </c>
      <c r="J44" s="7" t="str">
        <f>HYPERLINK("https://www.linkedin.com/in/junterratokes/")</f>
        <v>https://www.linkedin.com/in/junterratokes/</v>
      </c>
      <c r="K44" s="5" t="s">
        <v>40</v>
      </c>
      <c r="L44" s="5" t="s">
        <v>29</v>
      </c>
      <c r="M44" s="7" t="str">
        <f>HYPERLINK("https://api.typeform.com/responses/files/ddbaac51723918c6320bf728aad483934931eaa3f485ad4629f8c91c8ae17ff2/洵_顔.jpg")</f>
        <v>https://api.typeform.com/responses/files/ddbaac51723918c6320bf728aad483934931eaa3f485ad4629f8c91c8ae17ff2/洵_顔.jpg</v>
      </c>
      <c r="N44" s="5" t="b">
        <v>1</v>
      </c>
      <c r="O44" s="5" t="s">
        <v>327</v>
      </c>
      <c r="P44" s="7" t="str">
        <f>HYPERLINK("https://www.linkedin.com/in/platobougas/")</f>
        <v>https://www.linkedin.com/in/platobougas/</v>
      </c>
      <c r="Q44" s="5" t="s">
        <v>40</v>
      </c>
      <c r="R44" s="5" t="s">
        <v>29</v>
      </c>
      <c r="S44" s="5" t="s">
        <v>41</v>
      </c>
      <c r="T44" s="7" t="str">
        <f>HYPERLINK("https://api.typeform.com/responses/files/bbf9a39a733cf4f65875bfb976bd14e3e7fb6ac52e7dab72a7f4598c805826d9/洵_顔.jpg")</f>
        <v>https://api.typeform.com/responses/files/bbf9a39a733cf4f65875bfb976bd14e3e7fb6ac52e7dab72a7f4598c805826d9/洵_顔.jpg</v>
      </c>
      <c r="U44" s="5" t="b">
        <v>0</v>
      </c>
      <c r="V44" s="8" t="s">
        <v>328</v>
      </c>
      <c r="W44" s="5" t="b">
        <v>1</v>
      </c>
      <c r="X44" s="9">
        <v>45360.10282407407</v>
      </c>
      <c r="Y44" s="5" t="s">
        <v>329</v>
      </c>
    </row>
    <row r="45">
      <c r="A45" s="4" t="s">
        <v>22</v>
      </c>
      <c r="B45" s="5">
        <f t="shared" si="1"/>
        <v>44</v>
      </c>
      <c r="C45" s="5" t="s">
        <v>330</v>
      </c>
      <c r="D45" s="5" t="s">
        <v>331</v>
      </c>
      <c r="E45" s="6" t="s">
        <v>46</v>
      </c>
      <c r="F45" s="7" t="str">
        <f>HYPERLINK("https://indie-stry.com")</f>
        <v>https://indie-stry.com</v>
      </c>
      <c r="G45" s="7" t="str">
        <f>HYPERLINK("https://api.typeform.com/responses/files/c95c526b8739445fc0f8908cf1e30a5c45997cacaf1d667fae164ca1da7bad1c/The_Indie_stry_Pitch.pdf")</f>
        <v>https://api.typeform.com/responses/files/c95c526b8739445fc0f8908cf1e30a5c45997cacaf1d667fae164ca1da7bad1c/The_Indie_stry_Pitch.pdf</v>
      </c>
      <c r="H45" s="5" t="s">
        <v>332</v>
      </c>
      <c r="I45" s="5" t="s">
        <v>333</v>
      </c>
      <c r="J45" s="7" t="str">
        <f>HYPERLINK("https://www.linkedin.com/in/alex-nimrod-439a94210/")</f>
        <v>https://www.linkedin.com/in/alex-nimrod-439a94210/</v>
      </c>
      <c r="K45" s="5" t="s">
        <v>334</v>
      </c>
      <c r="L45" s="5" t="s">
        <v>38</v>
      </c>
      <c r="M45" s="7" t="str">
        <f>HYPERLINK("https://api.typeform.com/responses/files/de02f324bafa538e7eb54f083cc0349c3d201d5afcef77b2f801714dd534b30b/Alex_Nimrod_Headshot_2.jpeg")</f>
        <v>https://api.typeform.com/responses/files/de02f324bafa538e7eb54f083cc0349c3d201d5afcef77b2f801714dd534b30b/Alex_Nimrod_Headshot_2.jpeg</v>
      </c>
      <c r="N45" s="5" t="b">
        <v>1</v>
      </c>
      <c r="O45" s="5" t="s">
        <v>335</v>
      </c>
      <c r="P45" s="7" t="str">
        <f>HYPERLINK("https://www.linkedin.com/in/maximus-jenkins-874634209/")</f>
        <v>https://www.linkedin.com/in/maximus-jenkins-874634209/</v>
      </c>
      <c r="Q45" s="5" t="s">
        <v>336</v>
      </c>
      <c r="R45" s="5" t="s">
        <v>38</v>
      </c>
      <c r="S45" s="5" t="s">
        <v>72</v>
      </c>
      <c r="T45" s="7" t="str">
        <f>HYPERLINK("https://api.typeform.com/responses/files/4a188b26b800633f4d9863a7fe58fe30e3f801ddc738eceed4f8d3f161cfb68f/Screenshot_2024_03_05_at_7.50.50_PM.png")</f>
        <v>https://api.typeform.com/responses/files/4a188b26b800633f4d9863a7fe58fe30e3f801ddc738eceed4f8d3f161cfb68f/Screenshot_2024_03_05_at_7.50.50_PM.png</v>
      </c>
      <c r="U45" s="5" t="b">
        <v>0</v>
      </c>
      <c r="V45" s="8" t="s">
        <v>337</v>
      </c>
      <c r="W45" s="5" t="b">
        <v>1</v>
      </c>
      <c r="X45" s="9">
        <v>45357.16295138889</v>
      </c>
      <c r="Y45" s="5" t="s">
        <v>338</v>
      </c>
    </row>
    <row r="46">
      <c r="A46" s="4" t="s">
        <v>22</v>
      </c>
      <c r="B46" s="5">
        <f t="shared" si="1"/>
        <v>45</v>
      </c>
      <c r="C46" s="5" t="s">
        <v>339</v>
      </c>
      <c r="D46" s="5" t="s">
        <v>340</v>
      </c>
      <c r="E46" s="6" t="s">
        <v>34</v>
      </c>
      <c r="G46" s="7" t="str">
        <f>HYPERLINK("https://api.typeform.com/responses/files/107d56cc4c7a00473ca6f2a2dd0d640b16493d6c22e2e9806a64a2aba23b6f05/ThirdPlace_Pitch_Deck.pdf")</f>
        <v>https://api.typeform.com/responses/files/107d56cc4c7a00473ca6f2a2dd0d640b16493d6c22e2e9806a64a2aba23b6f05/ThirdPlace_Pitch_Deck.pdf</v>
      </c>
      <c r="H46" s="5" t="s">
        <v>341</v>
      </c>
      <c r="I46" s="5" t="s">
        <v>342</v>
      </c>
      <c r="J46" s="7" t="str">
        <f>HYPERLINK("https://www.linkedin.com/in/ryan-yeung-824a18144/details/experience/")</f>
        <v>https://www.linkedin.com/in/ryan-yeung-824a18144/details/experience/</v>
      </c>
      <c r="K46" s="5" t="s">
        <v>161</v>
      </c>
      <c r="L46" s="5" t="s">
        <v>38</v>
      </c>
      <c r="M46" s="7" t="str">
        <f>HYPERLINK("https://api.typeform.com/responses/files/9d3f5b985a1cb44516d5bb06c2c4cacffe773bed072d9367f31d40dbed0e7183/1689224446242.jpeg")</f>
        <v>https://api.typeform.com/responses/files/9d3f5b985a1cb44516d5bb06c2c4cacffe773bed072d9367f31d40dbed0e7183/1689224446242.jpeg</v>
      </c>
      <c r="N46" s="5" t="b">
        <v>1</v>
      </c>
      <c r="O46" s="5" t="s">
        <v>343</v>
      </c>
      <c r="P46" s="7" t="str">
        <f>HYPERLINK("https://www.linkedin.com/in/neilyeung/")</f>
        <v>https://www.linkedin.com/in/neilyeung/</v>
      </c>
      <c r="Q46" s="5" t="s">
        <v>344</v>
      </c>
      <c r="R46" s="5" t="s">
        <v>57</v>
      </c>
      <c r="S46" s="5" t="s">
        <v>41</v>
      </c>
      <c r="U46" s="5" t="b">
        <v>0</v>
      </c>
      <c r="V46" s="8" t="s">
        <v>345</v>
      </c>
      <c r="W46" s="5" t="b">
        <v>1</v>
      </c>
      <c r="X46" s="9">
        <v>45369.85050925926</v>
      </c>
      <c r="Y46" s="5" t="s">
        <v>346</v>
      </c>
    </row>
    <row r="47">
      <c r="A47" s="4" t="s">
        <v>22</v>
      </c>
      <c r="B47" s="5">
        <f t="shared" si="1"/>
        <v>46</v>
      </c>
      <c r="C47" s="5" t="s">
        <v>347</v>
      </c>
      <c r="D47" s="5" t="s">
        <v>348</v>
      </c>
      <c r="E47" s="6" t="s">
        <v>77</v>
      </c>
      <c r="F47" s="7" t="str">
        <f>HYPERLINK("http://www.drink220.com")</f>
        <v>http://www.drink220.com</v>
      </c>
      <c r="G47" s="7" t="str">
        <f>HYPERLINK("https://api.typeform.com/responses/files/712e694b9c70b2627461b35d524b756ad4f5f82452858e8c9308a9e26642a9c6/TwoTwenty_Hard_Seltzer_Pitch_Deck__Troy_Labs_compressed.pdf")</f>
        <v>https://api.typeform.com/responses/files/712e694b9c70b2627461b35d524b756ad4f5f82452858e8c9308a9e26642a9c6/TwoTwenty_Hard_Seltzer_Pitch_Deck__Troy_Labs_compressed.pdf</v>
      </c>
      <c r="H47" s="5" t="s">
        <v>349</v>
      </c>
      <c r="I47" s="5" t="s">
        <v>350</v>
      </c>
      <c r="J47" s="7" t="str">
        <f>HYPERLINK("https://www.linkedin.com/in/nick-chetwood-a5977b113/")</f>
        <v>https://www.linkedin.com/in/nick-chetwood-a5977b113/</v>
      </c>
      <c r="K47" s="5" t="s">
        <v>40</v>
      </c>
      <c r="L47" s="5" t="s">
        <v>57</v>
      </c>
      <c r="M47" s="7" t="str">
        <f>HYPERLINK("https://api.typeform.com/responses/files/46ba81139b595ba666e41ed4b91c777f72e070c6384325deb65ad40fe67c4a7b/Screenshot_2024_03_12_at_15.38.46.png")</f>
        <v>https://api.typeform.com/responses/files/46ba81139b595ba666e41ed4b91c777f72e070c6384325deb65ad40fe67c4a7b/Screenshot_2024_03_12_at_15.38.46.png</v>
      </c>
      <c r="N47" s="5" t="b">
        <v>0</v>
      </c>
      <c r="V47" s="8" t="s">
        <v>351</v>
      </c>
      <c r="W47" s="5" t="b">
        <v>1</v>
      </c>
      <c r="X47" s="9">
        <v>45363.86733796296</v>
      </c>
      <c r="Y47" s="5" t="s">
        <v>352</v>
      </c>
    </row>
    <row r="48">
      <c r="A48" s="4" t="s">
        <v>22</v>
      </c>
      <c r="B48" s="5">
        <f t="shared" si="1"/>
        <v>47</v>
      </c>
      <c r="C48" s="5" t="s">
        <v>353</v>
      </c>
      <c r="D48" s="5" t="s">
        <v>354</v>
      </c>
      <c r="E48" s="6" t="s">
        <v>46</v>
      </c>
      <c r="G48" s="7" t="str">
        <f>HYPERLINK("https://api.typeform.com/responses/files/416b2141ff513361f5e57093ab13a5badca861b6bdea294ed6acd8093a26a7af/Tatum_Verona_Underdose_TroyLabs_Demo_Day.zip")</f>
        <v>https://api.typeform.com/responses/files/416b2141ff513361f5e57093ab13a5badca861b6bdea294ed6acd8093a26a7af/Tatum_Verona_Underdose_TroyLabs_Demo_Day.zip</v>
      </c>
      <c r="H48" s="5" t="s">
        <v>355</v>
      </c>
      <c r="I48" s="5" t="s">
        <v>356</v>
      </c>
      <c r="J48" s="7" t="str">
        <f>HYPERLINK("https://www.linkedin.com/in/tatum-verona-86a6a31b5/")</f>
        <v>https://www.linkedin.com/in/tatum-verona-86a6a31b5/</v>
      </c>
      <c r="K48" s="5" t="s">
        <v>258</v>
      </c>
      <c r="L48" s="5" t="s">
        <v>57</v>
      </c>
      <c r="M48" s="7" t="str">
        <f>HYPERLINK("https://api.typeform.com/responses/files/2b5fdad0f5f9a9aebcabc33c39a8fb4d64d26fc61c2571ad3b79dd620c6241d0/linkedin_profile_photo_copy.jpg")</f>
        <v>https://api.typeform.com/responses/files/2b5fdad0f5f9a9aebcabc33c39a8fb4d64d26fc61c2571ad3b79dd620c6241d0/linkedin_profile_photo_copy.jpg</v>
      </c>
      <c r="N48" s="5" t="b">
        <v>0</v>
      </c>
      <c r="V48" s="8" t="s">
        <v>357</v>
      </c>
      <c r="W48" s="5" t="b">
        <v>1</v>
      </c>
      <c r="X48" s="9">
        <v>45360.16804398148</v>
      </c>
      <c r="Y48" s="5" t="s">
        <v>358</v>
      </c>
    </row>
    <row r="49">
      <c r="A49" s="4" t="s">
        <v>22</v>
      </c>
      <c r="B49" s="5">
        <f t="shared" si="1"/>
        <v>48</v>
      </c>
      <c r="C49" s="5" t="s">
        <v>359</v>
      </c>
      <c r="D49" s="5" t="s">
        <v>360</v>
      </c>
      <c r="E49" s="6" t="s">
        <v>25</v>
      </c>
      <c r="F49" s="7" t="str">
        <f>HYPERLINK("https://updonor.org")</f>
        <v>https://updonor.org</v>
      </c>
      <c r="G49" s="7" t="str">
        <f>HYPERLINK("https://api.typeform.com/responses/files/51c17b906715f7d18c3e23bff351518268dea405220ce9bfde34aab15dcaad36/Matthew_Updated_UpDonor_Pitch_Deck__1_.pptx")</f>
        <v>https://api.typeform.com/responses/files/51c17b906715f7d18c3e23bff351518268dea405220ce9bfde34aab15dcaad36/Matthew_Updated_UpDonor_Pitch_Deck__1_.pptx</v>
      </c>
      <c r="H49" s="5" t="s">
        <v>361</v>
      </c>
      <c r="I49" s="5" t="s">
        <v>362</v>
      </c>
      <c r="J49" s="7" t="str">
        <f>HYPERLINK("https://www.linkedin.com/in/matthew-grant11/")</f>
        <v>https://www.linkedin.com/in/matthew-grant11/</v>
      </c>
      <c r="K49" s="5" t="s">
        <v>161</v>
      </c>
      <c r="L49" s="5" t="s">
        <v>38</v>
      </c>
      <c r="M49" s="7" t="str">
        <f>HYPERLINK("https://api.typeform.com/responses/files/d41597031dc18f32dc5bd42c02afad1506ccf1e37f000e55bda5d22a5ea296bd/IMG_5717_2.JPG")</f>
        <v>https://api.typeform.com/responses/files/d41597031dc18f32dc5bd42c02afad1506ccf1e37f000e55bda5d22a5ea296bd/IMG_5717_2.JPG</v>
      </c>
      <c r="N49" s="5" t="b">
        <v>0</v>
      </c>
      <c r="V49" s="8" t="s">
        <v>363</v>
      </c>
      <c r="W49" s="5" t="b">
        <v>1</v>
      </c>
      <c r="X49" s="9">
        <v>45356.75655092593</v>
      </c>
      <c r="Y49" s="5" t="s">
        <v>364</v>
      </c>
    </row>
    <row r="50">
      <c r="A50" s="4" t="s">
        <v>22</v>
      </c>
      <c r="B50" s="5">
        <f t="shared" si="1"/>
        <v>49</v>
      </c>
      <c r="C50" s="5" t="s">
        <v>365</v>
      </c>
      <c r="D50" s="5" t="s">
        <v>366</v>
      </c>
      <c r="E50" s="6" t="s">
        <v>77</v>
      </c>
      <c r="F50" s="7" t="str">
        <f>HYPERLINK("https://www.vibo.health")</f>
        <v>https://www.vibo.health</v>
      </c>
      <c r="G50" s="7" t="str">
        <f>HYPERLINK("https://api.typeform.com/responses/files/b6d360952708c8a649bedf41c7e0c5e886c7c5e91c89b0fd41f8e7867f9a9a7c/ViBo_Health_Seed_Deck_TroyLab_APR_2024.pdf")</f>
        <v>https://api.typeform.com/responses/files/b6d360952708c8a649bedf41c7e0c5e886c7c5e91c89b0fd41f8e7867f9a9a7c/ViBo_Health_Seed_Deck_TroyLab_APR_2024.pdf</v>
      </c>
      <c r="H50" s="5" t="s">
        <v>367</v>
      </c>
      <c r="I50" s="5" t="s">
        <v>368</v>
      </c>
      <c r="J50" s="7" t="str">
        <f>HYPERLINK("https://www.linkedin.com/in/giltravish/")</f>
        <v>https://www.linkedin.com/in/giltravish/</v>
      </c>
      <c r="K50" s="5" t="s">
        <v>369</v>
      </c>
      <c r="L50" s="5" t="s">
        <v>81</v>
      </c>
      <c r="M50" s="7" t="str">
        <f>HYPERLINK("https://api.typeform.com/responses/files/8e650500d138266d5be037282bdfa9779018082ccfcf522c367528bd3c0e6124/Gil_Head_Shot_2022_800_x_800.png")</f>
        <v>https://api.typeform.com/responses/files/8e650500d138266d5be037282bdfa9779018082ccfcf522c367528bd3c0e6124/Gil_Head_Shot_2022_800_x_800.png</v>
      </c>
      <c r="N50" s="5" t="b">
        <v>0</v>
      </c>
      <c r="V50" s="8" t="s">
        <v>370</v>
      </c>
      <c r="W50" s="5" t="b">
        <v>1</v>
      </c>
      <c r="X50" s="9">
        <v>45358.7683912037</v>
      </c>
      <c r="Y50" s="5" t="s">
        <v>371</v>
      </c>
    </row>
    <row r="51">
      <c r="A51" s="4" t="s">
        <v>22</v>
      </c>
      <c r="B51" s="5">
        <f t="shared" si="1"/>
        <v>50</v>
      </c>
      <c r="C51" s="5" t="s">
        <v>372</v>
      </c>
      <c r="D51" s="5" t="s">
        <v>373</v>
      </c>
      <c r="E51" s="6" t="s">
        <v>46</v>
      </c>
      <c r="F51" s="7" t="str">
        <f>HYPERLINK("https://Welltra.ai")</f>
        <v>https://Welltra.ai</v>
      </c>
      <c r="G51" s="7" t="str">
        <f>HYPERLINK("https://api.typeform.com/responses/files/7419feccbf9deeefaa8f1ca3363f02c5258806857eb8600c25e42e391b14d038/Demo_2024.pdf")</f>
        <v>https://api.typeform.com/responses/files/7419feccbf9deeefaa8f1ca3363f02c5258806857eb8600c25e42e391b14d038/Demo_2024.pdf</v>
      </c>
      <c r="H51" s="5" t="s">
        <v>374</v>
      </c>
      <c r="I51" s="5" t="s">
        <v>375</v>
      </c>
      <c r="J51" s="7" t="str">
        <f>HYPERLINK("https://www.linkedin.com/in/omar-abdullateef-66b347177/")</f>
        <v>https://www.linkedin.com/in/omar-abdullateef-66b347177/</v>
      </c>
      <c r="K51" s="5" t="s">
        <v>161</v>
      </c>
      <c r="L51" s="5" t="s">
        <v>29</v>
      </c>
      <c r="M51" s="7" t="str">
        <f>HYPERLINK("https://api.typeform.com/responses/files/981aca45dc6285aa6ee700f7641c99f2e7092c1a8c17c26ef5a8c74b6ea0203e/IMG_9148.jpg")</f>
        <v>https://api.typeform.com/responses/files/981aca45dc6285aa6ee700f7641c99f2e7092c1a8c17c26ef5a8c74b6ea0203e/IMG_9148.jpg</v>
      </c>
      <c r="N51" s="5" t="b">
        <v>1</v>
      </c>
      <c r="O51" s="5" t="s">
        <v>376</v>
      </c>
      <c r="P51" s="7" t="str">
        <f>HYPERLINK("https://www.linkedin.com/in/anees-abdullateef-587963190/")</f>
        <v>https://www.linkedin.com/in/anees-abdullateef-587963190/</v>
      </c>
      <c r="Q51" s="5" t="s">
        <v>377</v>
      </c>
      <c r="R51" s="5" t="s">
        <v>81</v>
      </c>
      <c r="S51" s="5" t="s">
        <v>95</v>
      </c>
      <c r="T51" s="7" t="str">
        <f>HYPERLINK("https://api.typeform.com/responses/files/729e6516ec3aa6792f5d1db3802e5c46ac08002a1be7f35a553c01171a77891f/1656383572752.jpeg")</f>
        <v>https://api.typeform.com/responses/files/729e6516ec3aa6792f5d1db3802e5c46ac08002a1be7f35a553c01171a77891f/1656383572752.jpeg</v>
      </c>
      <c r="U51" s="5" t="b">
        <v>0</v>
      </c>
      <c r="V51" s="8" t="s">
        <v>378</v>
      </c>
      <c r="W51" s="5" t="b">
        <v>1</v>
      </c>
      <c r="X51" s="9">
        <v>45356.94278935185</v>
      </c>
      <c r="Y51" s="5" t="s">
        <v>379</v>
      </c>
    </row>
    <row r="5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7">
      <c r="A57" s="10" t="s">
        <v>380</v>
      </c>
      <c r="C57" s="11" t="s">
        <v>381</v>
      </c>
      <c r="D57" s="11" t="s">
        <v>382</v>
      </c>
      <c r="E57" s="13" t="s">
        <v>34</v>
      </c>
      <c r="F57" s="11"/>
      <c r="G57" s="14" t="str">
        <f>HYPERLINK("https://api.typeform.com/responses/files/faca939a6c8ac0413051f2bddcd87afdf0873c4ee4792cf259134805a68563d4/HIL_Troylabs.pdf")</f>
        <v>https://api.typeform.com/responses/files/faca939a6c8ac0413051f2bddcd87afdf0873c4ee4792cf259134805a68563d4/HIL_Troylabs.pdf</v>
      </c>
      <c r="H57" s="11" t="s">
        <v>383</v>
      </c>
      <c r="I57" s="11" t="s">
        <v>384</v>
      </c>
      <c r="J57" s="14" t="str">
        <f>HYPERLINK("https://www.linkedin.com/in/tobyfenner/")</f>
        <v>https://www.linkedin.com/in/tobyfenner/</v>
      </c>
      <c r="K57" s="11" t="s">
        <v>37</v>
      </c>
      <c r="L57" s="11" t="s">
        <v>38</v>
      </c>
      <c r="M57" s="14" t="str">
        <f>HYPERLINK("https://api.typeform.com/responses/files/bd6752daad048a7925bd5130e2cfd06515ce0ab11c94156990cf9228c926bf4e/headshot.jpeg")</f>
        <v>https://api.typeform.com/responses/files/bd6752daad048a7925bd5130e2cfd06515ce0ab11c94156990cf9228c926bf4e/headshot.jpeg</v>
      </c>
      <c r="N57" s="11" t="b">
        <v>1</v>
      </c>
      <c r="O57" s="11" t="s">
        <v>385</v>
      </c>
      <c r="P57" s="14" t="str">
        <f>HYPERLINK("https://www.linkedin.com/in/bengarofalo/")</f>
        <v>https://www.linkedin.com/in/bengarofalo/</v>
      </c>
      <c r="Q57" s="11" t="s">
        <v>386</v>
      </c>
      <c r="R57" s="11" t="s">
        <v>38</v>
      </c>
      <c r="S57" s="11" t="s">
        <v>41</v>
      </c>
      <c r="T57" s="14" t="str">
        <f>HYPERLINK("https://api.typeform.com/responses/files/eca336edcd279bc8f9557f3a57cba84ea5f02a38f4f4419a603166162d991097/benphoto.png")</f>
        <v>https://api.typeform.com/responses/files/eca336edcd279bc8f9557f3a57cba84ea5f02a38f4f4419a603166162d991097/benphoto.png</v>
      </c>
      <c r="U57" s="11" t="b">
        <v>0</v>
      </c>
      <c r="V57" s="11" t="s">
        <v>387</v>
      </c>
      <c r="W57" s="11" t="b">
        <v>1</v>
      </c>
      <c r="X57" s="12">
        <v>45360.29577546296</v>
      </c>
      <c r="Y57" s="11" t="s">
        <v>388</v>
      </c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9">
      <c r="A59" s="4" t="s">
        <v>389</v>
      </c>
      <c r="B59" s="5">
        <f>B17+1</f>
        <v>17</v>
      </c>
      <c r="C59" s="15" t="s">
        <v>390</v>
      </c>
      <c r="D59" s="15" t="s">
        <v>144</v>
      </c>
      <c r="E59" s="15">
        <v>2023.0</v>
      </c>
      <c r="F59" s="16" t="s">
        <v>391</v>
      </c>
      <c r="G59" s="16" t="s">
        <v>392</v>
      </c>
      <c r="H59" s="15" t="s">
        <v>145</v>
      </c>
      <c r="I59" s="15" t="s">
        <v>393</v>
      </c>
      <c r="J59" s="16" t="s">
        <v>394</v>
      </c>
      <c r="K59" s="15" t="s">
        <v>40</v>
      </c>
      <c r="L59" s="15" t="s">
        <v>57</v>
      </c>
      <c r="M59" s="16" t="s">
        <v>395</v>
      </c>
      <c r="N59" s="17" t="b">
        <v>0</v>
      </c>
      <c r="O59" s="18"/>
      <c r="P59" s="19"/>
      <c r="Q59" s="19"/>
      <c r="R59" s="19"/>
      <c r="S59" s="19"/>
      <c r="T59" s="19"/>
      <c r="U59" s="19"/>
      <c r="V59" s="20"/>
      <c r="W59" s="21"/>
      <c r="X59" s="18"/>
      <c r="Y59" s="22"/>
      <c r="Z59" s="21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</row>
  </sheetData>
  <dataValidations>
    <dataValidation type="list" allowBlank="1" showErrorMessage="1" sqref="A2:A17 A19:A51">
      <formula1>"Not yet,Emailed"</formula1>
    </dataValidation>
  </dataValidations>
  <hyperlinks>
    <hyperlink r:id="rId2" ref="F59"/>
    <hyperlink r:id="rId3" ref="G59"/>
    <hyperlink r:id="rId4" ref="J59"/>
    <hyperlink r:id="rId5" ref="M59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9.75"/>
    <col customWidth="1" min="7" max="7" width="14.75"/>
  </cols>
  <sheetData>
    <row r="1">
      <c r="A1" s="23" t="s">
        <v>396</v>
      </c>
      <c r="B1" s="23" t="s">
        <v>397</v>
      </c>
      <c r="C1" s="23" t="s">
        <v>398</v>
      </c>
      <c r="D1" s="23" t="s">
        <v>399</v>
      </c>
      <c r="E1" s="23" t="s">
        <v>400</v>
      </c>
      <c r="G1" s="23" t="s">
        <v>401</v>
      </c>
    </row>
    <row r="2">
      <c r="A2" s="24" t="s">
        <v>23</v>
      </c>
      <c r="B2" s="24" t="s">
        <v>24</v>
      </c>
      <c r="C2" s="4" t="b">
        <v>1</v>
      </c>
      <c r="D2" s="4" t="b">
        <v>0</v>
      </c>
      <c r="E2" s="4" t="b">
        <v>1</v>
      </c>
      <c r="G2" s="25" t="s">
        <v>44</v>
      </c>
    </row>
    <row r="3">
      <c r="A3" s="24" t="s">
        <v>32</v>
      </c>
      <c r="B3" s="24" t="s">
        <v>33</v>
      </c>
      <c r="C3" s="4" t="b">
        <v>1</v>
      </c>
      <c r="D3" s="4" t="b">
        <v>0</v>
      </c>
      <c r="E3" s="4" t="b">
        <v>1</v>
      </c>
      <c r="G3" s="25" t="s">
        <v>402</v>
      </c>
    </row>
    <row r="4">
      <c r="A4" s="24" t="s">
        <v>44</v>
      </c>
      <c r="B4" s="24" t="s">
        <v>45</v>
      </c>
      <c r="C4" s="4" t="b">
        <v>1</v>
      </c>
      <c r="D4" s="4" t="b">
        <v>1</v>
      </c>
      <c r="E4" s="4" t="b">
        <v>1</v>
      </c>
      <c r="G4" s="25" t="s">
        <v>90</v>
      </c>
    </row>
    <row r="5">
      <c r="A5" s="26" t="s">
        <v>52</v>
      </c>
      <c r="B5" s="24" t="s">
        <v>53</v>
      </c>
      <c r="C5" s="4" t="b">
        <v>1</v>
      </c>
      <c r="D5" s="4" t="b">
        <v>1</v>
      </c>
      <c r="E5" s="4" t="b">
        <v>1</v>
      </c>
      <c r="G5" s="25" t="s">
        <v>132</v>
      </c>
    </row>
    <row r="6">
      <c r="A6" s="24" t="s">
        <v>60</v>
      </c>
      <c r="B6" s="24" t="s">
        <v>61</v>
      </c>
      <c r="C6" s="4" t="b">
        <v>1</v>
      </c>
      <c r="D6" s="4" t="b">
        <v>0</v>
      </c>
      <c r="E6" s="4" t="b">
        <v>1</v>
      </c>
      <c r="G6" s="25" t="s">
        <v>156</v>
      </c>
    </row>
    <row r="7">
      <c r="A7" s="24" t="s">
        <v>67</v>
      </c>
      <c r="B7" s="24" t="s">
        <v>68</v>
      </c>
      <c r="C7" s="4" t="b">
        <v>1</v>
      </c>
      <c r="D7" s="5" t="b">
        <v>0</v>
      </c>
      <c r="E7" s="4" t="b">
        <v>1</v>
      </c>
      <c r="G7" s="25" t="s">
        <v>202</v>
      </c>
    </row>
    <row r="8">
      <c r="A8" s="24" t="s">
        <v>75</v>
      </c>
      <c r="B8" s="24" t="s">
        <v>76</v>
      </c>
      <c r="C8" s="4" t="b">
        <v>1</v>
      </c>
      <c r="D8" s="5" t="b">
        <v>0</v>
      </c>
      <c r="E8" s="4" t="b">
        <v>1</v>
      </c>
      <c r="G8" s="25" t="s">
        <v>227</v>
      </c>
    </row>
    <row r="9">
      <c r="A9" s="24" t="s">
        <v>84</v>
      </c>
      <c r="B9" s="24" t="s">
        <v>85</v>
      </c>
      <c r="C9" s="4" t="b">
        <v>1</v>
      </c>
      <c r="D9" s="5" t="b">
        <v>0</v>
      </c>
      <c r="E9" s="4" t="b">
        <v>1</v>
      </c>
      <c r="G9" s="25" t="s">
        <v>242</v>
      </c>
    </row>
    <row r="10">
      <c r="A10" s="24" t="s">
        <v>90</v>
      </c>
      <c r="B10" s="24" t="s">
        <v>91</v>
      </c>
      <c r="C10" s="4" t="b">
        <v>1</v>
      </c>
      <c r="D10" s="4" t="b">
        <v>1</v>
      </c>
      <c r="E10" s="4" t="b">
        <v>1</v>
      </c>
      <c r="G10" s="25" t="s">
        <v>270</v>
      </c>
    </row>
    <row r="11">
      <c r="A11" s="24" t="s">
        <v>98</v>
      </c>
      <c r="B11" s="24" t="s">
        <v>99</v>
      </c>
      <c r="C11" s="4" t="b">
        <v>1</v>
      </c>
      <c r="D11" s="5" t="b">
        <v>0</v>
      </c>
      <c r="E11" s="4" t="b">
        <v>1</v>
      </c>
      <c r="G11" s="25" t="s">
        <v>316</v>
      </c>
    </row>
    <row r="12">
      <c r="A12" s="24" t="s">
        <v>106</v>
      </c>
      <c r="B12" s="24" t="s">
        <v>107</v>
      </c>
      <c r="C12" s="4" t="b">
        <v>1</v>
      </c>
      <c r="D12" s="5" t="b">
        <v>0</v>
      </c>
      <c r="E12" s="4" t="b">
        <v>1</v>
      </c>
      <c r="G12" s="25" t="s">
        <v>403</v>
      </c>
    </row>
    <row r="13">
      <c r="A13" s="24" t="s">
        <v>112</v>
      </c>
      <c r="B13" s="24" t="s">
        <v>61</v>
      </c>
      <c r="C13" s="26" t="b">
        <v>1</v>
      </c>
      <c r="D13" s="5" t="b">
        <v>0</v>
      </c>
      <c r="E13" s="4" t="b">
        <v>1</v>
      </c>
      <c r="G13" s="25" t="s">
        <v>330</v>
      </c>
    </row>
    <row r="14">
      <c r="A14" s="24" t="s">
        <v>118</v>
      </c>
      <c r="B14" s="24" t="s">
        <v>119</v>
      </c>
      <c r="C14" s="4" t="b">
        <v>1</v>
      </c>
      <c r="D14" s="5" t="b">
        <v>0</v>
      </c>
      <c r="E14" s="5" t="b">
        <v>0</v>
      </c>
      <c r="F14" s="4" t="s">
        <v>404</v>
      </c>
      <c r="G14" s="25" t="s">
        <v>405</v>
      </c>
    </row>
    <row r="15">
      <c r="A15" s="24" t="s">
        <v>125</v>
      </c>
      <c r="B15" s="24" t="s">
        <v>126</v>
      </c>
      <c r="C15" s="4" t="b">
        <v>1</v>
      </c>
      <c r="D15" s="5" t="b">
        <v>0</v>
      </c>
      <c r="E15" s="4" t="b">
        <v>1</v>
      </c>
      <c r="G15" s="25" t="s">
        <v>406</v>
      </c>
    </row>
    <row r="16">
      <c r="A16" s="24" t="s">
        <v>132</v>
      </c>
      <c r="B16" s="24" t="s">
        <v>133</v>
      </c>
      <c r="C16" s="4" t="b">
        <v>1</v>
      </c>
      <c r="D16" s="4" t="b">
        <v>1</v>
      </c>
      <c r="E16" s="4" t="b">
        <v>1</v>
      </c>
      <c r="G16" s="25"/>
    </row>
    <row r="17">
      <c r="A17" s="24" t="s">
        <v>138</v>
      </c>
      <c r="B17" s="24" t="s">
        <v>119</v>
      </c>
      <c r="C17" s="4" t="b">
        <v>1</v>
      </c>
      <c r="D17" s="5" t="b">
        <v>0</v>
      </c>
      <c r="E17" s="4" t="b">
        <v>1</v>
      </c>
    </row>
    <row r="18">
      <c r="A18" s="27" t="s">
        <v>390</v>
      </c>
      <c r="B18" s="27" t="s">
        <v>144</v>
      </c>
      <c r="C18" s="4" t="b">
        <v>1</v>
      </c>
      <c r="D18" s="5" t="b">
        <v>0</v>
      </c>
      <c r="E18" s="4" t="b">
        <v>1</v>
      </c>
    </row>
    <row r="19" hidden="1">
      <c r="A19" s="5" t="s">
        <v>143</v>
      </c>
      <c r="B19" s="5" t="s">
        <v>144</v>
      </c>
      <c r="C19" s="5" t="b">
        <v>0</v>
      </c>
      <c r="D19" s="5" t="b">
        <v>0</v>
      </c>
      <c r="E19" s="5" t="b">
        <v>0</v>
      </c>
    </row>
    <row r="20">
      <c r="A20" s="24" t="s">
        <v>149</v>
      </c>
      <c r="B20" s="24" t="s">
        <v>150</v>
      </c>
      <c r="C20" s="4" t="b">
        <v>1</v>
      </c>
      <c r="D20" s="5" t="b">
        <v>0</v>
      </c>
      <c r="E20" s="4" t="b">
        <v>1</v>
      </c>
    </row>
    <row r="21">
      <c r="A21" s="24" t="s">
        <v>156</v>
      </c>
      <c r="B21" s="24" t="s">
        <v>157</v>
      </c>
      <c r="C21" s="4" t="b">
        <v>1</v>
      </c>
      <c r="D21" s="4" t="b">
        <v>1</v>
      </c>
      <c r="E21" s="4" t="b">
        <v>1</v>
      </c>
    </row>
    <row r="22">
      <c r="A22" s="24" t="s">
        <v>166</v>
      </c>
      <c r="B22" s="24" t="s">
        <v>167</v>
      </c>
      <c r="C22" s="4" t="b">
        <v>1</v>
      </c>
      <c r="D22" s="5" t="b">
        <v>0</v>
      </c>
      <c r="E22" s="4" t="b">
        <v>1</v>
      </c>
    </row>
    <row r="23">
      <c r="A23" s="24" t="s">
        <v>173</v>
      </c>
      <c r="B23" s="24" t="s">
        <v>174</v>
      </c>
      <c r="C23" s="4" t="b">
        <v>1</v>
      </c>
      <c r="D23" s="5" t="b">
        <v>0</v>
      </c>
      <c r="E23" s="4" t="b">
        <v>1</v>
      </c>
    </row>
    <row r="24">
      <c r="A24" s="24" t="s">
        <v>179</v>
      </c>
      <c r="B24" s="24" t="s">
        <v>180</v>
      </c>
      <c r="C24" s="4" t="b">
        <v>1</v>
      </c>
      <c r="D24" s="5" t="b">
        <v>0</v>
      </c>
      <c r="E24" s="4" t="b">
        <v>1</v>
      </c>
    </row>
    <row r="25">
      <c r="A25" s="24" t="s">
        <v>187</v>
      </c>
      <c r="B25" s="24" t="s">
        <v>188</v>
      </c>
      <c r="C25" s="4" t="b">
        <v>1</v>
      </c>
      <c r="D25" s="5" t="b">
        <v>0</v>
      </c>
      <c r="E25" s="4" t="b">
        <v>1</v>
      </c>
    </row>
    <row r="26">
      <c r="A26" s="24" t="s">
        <v>196</v>
      </c>
      <c r="B26" s="24" t="s">
        <v>119</v>
      </c>
      <c r="C26" s="4" t="b">
        <v>1</v>
      </c>
      <c r="D26" s="5" t="b">
        <v>0</v>
      </c>
      <c r="E26" s="4" t="b">
        <v>1</v>
      </c>
    </row>
    <row r="27">
      <c r="A27" s="24" t="s">
        <v>202</v>
      </c>
      <c r="B27" s="24" t="s">
        <v>150</v>
      </c>
      <c r="C27" s="4" t="b">
        <v>1</v>
      </c>
      <c r="D27" s="4" t="b">
        <v>1</v>
      </c>
      <c r="E27" s="4" t="b">
        <v>1</v>
      </c>
    </row>
    <row r="28">
      <c r="A28" s="24" t="s">
        <v>208</v>
      </c>
      <c r="B28" s="24" t="s">
        <v>209</v>
      </c>
      <c r="C28" s="4" t="b">
        <v>1</v>
      </c>
      <c r="D28" s="5" t="b">
        <v>0</v>
      </c>
      <c r="E28" s="4" t="b">
        <v>1</v>
      </c>
    </row>
    <row r="29">
      <c r="A29" s="24" t="s">
        <v>214</v>
      </c>
      <c r="B29" s="24" t="s">
        <v>33</v>
      </c>
      <c r="C29" s="4" t="b">
        <v>1</v>
      </c>
      <c r="D29" s="5" t="b">
        <v>0</v>
      </c>
      <c r="E29" s="4" t="b">
        <v>1</v>
      </c>
    </row>
    <row r="30">
      <c r="A30" s="24" t="s">
        <v>219</v>
      </c>
      <c r="B30" s="24" t="s">
        <v>220</v>
      </c>
      <c r="C30" s="4" t="b">
        <v>1</v>
      </c>
      <c r="D30" s="5" t="b">
        <v>0</v>
      </c>
      <c r="E30" s="4" t="b">
        <v>1</v>
      </c>
    </row>
    <row r="31">
      <c r="A31" s="24" t="s">
        <v>227</v>
      </c>
      <c r="B31" s="24" t="s">
        <v>228</v>
      </c>
      <c r="C31" s="4" t="b">
        <v>1</v>
      </c>
      <c r="D31" s="4" t="b">
        <v>1</v>
      </c>
      <c r="E31" s="4" t="b">
        <v>1</v>
      </c>
    </row>
    <row r="32">
      <c r="A32" s="24" t="s">
        <v>235</v>
      </c>
      <c r="B32" s="24" t="s">
        <v>236</v>
      </c>
      <c r="C32" s="4" t="b">
        <v>1</v>
      </c>
      <c r="D32" s="5" t="b">
        <v>0</v>
      </c>
      <c r="E32" s="4" t="b">
        <v>1</v>
      </c>
    </row>
    <row r="33">
      <c r="A33" s="24" t="s">
        <v>242</v>
      </c>
      <c r="B33" s="24" t="s">
        <v>243</v>
      </c>
      <c r="C33" s="4" t="b">
        <v>1</v>
      </c>
      <c r="D33" s="4" t="b">
        <v>1</v>
      </c>
      <c r="E33" s="4" t="b">
        <v>1</v>
      </c>
    </row>
    <row r="34">
      <c r="A34" s="24" t="s">
        <v>247</v>
      </c>
      <c r="B34" s="24" t="s">
        <v>248</v>
      </c>
      <c r="C34" s="4" t="b">
        <v>1</v>
      </c>
      <c r="D34" s="5" t="b">
        <v>0</v>
      </c>
      <c r="E34" s="4" t="b">
        <v>1</v>
      </c>
    </row>
    <row r="35">
      <c r="A35" s="24" t="s">
        <v>254</v>
      </c>
      <c r="B35" s="24" t="s">
        <v>255</v>
      </c>
      <c r="C35" s="4" t="b">
        <v>1</v>
      </c>
      <c r="D35" s="5" t="b">
        <v>0</v>
      </c>
      <c r="E35" s="4" t="b">
        <v>1</v>
      </c>
    </row>
    <row r="36">
      <c r="A36" s="24" t="s">
        <v>263</v>
      </c>
      <c r="B36" s="24" t="s">
        <v>264</v>
      </c>
      <c r="C36" s="4" t="b">
        <v>1</v>
      </c>
      <c r="D36" s="5" t="b">
        <v>0</v>
      </c>
      <c r="E36" s="4" t="b">
        <v>1</v>
      </c>
    </row>
    <row r="37">
      <c r="A37" s="24" t="s">
        <v>270</v>
      </c>
      <c r="B37" s="24" t="s">
        <v>271</v>
      </c>
      <c r="C37" s="4" t="b">
        <v>1</v>
      </c>
      <c r="D37" s="4" t="b">
        <v>1</v>
      </c>
      <c r="E37" s="4" t="b">
        <v>1</v>
      </c>
    </row>
    <row r="38">
      <c r="A38" s="24" t="s">
        <v>277</v>
      </c>
      <c r="B38" s="24" t="s">
        <v>144</v>
      </c>
      <c r="C38" s="4" t="b">
        <v>1</v>
      </c>
      <c r="D38" s="5" t="b">
        <v>0</v>
      </c>
      <c r="E38" s="4" t="b">
        <v>1</v>
      </c>
    </row>
    <row r="39">
      <c r="A39" s="24" t="s">
        <v>284</v>
      </c>
      <c r="B39" s="24" t="s">
        <v>285</v>
      </c>
      <c r="C39" s="4" t="b">
        <v>1</v>
      </c>
      <c r="D39" s="5" t="b">
        <v>0</v>
      </c>
      <c r="E39" s="4" t="b">
        <v>1</v>
      </c>
    </row>
    <row r="40">
      <c r="A40" s="24" t="s">
        <v>291</v>
      </c>
      <c r="B40" s="24" t="s">
        <v>85</v>
      </c>
      <c r="C40" s="4" t="b">
        <v>1</v>
      </c>
      <c r="D40" s="5" t="b">
        <v>0</v>
      </c>
      <c r="E40" s="4" t="b">
        <v>1</v>
      </c>
    </row>
    <row r="41">
      <c r="A41" s="24" t="s">
        <v>298</v>
      </c>
      <c r="B41" s="24" t="s">
        <v>299</v>
      </c>
      <c r="C41" s="4" t="b">
        <v>1</v>
      </c>
      <c r="D41" s="5" t="b">
        <v>0</v>
      </c>
      <c r="E41" s="4" t="b">
        <v>1</v>
      </c>
    </row>
    <row r="42">
      <c r="A42" s="24" t="s">
        <v>304</v>
      </c>
      <c r="B42" s="24" t="s">
        <v>305</v>
      </c>
      <c r="C42" s="4" t="b">
        <v>1</v>
      </c>
      <c r="D42" s="5" t="b">
        <v>0</v>
      </c>
      <c r="E42" s="4" t="b">
        <v>1</v>
      </c>
    </row>
    <row r="43">
      <c r="A43" s="24" t="s">
        <v>310</v>
      </c>
      <c r="B43" s="24" t="s">
        <v>311</v>
      </c>
      <c r="C43" s="4" t="b">
        <v>1</v>
      </c>
      <c r="D43" s="5" t="b">
        <v>0</v>
      </c>
      <c r="E43" s="4" t="b">
        <v>1</v>
      </c>
    </row>
    <row r="44">
      <c r="A44" s="24" t="s">
        <v>316</v>
      </c>
      <c r="B44" s="24" t="s">
        <v>317</v>
      </c>
      <c r="C44" s="4" t="b">
        <v>1</v>
      </c>
      <c r="D44" s="4" t="b">
        <v>1</v>
      </c>
      <c r="E44" s="4" t="b">
        <v>1</v>
      </c>
    </row>
    <row r="45">
      <c r="A45" s="24" t="s">
        <v>323</v>
      </c>
      <c r="B45" s="24" t="s">
        <v>324</v>
      </c>
      <c r="C45" s="4" t="b">
        <v>1</v>
      </c>
      <c r="D45" s="4" t="b">
        <v>1</v>
      </c>
      <c r="E45" s="4" t="b">
        <v>1</v>
      </c>
    </row>
    <row r="46">
      <c r="A46" s="24" t="s">
        <v>330</v>
      </c>
      <c r="B46" s="24" t="s">
        <v>331</v>
      </c>
      <c r="C46" s="4" t="b">
        <v>1</v>
      </c>
      <c r="D46" s="4" t="b">
        <v>1</v>
      </c>
      <c r="E46" s="5" t="b">
        <v>0</v>
      </c>
      <c r="F46" s="4" t="s">
        <v>407</v>
      </c>
    </row>
    <row r="47">
      <c r="A47" s="24" t="s">
        <v>339</v>
      </c>
      <c r="B47" s="24" t="s">
        <v>340</v>
      </c>
      <c r="C47" s="4" t="b">
        <v>1</v>
      </c>
      <c r="D47" s="5" t="b">
        <v>0</v>
      </c>
      <c r="E47" s="4" t="b">
        <v>1</v>
      </c>
      <c r="F47" s="4" t="s">
        <v>408</v>
      </c>
    </row>
    <row r="48">
      <c r="A48" s="24" t="s">
        <v>347</v>
      </c>
      <c r="B48" s="24" t="s">
        <v>348</v>
      </c>
      <c r="C48" s="4" t="b">
        <v>1</v>
      </c>
      <c r="D48" s="4" t="b">
        <v>1</v>
      </c>
      <c r="E48" s="4" t="b">
        <v>1</v>
      </c>
    </row>
    <row r="49">
      <c r="A49" s="24" t="s">
        <v>353</v>
      </c>
      <c r="B49" s="24" t="s">
        <v>354</v>
      </c>
      <c r="C49" s="4" t="b">
        <v>1</v>
      </c>
      <c r="D49" s="4" t="b">
        <v>1</v>
      </c>
      <c r="E49" s="4" t="b">
        <v>1</v>
      </c>
    </row>
    <row r="50">
      <c r="A50" s="24" t="s">
        <v>359</v>
      </c>
      <c r="B50" s="24" t="s">
        <v>360</v>
      </c>
      <c r="C50" s="4" t="b">
        <v>1</v>
      </c>
      <c r="D50" s="5" t="b">
        <v>0</v>
      </c>
      <c r="E50" s="4" t="b">
        <v>1</v>
      </c>
    </row>
    <row r="51">
      <c r="A51" s="24" t="s">
        <v>365</v>
      </c>
      <c r="B51" s="24" t="s">
        <v>366</v>
      </c>
      <c r="C51" s="4" t="b">
        <v>1</v>
      </c>
      <c r="D51" s="5" t="b">
        <v>0</v>
      </c>
      <c r="E51" s="4" t="b">
        <v>1</v>
      </c>
    </row>
    <row r="52">
      <c r="A52" s="24" t="s">
        <v>372</v>
      </c>
      <c r="B52" s="24" t="s">
        <v>373</v>
      </c>
      <c r="C52" s="4" t="b">
        <v>1</v>
      </c>
      <c r="D52" s="5" t="b">
        <v>0</v>
      </c>
      <c r="E52" s="4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49.75"/>
  </cols>
  <sheetData>
    <row r="1">
      <c r="A1" s="4" t="s">
        <v>409</v>
      </c>
      <c r="B1" s="4" t="s">
        <v>410</v>
      </c>
      <c r="E1" s="4" t="s">
        <v>411</v>
      </c>
    </row>
    <row r="2">
      <c r="A2" s="8" t="s">
        <v>406</v>
      </c>
      <c r="B2" s="8" t="s">
        <v>356</v>
      </c>
      <c r="E2" s="28" t="s">
        <v>412</v>
      </c>
      <c r="F2" s="29" t="s">
        <v>413</v>
      </c>
      <c r="G2" s="29" t="s">
        <v>319</v>
      </c>
    </row>
    <row r="3">
      <c r="A3" s="8" t="s">
        <v>414</v>
      </c>
      <c r="B3" s="8" t="s">
        <v>287</v>
      </c>
      <c r="E3" s="28" t="s">
        <v>347</v>
      </c>
      <c r="F3" s="29" t="s">
        <v>349</v>
      </c>
      <c r="G3" s="29" t="s">
        <v>350</v>
      </c>
    </row>
    <row r="4">
      <c r="A4" s="8" t="s">
        <v>235</v>
      </c>
      <c r="B4" s="8" t="s">
        <v>238</v>
      </c>
      <c r="C4" s="4" t="s">
        <v>415</v>
      </c>
    </row>
    <row r="5">
      <c r="A5" s="8" t="s">
        <v>166</v>
      </c>
      <c r="B5" s="8" t="s">
        <v>416</v>
      </c>
      <c r="C5" s="4" t="s">
        <v>415</v>
      </c>
    </row>
    <row r="6">
      <c r="A6" s="30" t="s">
        <v>417</v>
      </c>
      <c r="B6" s="8" t="s">
        <v>350</v>
      </c>
    </row>
    <row r="8">
      <c r="A8" s="4" t="s">
        <v>418</v>
      </c>
    </row>
    <row r="9">
      <c r="A9" s="4" t="s">
        <v>247</v>
      </c>
      <c r="C9" s="4" t="s">
        <v>415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26" t="s">
        <v>419</v>
      </c>
      <c r="B1" s="26" t="s">
        <v>420</v>
      </c>
    </row>
    <row r="2">
      <c r="A2" s="5" t="s">
        <v>273</v>
      </c>
    </row>
    <row r="3">
      <c r="A3" s="5" t="s">
        <v>301</v>
      </c>
    </row>
    <row r="4">
      <c r="A4" s="5" t="s">
        <v>182</v>
      </c>
    </row>
    <row r="5">
      <c r="A5" s="5" t="s">
        <v>342</v>
      </c>
    </row>
    <row r="6">
      <c r="A6" s="5" t="s">
        <v>266</v>
      </c>
    </row>
    <row r="7">
      <c r="A7" s="5" t="s">
        <v>36</v>
      </c>
    </row>
    <row r="8">
      <c r="A8" s="5" t="s">
        <v>230</v>
      </c>
    </row>
    <row r="9">
      <c r="A9" s="5" t="s">
        <v>204</v>
      </c>
    </row>
    <row r="10">
      <c r="A10" s="5" t="s">
        <v>222</v>
      </c>
    </row>
    <row r="11">
      <c r="A11" s="5" t="s">
        <v>350</v>
      </c>
    </row>
    <row r="12">
      <c r="A12" s="5" t="s">
        <v>135</v>
      </c>
    </row>
    <row r="13">
      <c r="A13" s="5" t="s">
        <v>101</v>
      </c>
    </row>
    <row r="14">
      <c r="A14" s="5" t="s">
        <v>79</v>
      </c>
    </row>
    <row r="15">
      <c r="A15" s="5" t="s">
        <v>109</v>
      </c>
    </row>
    <row r="16">
      <c r="A16" s="5" t="s">
        <v>287</v>
      </c>
    </row>
    <row r="17">
      <c r="A17" s="5" t="s">
        <v>169</v>
      </c>
    </row>
    <row r="18">
      <c r="A18" s="5" t="s">
        <v>307</v>
      </c>
    </row>
    <row r="19">
      <c r="A19" s="5" t="s">
        <v>190</v>
      </c>
    </row>
    <row r="20">
      <c r="A20" s="5" t="s">
        <v>160</v>
      </c>
    </row>
    <row r="21">
      <c r="A21" s="5" t="s">
        <v>356</v>
      </c>
    </row>
    <row r="22">
      <c r="A22" s="5" t="s">
        <v>56</v>
      </c>
    </row>
    <row r="23">
      <c r="A23" s="5" t="s">
        <v>121</v>
      </c>
    </row>
    <row r="24">
      <c r="A24" s="5" t="s">
        <v>128</v>
      </c>
    </row>
    <row r="25">
      <c r="A25" s="5" t="s">
        <v>326</v>
      </c>
    </row>
    <row r="26">
      <c r="A26" s="5" t="s">
        <v>238</v>
      </c>
    </row>
    <row r="27">
      <c r="A27" s="5" t="s">
        <v>257</v>
      </c>
    </row>
    <row r="28">
      <c r="A28" s="5" t="s">
        <v>140</v>
      </c>
    </row>
    <row r="29">
      <c r="A29" s="5" t="s">
        <v>93</v>
      </c>
    </row>
    <row r="30">
      <c r="A30" s="5" t="s">
        <v>114</v>
      </c>
    </row>
    <row r="31">
      <c r="A31" s="5" t="s">
        <v>244</v>
      </c>
    </row>
    <row r="32">
      <c r="A32" s="5" t="s">
        <v>216</v>
      </c>
    </row>
    <row r="33">
      <c r="A33" s="5" t="s">
        <v>198</v>
      </c>
    </row>
    <row r="34">
      <c r="A34" s="5" t="s">
        <v>152</v>
      </c>
    </row>
    <row r="35">
      <c r="A35" s="5" t="s">
        <v>70</v>
      </c>
    </row>
    <row r="36">
      <c r="A36" s="5" t="s">
        <v>63</v>
      </c>
    </row>
    <row r="37">
      <c r="A37" s="5" t="s">
        <v>27</v>
      </c>
    </row>
    <row r="38">
      <c r="A38" s="5" t="s">
        <v>368</v>
      </c>
    </row>
    <row r="39">
      <c r="A39" s="5" t="s">
        <v>250</v>
      </c>
    </row>
    <row r="40">
      <c r="A40" s="5" t="s">
        <v>293</v>
      </c>
    </row>
    <row r="41">
      <c r="A41" s="5" t="s">
        <v>313</v>
      </c>
    </row>
    <row r="42">
      <c r="A42" s="5" t="s">
        <v>333</v>
      </c>
    </row>
    <row r="43">
      <c r="A43" s="5" t="s">
        <v>87</v>
      </c>
    </row>
    <row r="44">
      <c r="A44" s="5" t="s">
        <v>375</v>
      </c>
    </row>
    <row r="45">
      <c r="A45" s="5" t="s">
        <v>279</v>
      </c>
    </row>
    <row r="46">
      <c r="A46" s="5" t="s">
        <v>362</v>
      </c>
    </row>
    <row r="47">
      <c r="A47" s="5" t="s">
        <v>319</v>
      </c>
    </row>
    <row r="48">
      <c r="A48" s="5" t="s">
        <v>211</v>
      </c>
    </row>
    <row r="49">
      <c r="A49" s="5" t="s">
        <v>176</v>
      </c>
    </row>
    <row r="50">
      <c r="A50" s="5" t="s">
        <v>48</v>
      </c>
    </row>
    <row r="51">
      <c r="A51" s="15" t="s">
        <v>393</v>
      </c>
    </row>
    <row r="52">
      <c r="A52" s="31" t="s">
        <v>421</v>
      </c>
    </row>
    <row r="53">
      <c r="A53" s="31" t="s">
        <v>422</v>
      </c>
    </row>
    <row r="54">
      <c r="A54" s="29" t="s">
        <v>423</v>
      </c>
    </row>
  </sheetData>
  <drawing r:id="rId1"/>
</worksheet>
</file>