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nie\Documents\GitHub\time_series_padova\results\"/>
    </mc:Choice>
  </mc:AlternateContent>
  <xr:revisionPtr revIDLastSave="0" documentId="13_ncr:1_{8F91F9AE-D3A8-4E06-9D82-6181365AEED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recast" sheetId="1" r:id="rId1"/>
    <sheet name="sales_m+forecast" sheetId="2" r:id="rId2"/>
    <sheet name="IS" sheetId="3" r:id="rId3"/>
    <sheet name="BS" sheetId="4" r:id="rId4"/>
    <sheet name="CF" sheetId="5" r:id="rId5"/>
    <sheet name="PP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E17" i="3"/>
  <c r="F17" i="3"/>
  <c r="G17" i="3"/>
  <c r="H17" i="3"/>
  <c r="I17" i="3"/>
  <c r="J17" i="3"/>
  <c r="C17" i="3"/>
  <c r="D44" i="5"/>
  <c r="E34" i="5"/>
  <c r="D34" i="5"/>
  <c r="C34" i="5"/>
  <c r="C48" i="5" s="1"/>
  <c r="C45" i="5"/>
  <c r="D45" i="5" s="1"/>
  <c r="K33" i="5"/>
  <c r="J33" i="5"/>
  <c r="I33" i="5"/>
  <c r="H33" i="5"/>
  <c r="G33" i="5"/>
  <c r="F33" i="5"/>
  <c r="K32" i="5"/>
  <c r="J32" i="5"/>
  <c r="I32" i="5"/>
  <c r="H32" i="5"/>
  <c r="G32" i="5"/>
  <c r="F32" i="5"/>
  <c r="E29" i="5"/>
  <c r="K29" i="5"/>
  <c r="J29" i="5"/>
  <c r="I29" i="5"/>
  <c r="H29" i="5"/>
  <c r="G29" i="5"/>
  <c r="F29" i="5"/>
  <c r="J11" i="4"/>
  <c r="I11" i="4"/>
  <c r="H11" i="4"/>
  <c r="G11" i="4"/>
  <c r="F11" i="4"/>
  <c r="E11" i="4"/>
  <c r="E9" i="4"/>
  <c r="F9" i="4" s="1"/>
  <c r="G9" i="4" s="1"/>
  <c r="H9" i="4" s="1"/>
  <c r="I9" i="4" s="1"/>
  <c r="J9" i="4" s="1"/>
  <c r="E8" i="4"/>
  <c r="F8" i="4" s="1"/>
  <c r="G8" i="4" s="1"/>
  <c r="H8" i="4" s="1"/>
  <c r="I8" i="4" s="1"/>
  <c r="J8" i="4" s="1"/>
  <c r="E6" i="4"/>
  <c r="F6" i="4" s="1"/>
  <c r="G6" i="4" s="1"/>
  <c r="H6" i="4" s="1"/>
  <c r="I6" i="4" s="1"/>
  <c r="J6" i="4" s="1"/>
  <c r="F5" i="4"/>
  <c r="G5" i="4" s="1"/>
  <c r="H5" i="4" s="1"/>
  <c r="I5" i="4" s="1"/>
  <c r="J5" i="4" s="1"/>
  <c r="E5" i="4"/>
  <c r="G27" i="5"/>
  <c r="G28" i="5" s="1"/>
  <c r="K26" i="5"/>
  <c r="K27" i="5" s="1"/>
  <c r="K28" i="5" s="1"/>
  <c r="L28" i="5" s="1"/>
  <c r="J26" i="5"/>
  <c r="J27" i="5" s="1"/>
  <c r="I26" i="5"/>
  <c r="I27" i="5" s="1"/>
  <c r="H26" i="5"/>
  <c r="H27" i="5" s="1"/>
  <c r="H28" i="5" s="1"/>
  <c r="G26" i="5"/>
  <c r="F26" i="5"/>
  <c r="F27" i="5" s="1"/>
  <c r="E26" i="5"/>
  <c r="D26" i="5"/>
  <c r="D14" i="5"/>
  <c r="D15" i="5" s="1"/>
  <c r="D16" i="5"/>
  <c r="D17" i="5" s="1"/>
  <c r="D13" i="5"/>
  <c r="F31" i="3"/>
  <c r="G31" i="3" s="1"/>
  <c r="E31" i="3"/>
  <c r="D8" i="6"/>
  <c r="E5" i="6" s="1"/>
  <c r="C8" i="6"/>
  <c r="D5" i="6" s="1"/>
  <c r="D7" i="6"/>
  <c r="C7" i="6"/>
  <c r="D33" i="3"/>
  <c r="C33" i="3"/>
  <c r="C46" i="5" l="1"/>
  <c r="D46" i="5" s="1"/>
  <c r="F30" i="5"/>
  <c r="D48" i="5"/>
  <c r="F28" i="5"/>
  <c r="D18" i="5"/>
  <c r="G35" i="5" s="1"/>
  <c r="H35" i="5" s="1"/>
  <c r="I35" i="5" s="1"/>
  <c r="J35" i="5" s="1"/>
  <c r="K35" i="5" s="1"/>
  <c r="L35" i="5" s="1"/>
  <c r="I28" i="5"/>
  <c r="J28" i="5"/>
  <c r="H31" i="3"/>
  <c r="D6" i="6"/>
  <c r="E6" i="6" s="1"/>
  <c r="F6" i="6" s="1"/>
  <c r="G6" i="6" s="1"/>
  <c r="H6" i="6" s="1"/>
  <c r="I6" i="6" s="1"/>
  <c r="J6" i="6" s="1"/>
  <c r="F34" i="5" l="1"/>
  <c r="C49" i="5"/>
  <c r="L34" i="5"/>
  <c r="L36" i="5" s="1"/>
  <c r="I31" i="3"/>
  <c r="D49" i="5" l="1"/>
  <c r="C52" i="5"/>
  <c r="D52" i="5" s="1"/>
  <c r="J31" i="3"/>
  <c r="J10" i="4" l="1"/>
  <c r="I10" i="4"/>
  <c r="H10" i="4"/>
  <c r="G10" i="4"/>
  <c r="F10" i="4"/>
  <c r="E10" i="4"/>
  <c r="D36" i="3" l="1"/>
  <c r="C36" i="3"/>
  <c r="D41" i="3"/>
  <c r="C41" i="3"/>
  <c r="J40" i="3"/>
  <c r="I40" i="3"/>
  <c r="H40" i="3"/>
  <c r="G40" i="3"/>
  <c r="F40" i="3"/>
  <c r="E40" i="3"/>
  <c r="D40" i="3"/>
  <c r="D42" i="3" s="1"/>
  <c r="C40" i="3"/>
  <c r="C42" i="3" s="1"/>
  <c r="D39" i="3"/>
  <c r="B41" i="3"/>
  <c r="B40" i="3"/>
  <c r="C39" i="3"/>
  <c r="D37" i="3"/>
  <c r="C37" i="3"/>
  <c r="D32" i="3"/>
  <c r="C32" i="3"/>
  <c r="C6" i="6" s="1"/>
  <c r="G22" i="3"/>
  <c r="H22" i="3" s="1"/>
  <c r="I22" i="3" s="1"/>
  <c r="J22" i="3" s="1"/>
  <c r="G20" i="3"/>
  <c r="H20" i="3" s="1"/>
  <c r="I20" i="3" s="1"/>
  <c r="J20" i="3" s="1"/>
  <c r="C21" i="3"/>
  <c r="C20" i="3"/>
  <c r="D15" i="3"/>
  <c r="F5" i="3"/>
  <c r="G5" i="3"/>
  <c r="G6" i="3" s="1"/>
  <c r="H5" i="3"/>
  <c r="E5" i="3"/>
  <c r="E15" i="3" s="1"/>
  <c r="E14" i="4" s="1"/>
  <c r="D27" i="3"/>
  <c r="C27" i="3"/>
  <c r="D25" i="3"/>
  <c r="C25" i="3"/>
  <c r="E25" i="3" s="1"/>
  <c r="D23" i="3"/>
  <c r="C23" i="3"/>
  <c r="E23" i="3" s="1"/>
  <c r="F23" i="3" s="1"/>
  <c r="G23" i="3" s="1"/>
  <c r="D22" i="3"/>
  <c r="C22" i="3"/>
  <c r="D21" i="3"/>
  <c r="D2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2" i="2"/>
  <c r="F20" i="2"/>
  <c r="F32" i="2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E52" i="2"/>
  <c r="E53" i="2"/>
  <c r="E54" i="2"/>
  <c r="E55" i="2"/>
  <c r="E56" i="2"/>
  <c r="E57" i="2"/>
  <c r="E58" i="2"/>
  <c r="F58" i="2" s="1"/>
  <c r="E59" i="2"/>
  <c r="F59" i="2" s="1"/>
  <c r="E60" i="2"/>
  <c r="F60" i="2" s="1"/>
  <c r="E61" i="2"/>
  <c r="F61" i="2" s="1"/>
  <c r="E38" i="2"/>
  <c r="F38" i="2" s="1"/>
  <c r="E3" i="2"/>
  <c r="E4" i="2"/>
  <c r="E5" i="2"/>
  <c r="E6" i="2"/>
  <c r="E7" i="2"/>
  <c r="E8" i="2"/>
  <c r="E9" i="2"/>
  <c r="E10" i="2"/>
  <c r="E11" i="2"/>
  <c r="E12" i="2"/>
  <c r="E13" i="2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E33" i="2"/>
  <c r="F33" i="2" s="1"/>
  <c r="E34" i="2"/>
  <c r="F34" i="2" s="1"/>
  <c r="E35" i="2"/>
  <c r="F35" i="2" s="1"/>
  <c r="E36" i="2"/>
  <c r="F36" i="2" s="1"/>
  <c r="E37" i="2"/>
  <c r="F37" i="2" s="1"/>
  <c r="E2" i="2"/>
  <c r="E7" i="4" l="1"/>
  <c r="E36" i="3"/>
  <c r="F36" i="3" s="1"/>
  <c r="G36" i="3" s="1"/>
  <c r="H36" i="3" s="1"/>
  <c r="I36" i="3" s="1"/>
  <c r="J36" i="3" s="1"/>
  <c r="F25" i="3"/>
  <c r="F11" i="3" s="1"/>
  <c r="F32" i="3" s="1"/>
  <c r="F9" i="3"/>
  <c r="G9" i="3"/>
  <c r="E20" i="3"/>
  <c r="E6" i="3" s="1"/>
  <c r="E11" i="3"/>
  <c r="E32" i="3" s="1"/>
  <c r="F6" i="3"/>
  <c r="F8" i="3"/>
  <c r="E9" i="3"/>
  <c r="H6" i="3"/>
  <c r="E21" i="3"/>
  <c r="F21" i="3" s="1"/>
  <c r="H23" i="3"/>
  <c r="I23" i="3" s="1"/>
  <c r="H15" i="3"/>
  <c r="F15" i="3"/>
  <c r="F14" i="4" s="1"/>
  <c r="G30" i="5" s="1"/>
  <c r="G34" i="5" s="1"/>
  <c r="E22" i="3"/>
  <c r="E8" i="3" s="1"/>
  <c r="G15" i="3"/>
  <c r="G14" i="4" s="1"/>
  <c r="F57" i="2"/>
  <c r="F55" i="2"/>
  <c r="F54" i="2"/>
  <c r="F56" i="2"/>
  <c r="F53" i="2"/>
  <c r="F52" i="2"/>
  <c r="F51" i="2"/>
  <c r="F50" i="2"/>
  <c r="G36" i="5" l="1"/>
  <c r="E41" i="3"/>
  <c r="E33" i="3"/>
  <c r="E7" i="6" s="1"/>
  <c r="F41" i="3"/>
  <c r="F33" i="3"/>
  <c r="F7" i="6" s="1"/>
  <c r="H30" i="5"/>
  <c r="H34" i="5" s="1"/>
  <c r="H36" i="5" s="1"/>
  <c r="F7" i="4"/>
  <c r="I15" i="3"/>
  <c r="H14" i="4"/>
  <c r="E7" i="3"/>
  <c r="H9" i="3"/>
  <c r="E10" i="3"/>
  <c r="G21" i="3"/>
  <c r="F7" i="3"/>
  <c r="F10" i="3"/>
  <c r="G25" i="3"/>
  <c r="G11" i="3" s="1"/>
  <c r="G32" i="3" s="1"/>
  <c r="J23" i="3"/>
  <c r="F62" i="2"/>
  <c r="E62" i="2" s="1"/>
  <c r="G41" i="3" l="1"/>
  <c r="G33" i="3"/>
  <c r="G7" i="6" s="1"/>
  <c r="J15" i="3"/>
  <c r="J14" i="4" s="1"/>
  <c r="I14" i="4"/>
  <c r="E12" i="3"/>
  <c r="E13" i="3" s="1"/>
  <c r="E14" i="3" s="1"/>
  <c r="E39" i="3"/>
  <c r="E42" i="3" s="1"/>
  <c r="F12" i="3"/>
  <c r="F13" i="3" s="1"/>
  <c r="F14" i="3" s="1"/>
  <c r="F39" i="3"/>
  <c r="F42" i="3" s="1"/>
  <c r="I5" i="3"/>
  <c r="I9" i="3" s="1"/>
  <c r="G7" i="4"/>
  <c r="I30" i="5"/>
  <c r="I34" i="5" s="1"/>
  <c r="I36" i="5" s="1"/>
  <c r="H21" i="3"/>
  <c r="H7" i="3" s="1"/>
  <c r="G7" i="3"/>
  <c r="H25" i="3"/>
  <c r="I25" i="3" s="1"/>
  <c r="G8" i="3"/>
  <c r="F63" i="2"/>
  <c r="I6" i="3" l="1"/>
  <c r="I11" i="3"/>
  <c r="I32" i="3" s="1"/>
  <c r="J5" i="3"/>
  <c r="H7" i="4"/>
  <c r="J9" i="3"/>
  <c r="J6" i="3"/>
  <c r="G10" i="3"/>
  <c r="H11" i="3"/>
  <c r="H32" i="3" s="1"/>
  <c r="J25" i="3"/>
  <c r="J11" i="3" s="1"/>
  <c r="J32" i="3" s="1"/>
  <c r="I21" i="3"/>
  <c r="H8" i="3"/>
  <c r="H10" i="3" s="1"/>
  <c r="E63" i="2"/>
  <c r="F64" i="2"/>
  <c r="J30" i="5" l="1"/>
  <c r="J34" i="5" s="1"/>
  <c r="H41" i="3"/>
  <c r="H33" i="3"/>
  <c r="H7" i="6" s="1"/>
  <c r="J41" i="3"/>
  <c r="J33" i="3"/>
  <c r="J7" i="6" s="1"/>
  <c r="I41" i="3"/>
  <c r="I33" i="3"/>
  <c r="I7" i="6" s="1"/>
  <c r="H12" i="3"/>
  <c r="H13" i="3" s="1"/>
  <c r="H14" i="3" s="1"/>
  <c r="H39" i="3"/>
  <c r="H42" i="3" s="1"/>
  <c r="G12" i="3"/>
  <c r="G13" i="3" s="1"/>
  <c r="G14" i="3" s="1"/>
  <c r="G39" i="3"/>
  <c r="G42" i="3" s="1"/>
  <c r="I7" i="4"/>
  <c r="J21" i="3"/>
  <c r="J7" i="3" s="1"/>
  <c r="I7" i="3"/>
  <c r="E64" i="2"/>
  <c r="F68" i="2"/>
  <c r="E68" i="2" s="1"/>
  <c r="F65" i="2"/>
  <c r="F66" i="2"/>
  <c r="E66" i="2" s="1"/>
  <c r="F67" i="2"/>
  <c r="E67" i="2" s="1"/>
  <c r="J36" i="5" l="1"/>
  <c r="J7" i="4"/>
  <c r="J8" i="3"/>
  <c r="J10" i="3" s="1"/>
  <c r="I8" i="3"/>
  <c r="I10" i="3" s="1"/>
  <c r="F69" i="2"/>
  <c r="E69" i="2" s="1"/>
  <c r="E65" i="2"/>
  <c r="F70" i="2"/>
  <c r="K30" i="5" l="1"/>
  <c r="K34" i="5" s="1"/>
  <c r="I12" i="3"/>
  <c r="I13" i="3" s="1"/>
  <c r="I14" i="3" s="1"/>
  <c r="I39" i="3"/>
  <c r="I42" i="3" s="1"/>
  <c r="J12" i="3"/>
  <c r="J13" i="3" s="1"/>
  <c r="J14" i="3" s="1"/>
  <c r="J39" i="3"/>
  <c r="J42" i="3" s="1"/>
  <c r="F71" i="2"/>
  <c r="E70" i="2"/>
  <c r="F72" i="2"/>
  <c r="K36" i="5" l="1"/>
  <c r="C39" i="5" s="1"/>
  <c r="C51" i="5"/>
  <c r="D51" i="5" s="1"/>
  <c r="F73" i="2"/>
  <c r="E73" i="2" s="1"/>
  <c r="E72" i="2"/>
  <c r="E71" i="2"/>
  <c r="C42" i="5" l="1"/>
  <c r="D39" i="5"/>
  <c r="D42" i="5" s="1"/>
  <c r="F74" i="2"/>
  <c r="F75" i="2" l="1"/>
  <c r="E75" i="2" s="1"/>
  <c r="E74" i="2"/>
  <c r="E8" i="6" l="1"/>
  <c r="F5" i="6" s="1"/>
  <c r="F8" i="6" s="1"/>
  <c r="G5" i="6" s="1"/>
  <c r="G8" i="6" s="1"/>
  <c r="H5" i="6" s="1"/>
  <c r="H8" i="6" s="1"/>
  <c r="I5" i="6" s="1"/>
  <c r="I8" i="6" l="1"/>
  <c r="J5" i="6" s="1"/>
  <c r="J8" i="6" s="1"/>
</calcChain>
</file>

<file path=xl/sharedStrings.xml><?xml version="1.0" encoding="utf-8"?>
<sst xmlns="http://schemas.openxmlformats.org/spreadsheetml/2006/main" count="146" uniqueCount="96">
  <si>
    <t>date</t>
  </si>
  <si>
    <t>sales</t>
  </si>
  <si>
    <t>growth</t>
  </si>
  <si>
    <t>month</t>
  </si>
  <si>
    <t>sales_m</t>
  </si>
  <si>
    <t>yoy</t>
  </si>
  <si>
    <t>year</t>
  </si>
  <si>
    <t>2023</t>
  </si>
  <si>
    <t>2022</t>
  </si>
  <si>
    <t>Costos de venta y prestación de servicios</t>
  </si>
  <si>
    <t>Gastos de administración</t>
  </si>
  <si>
    <t>Gastos de ventas</t>
  </si>
  <si>
    <t>Otros ingresos</t>
  </si>
  <si>
    <t>Resultado operacional</t>
  </si>
  <si>
    <t>Otros gastos financieros</t>
  </si>
  <si>
    <t>Resultado antes de impuestos</t>
  </si>
  <si>
    <t>Impuestos de renta corriente</t>
  </si>
  <si>
    <t>Resultado neto</t>
  </si>
  <si>
    <t>2024</t>
  </si>
  <si>
    <t>2025</t>
  </si>
  <si>
    <t>2026</t>
  </si>
  <si>
    <t>2027</t>
  </si>
  <si>
    <t>2028</t>
  </si>
  <si>
    <t>2029</t>
  </si>
  <si>
    <t>Activos corrientes</t>
  </si>
  <si>
    <t>Activos no corrientes</t>
  </si>
  <si>
    <t>Activo total</t>
  </si>
  <si>
    <t>Pasivos corrientes</t>
  </si>
  <si>
    <t>Pasivos no corrientes</t>
  </si>
  <si>
    <t>Pasivo total</t>
  </si>
  <si>
    <t>Patrimonio</t>
  </si>
  <si>
    <t>Balance Sheet</t>
  </si>
  <si>
    <t>Income Statement</t>
  </si>
  <si>
    <t>% Ventas</t>
  </si>
  <si>
    <t>% YoY</t>
  </si>
  <si>
    <t>Depreciaciones</t>
  </si>
  <si>
    <t>D&amp;A</t>
  </si>
  <si>
    <t>Amortizaciones</t>
  </si>
  <si>
    <t>D&amp;A$</t>
  </si>
  <si>
    <t>D&amp;A%</t>
  </si>
  <si>
    <t>EBITDA</t>
  </si>
  <si>
    <t>EBIT</t>
  </si>
  <si>
    <t>Depreciaciones % Activos fijos</t>
  </si>
  <si>
    <t>Drivers</t>
  </si>
  <si>
    <t>Beginning PP&amp;E</t>
  </si>
  <si>
    <t>Capex</t>
  </si>
  <si>
    <t>Ending PP&amp;E</t>
  </si>
  <si>
    <t>COP</t>
  </si>
  <si>
    <t>Cash</t>
  </si>
  <si>
    <t>PPE</t>
  </si>
  <si>
    <t>TV</t>
  </si>
  <si>
    <t>Operating taxes</t>
  </si>
  <si>
    <t>NOPAT</t>
  </si>
  <si>
    <t>NWC (Net Worwing Capital)</t>
  </si>
  <si>
    <t xml:space="preserve"> - Δ NWC (Net Worwing Capital)</t>
  </si>
  <si>
    <t xml:space="preserve"> +Δ Operating Provisions</t>
  </si>
  <si>
    <t xml:space="preserve"> + Depreciation</t>
  </si>
  <si>
    <t xml:space="preserve"> - Capex Tangible Fixed Assetes (TFA)</t>
  </si>
  <si>
    <t>FCF</t>
  </si>
  <si>
    <t>Discount rate</t>
  </si>
  <si>
    <t>PV FCF</t>
  </si>
  <si>
    <t>Cash Flow</t>
  </si>
  <si>
    <t>Tax rate</t>
  </si>
  <si>
    <t>Market risk premium</t>
  </si>
  <si>
    <t>Long term growth</t>
  </si>
  <si>
    <t>Unlevered beta</t>
  </si>
  <si>
    <t>Risk free rate</t>
  </si>
  <si>
    <t>Long term ROCB</t>
  </si>
  <si>
    <t>Target debt/equity ratio</t>
  </si>
  <si>
    <t>Small firm premium</t>
  </si>
  <si>
    <t>Bond rating</t>
  </si>
  <si>
    <t>Credit spread debt</t>
  </si>
  <si>
    <t>WACC</t>
  </si>
  <si>
    <t>Explanation</t>
  </si>
  <si>
    <t>Value</t>
  </si>
  <si>
    <t>rd</t>
  </si>
  <si>
    <t>risk free rate + credit spread</t>
  </si>
  <si>
    <t>relevered beta</t>
  </si>
  <si>
    <t>re</t>
  </si>
  <si>
    <t>E / V</t>
  </si>
  <si>
    <t>equity / (equity + debt)</t>
  </si>
  <si>
    <t>D/V</t>
  </si>
  <si>
    <t>EV</t>
  </si>
  <si>
    <t>Debt</t>
  </si>
  <si>
    <t>Equity Value</t>
  </si>
  <si>
    <t>Baa2</t>
  </si>
  <si>
    <t>Exit Multiple</t>
  </si>
  <si>
    <t>FWD EBITDA</t>
  </si>
  <si>
    <t>IRR FCF</t>
  </si>
  <si>
    <t>IRR AVG EV</t>
  </si>
  <si>
    <t>EUR</t>
  </si>
  <si>
    <t>Item</t>
  </si>
  <si>
    <t>Initial investment</t>
  </si>
  <si>
    <t>EV FCF</t>
  </si>
  <si>
    <t>Sales EUR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</si>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</sst>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_);_(* \(#,##0\);_(* &quot;-&quot;?_);@_)"/>
    <numFmt numFmtId="167" formatCode="dd/mm/yy"/>
    <numFmt numFmtId="168" formatCode="_-* #,##0.00_-;\-* #,##0.00_-;_-* &quot;-&quot;??_-;_-@_-"/>
    <numFmt numFmtId="169" formatCode="0.000%"/>
    <numFmt numFmtId="170" formatCode="0.00\x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7"/>
      <color rgb="FF0070C0"/>
      <name val="Segoe UI"/>
      <family val="2"/>
    </font>
    <font>
      <sz val="7"/>
      <color rgb="FFFF0000"/>
      <name val="Segoe U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1"/>
      <color theme="8"/>
      <name val="Calibri"/>
      <family val="2"/>
      <scheme val="minor"/>
    </font>
    <font>
      <sz val="9"/>
      <color rgb="FFFF0000"/>
      <name val="Arial"/>
      <family val="2"/>
      <charset val="204"/>
    </font>
    <font>
      <sz val="9"/>
      <color theme="9"/>
      <name val="Arial"/>
      <family val="2"/>
      <charset val="204"/>
    </font>
    <font>
      <b/>
      <sz val="9"/>
      <color theme="9"/>
      <name val="Arial"/>
      <family val="2"/>
      <charset val="204"/>
    </font>
    <font>
      <sz val="9"/>
      <color rgb="FF0070C0"/>
      <name val="Arial"/>
      <family val="2"/>
      <charset val="204"/>
    </font>
    <font>
      <sz val="10"/>
      <name val="Garamond"/>
      <family val="1"/>
    </font>
    <font>
      <b/>
      <sz val="11"/>
      <color theme="0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4"/>
      <color rgb="FF00206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8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</cellStyleXfs>
  <cellXfs count="8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9" fontId="0" fillId="0" borderId="0" xfId="1" applyFont="1"/>
    <xf numFmtId="0" fontId="0" fillId="2" borderId="0" xfId="0" applyFill="1"/>
    <xf numFmtId="3" fontId="0" fillId="2" borderId="0" xfId="0" applyNumberFormat="1" applyFill="1"/>
    <xf numFmtId="3" fontId="10" fillId="2" borderId="0" xfId="0" applyNumberFormat="1" applyFont="1" applyFill="1"/>
    <xf numFmtId="9" fontId="0" fillId="2" borderId="0" xfId="1" applyFont="1" applyFill="1"/>
    <xf numFmtId="10" fontId="0" fillId="2" borderId="0" xfId="1" applyNumberFormat="1" applyFont="1" applyFill="1"/>
    <xf numFmtId="10" fontId="11" fillId="2" borderId="0" xfId="1" applyNumberFormat="1" applyFont="1" applyFill="1"/>
    <xf numFmtId="3" fontId="12" fillId="2" borderId="0" xfId="0" applyNumberFormat="1" applyFont="1" applyFill="1"/>
    <xf numFmtId="10" fontId="0" fillId="2" borderId="0" xfId="0" applyNumberFormat="1" applyFill="1"/>
    <xf numFmtId="10" fontId="7" fillId="2" borderId="0" xfId="0" applyNumberFormat="1" applyFont="1" applyFill="1"/>
    <xf numFmtId="10" fontId="10" fillId="2" borderId="0" xfId="0" applyNumberFormat="1" applyFont="1" applyFill="1"/>
    <xf numFmtId="3" fontId="13" fillId="2" borderId="0" xfId="0" applyNumberFormat="1" applyFont="1" applyFill="1"/>
    <xf numFmtId="3" fontId="8" fillId="2" borderId="0" xfId="0" applyNumberFormat="1" applyFont="1" applyFill="1"/>
    <xf numFmtId="0" fontId="8" fillId="2" borderId="0" xfId="0" applyFont="1" applyFill="1"/>
    <xf numFmtId="10" fontId="14" fillId="2" borderId="0" xfId="0" applyNumberFormat="1" applyFont="1" applyFill="1"/>
    <xf numFmtId="0" fontId="15" fillId="2" borderId="0" xfId="0" applyFont="1" applyFill="1"/>
    <xf numFmtId="165" fontId="16" fillId="2" borderId="0" xfId="2" applyNumberFormat="1" applyFont="1" applyFill="1" applyAlignment="1"/>
    <xf numFmtId="165" fontId="16" fillId="2" borderId="0" xfId="0" applyNumberFormat="1" applyFont="1" applyFill="1" applyAlignment="1">
      <alignment horizontal="right" vertical="top"/>
    </xf>
    <xf numFmtId="165" fontId="16" fillId="3" borderId="0" xfId="0" applyNumberFormat="1" applyFont="1" applyFill="1" applyAlignment="1">
      <alignment horizontal="right" vertical="top"/>
    </xf>
    <xf numFmtId="0" fontId="17" fillId="2" borderId="3" xfId="0" applyFont="1" applyFill="1" applyBorder="1"/>
    <xf numFmtId="165" fontId="17" fillId="2" borderId="3" xfId="0" applyNumberFormat="1" applyFont="1" applyFill="1" applyBorder="1"/>
    <xf numFmtId="165" fontId="15" fillId="3" borderId="0" xfId="2" applyNumberFormat="1" applyFont="1" applyFill="1" applyAlignment="1"/>
    <xf numFmtId="165" fontId="16" fillId="3" borderId="0" xfId="0" applyNumberFormat="1" applyFont="1" applyFill="1"/>
    <xf numFmtId="165" fontId="17" fillId="3" borderId="3" xfId="0" applyNumberFormat="1" applyFont="1" applyFill="1" applyBorder="1"/>
    <xf numFmtId="166" fontId="16" fillId="2" borderId="0" xfId="0" applyNumberFormat="1" applyFont="1" applyFill="1" applyAlignment="1">
      <alignment horizontal="right" vertical="top"/>
    </xf>
    <xf numFmtId="3" fontId="18" fillId="2" borderId="0" xfId="0" applyNumberFormat="1" applyFont="1" applyFill="1"/>
    <xf numFmtId="165" fontId="19" fillId="3" borderId="0" xfId="0" applyNumberFormat="1" applyFont="1" applyFill="1" applyAlignment="1">
      <alignment horizontal="right" vertical="top"/>
    </xf>
    <xf numFmtId="165" fontId="20" fillId="2" borderId="0" xfId="0" applyNumberFormat="1" applyFont="1" applyFill="1"/>
    <xf numFmtId="165" fontId="21" fillId="2" borderId="3" xfId="0" applyNumberFormat="1" applyFont="1" applyFill="1" applyBorder="1"/>
    <xf numFmtId="165" fontId="22" fillId="2" borderId="0" xfId="2" applyNumberFormat="1" applyFont="1" applyFill="1" applyAlignment="1"/>
    <xf numFmtId="167" fontId="24" fillId="4" borderId="4" xfId="3" applyNumberFormat="1" applyFont="1" applyFill="1" applyBorder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/>
    <xf numFmtId="0" fontId="27" fillId="2" borderId="0" xfId="0" applyFont="1" applyFill="1"/>
    <xf numFmtId="0" fontId="28" fillId="2" borderId="0" xfId="3" applyFont="1" applyFill="1"/>
    <xf numFmtId="3" fontId="28" fillId="2" borderId="0" xfId="3" applyNumberFormat="1" applyFont="1" applyFill="1"/>
    <xf numFmtId="0" fontId="29" fillId="2" borderId="0" xfId="3" applyFont="1" applyFill="1"/>
    <xf numFmtId="3" fontId="29" fillId="2" borderId="0" xfId="3" applyNumberFormat="1" applyFont="1" applyFill="1"/>
    <xf numFmtId="2" fontId="28" fillId="2" borderId="0" xfId="3" applyNumberFormat="1" applyFont="1" applyFill="1"/>
    <xf numFmtId="0" fontId="6" fillId="5" borderId="0" xfId="0" applyFont="1" applyFill="1" applyAlignment="1">
      <alignment horizontal="center" vertical="top"/>
    </xf>
    <xf numFmtId="9" fontId="28" fillId="2" borderId="0" xfId="3" applyNumberFormat="1" applyFont="1" applyFill="1"/>
    <xf numFmtId="0" fontId="30" fillId="2" borderId="4" xfId="3" applyFont="1" applyFill="1" applyBorder="1"/>
    <xf numFmtId="164" fontId="28" fillId="2" borderId="0" xfId="3" applyNumberFormat="1" applyFont="1" applyFill="1"/>
    <xf numFmtId="168" fontId="28" fillId="2" borderId="0" xfId="3" applyNumberFormat="1" applyFont="1" applyFill="1"/>
    <xf numFmtId="169" fontId="28" fillId="2" borderId="0" xfId="1" applyNumberFormat="1" applyFont="1" applyFill="1"/>
    <xf numFmtId="9" fontId="31" fillId="2" borderId="0" xfId="3" applyNumberFormat="1" applyFont="1" applyFill="1"/>
    <xf numFmtId="43" fontId="31" fillId="2" borderId="0" xfId="2" applyFont="1" applyFill="1"/>
    <xf numFmtId="9" fontId="31" fillId="2" borderId="0" xfId="3" applyNumberFormat="1" applyFont="1" applyFill="1" applyAlignment="1">
      <alignment horizontal="right"/>
    </xf>
    <xf numFmtId="164" fontId="31" fillId="2" borderId="0" xfId="3" applyNumberFormat="1" applyFont="1" applyFill="1"/>
    <xf numFmtId="3" fontId="32" fillId="2" borderId="0" xfId="3" applyNumberFormat="1" applyFont="1" applyFill="1"/>
    <xf numFmtId="3" fontId="33" fillId="2" borderId="0" xfId="3" applyNumberFormat="1" applyFont="1" applyFill="1"/>
    <xf numFmtId="14" fontId="0" fillId="2" borderId="0" xfId="0" applyNumberFormat="1" applyFill="1"/>
    <xf numFmtId="0" fontId="6" fillId="5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6" fillId="5" borderId="7" xfId="0" applyFont="1" applyFill="1" applyBorder="1" applyAlignment="1">
      <alignment horizontal="center" vertical="top"/>
    </xf>
    <xf numFmtId="0" fontId="28" fillId="2" borderId="8" xfId="3" applyFont="1" applyFill="1" applyBorder="1"/>
    <xf numFmtId="3" fontId="29" fillId="2" borderId="9" xfId="3" applyNumberFormat="1" applyFont="1" applyFill="1" applyBorder="1"/>
    <xf numFmtId="0" fontId="0" fillId="2" borderId="9" xfId="0" applyFill="1" applyBorder="1"/>
    <xf numFmtId="0" fontId="29" fillId="2" borderId="8" xfId="3" applyFont="1" applyFill="1" applyBorder="1"/>
    <xf numFmtId="0" fontId="0" fillId="2" borderId="8" xfId="0" applyFill="1" applyBorder="1"/>
    <xf numFmtId="170" fontId="10" fillId="2" borderId="0" xfId="0" applyNumberFormat="1" applyFont="1" applyFill="1"/>
    <xf numFmtId="170" fontId="0" fillId="2" borderId="9" xfId="0" applyNumberFormat="1" applyFill="1" applyBorder="1"/>
    <xf numFmtId="3" fontId="0" fillId="2" borderId="9" xfId="0" applyNumberFormat="1" applyFill="1" applyBorder="1"/>
    <xf numFmtId="0" fontId="8" fillId="2" borderId="8" xfId="0" applyFont="1" applyFill="1" applyBorder="1"/>
    <xf numFmtId="3" fontId="7" fillId="2" borderId="0" xfId="0" applyNumberFormat="1" applyFont="1" applyFill="1"/>
    <xf numFmtId="3" fontId="7" fillId="2" borderId="9" xfId="0" applyNumberFormat="1" applyFont="1" applyFill="1" applyBorder="1"/>
    <xf numFmtId="164" fontId="8" fillId="2" borderId="0" xfId="0" applyNumberFormat="1" applyFont="1" applyFill="1"/>
    <xf numFmtId="164" fontId="8" fillId="2" borderId="9" xfId="0" applyNumberFormat="1" applyFont="1" applyFill="1" applyBorder="1"/>
    <xf numFmtId="0" fontId="8" fillId="2" borderId="10" xfId="0" applyFont="1" applyFill="1" applyBorder="1"/>
    <xf numFmtId="164" fontId="8" fillId="2" borderId="4" xfId="0" applyNumberFormat="1" applyFont="1" applyFill="1" applyBorder="1"/>
    <xf numFmtId="164" fontId="8" fillId="2" borderId="11" xfId="0" applyNumberFormat="1" applyFont="1" applyFill="1" applyBorder="1"/>
    <xf numFmtId="0" fontId="34" fillId="2" borderId="0" xfId="0" applyFont="1" applyFill="1"/>
    <xf numFmtId="0" fontId="26" fillId="2" borderId="0" xfId="3" applyFont="1" applyFill="1" applyAlignment="1">
      <alignment horizontal="center"/>
    </xf>
    <xf numFmtId="10" fontId="10" fillId="6" borderId="0" xfId="0" applyNumberFormat="1" applyFont="1" applyFill="1"/>
  </cellXfs>
  <cellStyles count="4">
    <cellStyle name="Comma" xfId="2" builtinId="3"/>
    <cellStyle name="Normal" xfId="0" builtinId="0"/>
    <cellStyle name="Normal_Exam dec 2009 final" xfId="3" xr:uid="{DF4600AA-DE33-44B7-A3DB-B68BD75BAE3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IS!$B$17</c:f>
              <c:strCache>
                <c:ptCount val="1"/>
                <c:pt idx="0">
                  <c:v>Sales EUR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IS!$C$4:$J$4</c:f>
              <c:strCache>
                <c:ptCount val="8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</c:strCache>
            </c:strRef>
          </c:cat>
          <c:val>
            <c:numRef>
              <c:f>IS!$C$17:$J$17</c:f>
              <c:numCache>
                <c:formatCode>#,##0</c:formatCode>
                <c:ptCount val="8"/>
                <c:pt idx="0">
                  <c:v>209101.9859090909</c:v>
                </c:pt>
                <c:pt idx="1">
                  <c:v>316548.9197727273</c:v>
                </c:pt>
                <c:pt idx="2">
                  <c:v>337173.35546247731</c:v>
                </c:pt>
                <c:pt idx="3">
                  <c:v>404479.13500000001</c:v>
                </c:pt>
                <c:pt idx="4">
                  <c:v>448621.17093921691</c:v>
                </c:pt>
                <c:pt idx="5">
                  <c:v>494678.89985994512</c:v>
                </c:pt>
                <c:pt idx="6">
                  <c:v>545465.14925797086</c:v>
                </c:pt>
                <c:pt idx="7">
                  <c:v>601465.37307182199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8-4BC9-90EB-B9E79F26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65231"/>
        <c:axId val="289246511"/>
      </c:barChart>
      <c:catAx>
        <c:axId val="2892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46511"/>
        <c:crosses val="autoZero"/>
        <c:auto val="1"/>
        <c:lblAlgn val="ctr"/>
        <c:lblOffset val="100"/>
        <c:noMultiLvlLbl val="0"/>
      </c:catAx>
      <c:valAx>
        <c:axId val="2892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2</xdr:row>
      <xdr:rowOff>171450</xdr:rowOff>
    </xdr:from>
    <xdr:to>
      <xdr:col>15</xdr:col>
      <xdr:colOff>396240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75929-ED04-AB7D-287C-D6BEEB60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9"/>
  <sheetViews>
    <sheetView workbookViewId="0">
      <selection activeCell="B2" sqref="B2:B39"/>
    </sheetView>
  </sheetViews>
  <sheetFormatPr defaultRowHeight="14.4" x14ac:dyDescent="0.3"/>
  <cols>
    <col min="1" max="1" width="2" customWidth="1"/>
  </cols>
  <sheetData>
    <row r="1" spans="2:4" x14ac:dyDescent="0.3">
      <c r="B1" s="2" t="s">
        <v>0</v>
      </c>
      <c r="C1" s="2" t="s">
        <v>1</v>
      </c>
      <c r="D1" t="s">
        <v>2</v>
      </c>
    </row>
    <row r="2" spans="2:4" ht="15" thickBot="1" x14ac:dyDescent="0.35">
      <c r="B2" s="3">
        <v>45597</v>
      </c>
      <c r="C2" s="4">
        <v>132362218</v>
      </c>
    </row>
    <row r="3" spans="2:4" ht="15" thickBot="1" x14ac:dyDescent="0.35">
      <c r="B3" s="3">
        <v>45627</v>
      </c>
      <c r="C3" s="4">
        <v>138757152</v>
      </c>
    </row>
    <row r="4" spans="2:4" ht="15" thickBot="1" x14ac:dyDescent="0.35">
      <c r="B4" s="3">
        <v>45658</v>
      </c>
      <c r="C4" s="4">
        <v>145207143</v>
      </c>
    </row>
    <row r="5" spans="2:4" ht="15" thickBot="1" x14ac:dyDescent="0.35">
      <c r="B5" s="3">
        <v>45689</v>
      </c>
      <c r="C5" s="4">
        <v>145847570</v>
      </c>
    </row>
    <row r="6" spans="2:4" ht="15" thickBot="1" x14ac:dyDescent="0.35">
      <c r="B6" s="3">
        <v>45717</v>
      </c>
      <c r="C6" s="4">
        <v>159132675</v>
      </c>
    </row>
    <row r="7" spans="2:4" ht="15" thickBot="1" x14ac:dyDescent="0.35">
      <c r="B7" s="3">
        <v>45748</v>
      </c>
      <c r="C7" s="4">
        <v>136899998</v>
      </c>
    </row>
    <row r="8" spans="2:4" ht="15" thickBot="1" x14ac:dyDescent="0.35">
      <c r="B8" s="3">
        <v>45778</v>
      </c>
      <c r="C8" s="4">
        <v>147831970</v>
      </c>
    </row>
    <row r="9" spans="2:4" ht="15" thickBot="1" x14ac:dyDescent="0.35">
      <c r="B9" s="3">
        <v>45809</v>
      </c>
      <c r="C9" s="4">
        <v>145758869</v>
      </c>
    </row>
    <row r="10" spans="2:4" ht="15" thickBot="1" x14ac:dyDescent="0.35">
      <c r="B10" s="3">
        <v>45839</v>
      </c>
      <c r="C10" s="4">
        <v>156643749</v>
      </c>
    </row>
    <row r="11" spans="2:4" ht="15" thickBot="1" x14ac:dyDescent="0.35">
      <c r="B11" s="3">
        <v>45870</v>
      </c>
      <c r="C11" s="4">
        <v>146543700</v>
      </c>
    </row>
    <row r="12" spans="2:4" ht="15" thickBot="1" x14ac:dyDescent="0.35">
      <c r="B12" s="3">
        <v>45901</v>
      </c>
      <c r="C12" s="4">
        <v>135659820</v>
      </c>
    </row>
    <row r="13" spans="2:4" ht="15" thickBot="1" x14ac:dyDescent="0.35">
      <c r="B13" s="3">
        <v>45931</v>
      </c>
      <c r="C13" s="4">
        <v>150754873</v>
      </c>
    </row>
    <row r="14" spans="2:4" ht="15" thickBot="1" x14ac:dyDescent="0.35">
      <c r="B14" s="3">
        <v>45962</v>
      </c>
      <c r="C14" s="4">
        <v>151153909</v>
      </c>
    </row>
    <row r="15" spans="2:4" ht="15" thickBot="1" x14ac:dyDescent="0.35">
      <c r="B15" s="3">
        <v>45992</v>
      </c>
      <c r="C15" s="4">
        <v>158273918</v>
      </c>
    </row>
    <row r="16" spans="2:4" ht="15" thickBot="1" x14ac:dyDescent="0.35">
      <c r="B16" s="3">
        <v>46023</v>
      </c>
      <c r="C16" s="4">
        <v>165426712</v>
      </c>
    </row>
    <row r="17" spans="2:3" ht="15" thickBot="1" x14ac:dyDescent="0.35">
      <c r="B17" s="3">
        <v>46054</v>
      </c>
      <c r="C17" s="4">
        <v>165024482</v>
      </c>
    </row>
    <row r="18" spans="2:3" ht="15" thickBot="1" x14ac:dyDescent="0.35">
      <c r="B18" s="3">
        <v>46082</v>
      </c>
      <c r="C18" s="4">
        <v>180961643</v>
      </c>
    </row>
    <row r="19" spans="2:3" ht="15" thickBot="1" x14ac:dyDescent="0.35">
      <c r="B19" s="3">
        <v>46113</v>
      </c>
      <c r="C19" s="4">
        <v>151284996</v>
      </c>
    </row>
    <row r="20" spans="2:3" ht="15" thickBot="1" x14ac:dyDescent="0.35">
      <c r="B20" s="3">
        <v>46143</v>
      </c>
      <c r="C20" s="4">
        <v>164233727</v>
      </c>
    </row>
    <row r="21" spans="2:3" ht="15" thickBot="1" x14ac:dyDescent="0.35">
      <c r="B21" s="3">
        <v>46174</v>
      </c>
      <c r="C21" s="4">
        <v>160612097</v>
      </c>
    </row>
    <row r="22" spans="2:3" ht="15" thickBot="1" x14ac:dyDescent="0.35">
      <c r="B22" s="3">
        <v>46204</v>
      </c>
      <c r="C22" s="4">
        <v>173437775</v>
      </c>
    </row>
    <row r="23" spans="2:3" ht="15" thickBot="1" x14ac:dyDescent="0.35">
      <c r="B23" s="3">
        <v>46235</v>
      </c>
      <c r="C23" s="4">
        <v>159824705</v>
      </c>
    </row>
    <row r="24" spans="2:3" ht="15" thickBot="1" x14ac:dyDescent="0.35">
      <c r="B24" s="3">
        <v>46266</v>
      </c>
      <c r="C24" s="4">
        <v>145401688</v>
      </c>
    </row>
    <row r="25" spans="2:3" ht="15" thickBot="1" x14ac:dyDescent="0.35">
      <c r="B25" s="3">
        <v>46296</v>
      </c>
      <c r="C25" s="4">
        <v>163530034</v>
      </c>
    </row>
    <row r="26" spans="2:3" ht="15" thickBot="1" x14ac:dyDescent="0.35">
      <c r="B26" s="3">
        <v>46327</v>
      </c>
    </row>
    <row r="27" spans="2:3" ht="15" thickBot="1" x14ac:dyDescent="0.35">
      <c r="B27" s="3">
        <v>46357</v>
      </c>
    </row>
    <row r="28" spans="2:3" ht="15" thickBot="1" x14ac:dyDescent="0.35">
      <c r="B28" s="3">
        <v>46388</v>
      </c>
    </row>
    <row r="29" spans="2:3" ht="15" thickBot="1" x14ac:dyDescent="0.35">
      <c r="B29" s="3">
        <v>46419</v>
      </c>
    </row>
    <row r="30" spans="2:3" ht="15" thickBot="1" x14ac:dyDescent="0.35">
      <c r="B30" s="3">
        <v>46447</v>
      </c>
    </row>
    <row r="31" spans="2:3" ht="15" thickBot="1" x14ac:dyDescent="0.35">
      <c r="B31" s="3">
        <v>46478</v>
      </c>
    </row>
    <row r="32" spans="2:3" ht="15" thickBot="1" x14ac:dyDescent="0.35">
      <c r="B32" s="3">
        <v>46508</v>
      </c>
    </row>
    <row r="33" spans="2:2" ht="15" thickBot="1" x14ac:dyDescent="0.35">
      <c r="B33" s="3">
        <v>46539</v>
      </c>
    </row>
    <row r="34" spans="2:2" ht="15" thickBot="1" x14ac:dyDescent="0.35">
      <c r="B34" s="3">
        <v>46569</v>
      </c>
    </row>
    <row r="35" spans="2:2" ht="15" thickBot="1" x14ac:dyDescent="0.35">
      <c r="B35" s="3">
        <v>46600</v>
      </c>
    </row>
    <row r="36" spans="2:2" ht="15" thickBot="1" x14ac:dyDescent="0.35">
      <c r="B36" s="3">
        <v>46631</v>
      </c>
    </row>
    <row r="37" spans="2:2" ht="15" thickBot="1" x14ac:dyDescent="0.35">
      <c r="B37" s="3">
        <v>46661</v>
      </c>
    </row>
    <row r="38" spans="2:2" ht="15" thickBot="1" x14ac:dyDescent="0.35">
      <c r="B38" s="3">
        <v>46692</v>
      </c>
    </row>
    <row r="39" spans="2:2" ht="15" thickBot="1" x14ac:dyDescent="0.35">
      <c r="B39" s="3">
        <v>46722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7F96-EC5F-4760-9CB2-5CA48DBFFB51}">
  <dimension ref="B1:F75"/>
  <sheetViews>
    <sheetView topLeftCell="A61" workbookViewId="0">
      <selection activeCell="F63" sqref="F63"/>
    </sheetView>
  </sheetViews>
  <sheetFormatPr defaultRowHeight="14.4" x14ac:dyDescent="0.3"/>
  <cols>
    <col min="1" max="1" width="2" customWidth="1"/>
    <col min="2" max="2" width="9.109375" customWidth="1"/>
  </cols>
  <sheetData>
    <row r="1" spans="2:6" ht="15" thickBot="1" x14ac:dyDescent="0.35">
      <c r="B1" s="1" t="s">
        <v>6</v>
      </c>
      <c r="C1" s="1" t="s">
        <v>3</v>
      </c>
      <c r="D1" s="1" t="s">
        <v>4</v>
      </c>
      <c r="E1" s="1" t="s">
        <v>1</v>
      </c>
      <c r="F1" s="1" t="s">
        <v>5</v>
      </c>
    </row>
    <row r="2" spans="2:6" ht="15" thickBot="1" x14ac:dyDescent="0.35">
      <c r="B2">
        <f>+YEAR(C2)</f>
        <v>2021</v>
      </c>
      <c r="C2" s="3">
        <v>44501</v>
      </c>
      <c r="D2" s="5">
        <v>15.88561</v>
      </c>
      <c r="E2" s="4">
        <f>+EXP(D2)</f>
        <v>7925611.2175775636</v>
      </c>
    </row>
    <row r="3" spans="2:6" ht="15" thickBot="1" x14ac:dyDescent="0.35">
      <c r="B3">
        <f t="shared" ref="B3:B66" si="0">+YEAR(C3)</f>
        <v>2021</v>
      </c>
      <c r="C3" s="3">
        <v>44531</v>
      </c>
      <c r="D3" s="5">
        <v>17.058630000000001</v>
      </c>
      <c r="E3" s="4">
        <f t="shared" ref="E3:E37" si="1">+EXP(D3)</f>
        <v>25613497.074863199</v>
      </c>
    </row>
    <row r="4" spans="2:6" ht="15" thickBot="1" x14ac:dyDescent="0.35">
      <c r="B4">
        <f t="shared" si="0"/>
        <v>2022</v>
      </c>
      <c r="C4" s="3">
        <v>44562</v>
      </c>
      <c r="D4" s="5">
        <v>17.279789999999998</v>
      </c>
      <c r="E4" s="4">
        <f t="shared" si="1"/>
        <v>31953427.179527596</v>
      </c>
    </row>
    <row r="5" spans="2:6" ht="15" thickBot="1" x14ac:dyDescent="0.35">
      <c r="B5">
        <f t="shared" si="0"/>
        <v>2022</v>
      </c>
      <c r="C5" s="3">
        <v>44593</v>
      </c>
      <c r="D5" s="5">
        <v>17.55142</v>
      </c>
      <c r="E5" s="4">
        <f t="shared" si="1"/>
        <v>41926137.622070804</v>
      </c>
    </row>
    <row r="6" spans="2:6" ht="15" thickBot="1" x14ac:dyDescent="0.35">
      <c r="B6">
        <f t="shared" si="0"/>
        <v>2022</v>
      </c>
      <c r="C6" s="3">
        <v>44621</v>
      </c>
      <c r="D6" s="5">
        <v>17.438960000000002</v>
      </c>
      <c r="E6" s="4">
        <f t="shared" si="1"/>
        <v>37466583.986975662</v>
      </c>
    </row>
    <row r="7" spans="2:6" ht="15" thickBot="1" x14ac:dyDescent="0.35">
      <c r="B7">
        <f t="shared" si="0"/>
        <v>2022</v>
      </c>
      <c r="C7" s="3">
        <v>44652</v>
      </c>
      <c r="D7" s="5">
        <v>17.874680000000001</v>
      </c>
      <c r="E7" s="4">
        <f t="shared" si="1"/>
        <v>57926180.043743595</v>
      </c>
    </row>
    <row r="8" spans="2:6" ht="15" thickBot="1" x14ac:dyDescent="0.35">
      <c r="B8">
        <f t="shared" si="0"/>
        <v>2022</v>
      </c>
      <c r="C8" s="3">
        <v>44682</v>
      </c>
      <c r="D8" s="5">
        <v>18.192810000000001</v>
      </c>
      <c r="E8" s="4">
        <f t="shared" si="1"/>
        <v>79622717.03614679</v>
      </c>
    </row>
    <row r="9" spans="2:6" ht="15" thickBot="1" x14ac:dyDescent="0.35">
      <c r="B9">
        <f t="shared" si="0"/>
        <v>2022</v>
      </c>
      <c r="C9" s="3">
        <v>44713</v>
      </c>
      <c r="D9" s="5">
        <v>18.30208</v>
      </c>
      <c r="E9" s="4">
        <f t="shared" si="1"/>
        <v>88816233.416563466</v>
      </c>
    </row>
    <row r="10" spans="2:6" ht="15" thickBot="1" x14ac:dyDescent="0.35">
      <c r="B10">
        <f t="shared" si="0"/>
        <v>2022</v>
      </c>
      <c r="C10" s="3">
        <v>44743</v>
      </c>
      <c r="D10" s="5">
        <v>18.471309999999999</v>
      </c>
      <c r="E10" s="4">
        <f t="shared" si="1"/>
        <v>105193282.32471038</v>
      </c>
    </row>
    <row r="11" spans="2:6" ht="15" thickBot="1" x14ac:dyDescent="0.35">
      <c r="B11">
        <f t="shared" si="0"/>
        <v>2022</v>
      </c>
      <c r="C11" s="3">
        <v>44774</v>
      </c>
      <c r="D11" s="5">
        <v>18.35172</v>
      </c>
      <c r="E11" s="4">
        <f t="shared" si="1"/>
        <v>93336331.951396897</v>
      </c>
    </row>
    <row r="12" spans="2:6" ht="15" thickBot="1" x14ac:dyDescent="0.35">
      <c r="B12">
        <f t="shared" si="0"/>
        <v>2022</v>
      </c>
      <c r="C12" s="3">
        <v>44805</v>
      </c>
      <c r="D12" s="5">
        <v>18.324919999999999</v>
      </c>
      <c r="E12" s="4">
        <f t="shared" si="1"/>
        <v>90868139.758249179</v>
      </c>
    </row>
    <row r="13" spans="2:6" ht="15" thickBot="1" x14ac:dyDescent="0.35">
      <c r="B13">
        <f t="shared" si="0"/>
        <v>2022</v>
      </c>
      <c r="C13" s="3">
        <v>44835</v>
      </c>
      <c r="D13" s="5">
        <v>18.440570000000001</v>
      </c>
      <c r="E13" s="4">
        <f t="shared" si="1"/>
        <v>102008836.51539111</v>
      </c>
    </row>
    <row r="14" spans="2:6" ht="15" thickBot="1" x14ac:dyDescent="0.35">
      <c r="B14">
        <f t="shared" si="0"/>
        <v>2022</v>
      </c>
      <c r="C14" s="3">
        <v>44866</v>
      </c>
      <c r="D14" s="5">
        <v>18.339870000000001</v>
      </c>
      <c r="E14" s="4">
        <f t="shared" si="1"/>
        <v>92236823.86943458</v>
      </c>
      <c r="F14" s="8">
        <f>+E14/E2-1</f>
        <v>10.637818376060396</v>
      </c>
    </row>
    <row r="15" spans="2:6" ht="15" thickBot="1" x14ac:dyDescent="0.35">
      <c r="B15">
        <f t="shared" si="0"/>
        <v>2022</v>
      </c>
      <c r="C15" s="3">
        <v>44896</v>
      </c>
      <c r="D15" s="5">
        <v>18.38494</v>
      </c>
      <c r="E15" s="4">
        <f t="shared" si="1"/>
        <v>96489041.473432332</v>
      </c>
      <c r="F15" s="8">
        <f t="shared" ref="F15:F61" si="2">+E15/E3-1</f>
        <v>2.7671170473681865</v>
      </c>
    </row>
    <row r="16" spans="2:6" ht="15" thickBot="1" x14ac:dyDescent="0.35">
      <c r="B16">
        <f t="shared" si="0"/>
        <v>2023</v>
      </c>
      <c r="C16" s="3">
        <v>44927</v>
      </c>
      <c r="D16" s="5">
        <v>18.521129999999999</v>
      </c>
      <c r="E16" s="4">
        <f t="shared" si="1"/>
        <v>110566753.43398395</v>
      </c>
      <c r="F16" s="8">
        <f t="shared" si="2"/>
        <v>2.4602470906414551</v>
      </c>
    </row>
    <row r="17" spans="2:6" ht="15" thickBot="1" x14ac:dyDescent="0.35">
      <c r="B17">
        <f t="shared" si="0"/>
        <v>2023</v>
      </c>
      <c r="C17" s="3">
        <v>44958</v>
      </c>
      <c r="D17" s="5">
        <v>18.495650000000001</v>
      </c>
      <c r="E17" s="4">
        <f t="shared" si="1"/>
        <v>107785101.29750404</v>
      </c>
      <c r="F17" s="8">
        <f t="shared" si="2"/>
        <v>1.5708330748016168</v>
      </c>
    </row>
    <row r="18" spans="2:6" ht="15" thickBot="1" x14ac:dyDescent="0.35">
      <c r="B18">
        <f t="shared" si="0"/>
        <v>2023</v>
      </c>
      <c r="C18" s="3">
        <v>44986</v>
      </c>
      <c r="D18" s="5">
        <v>18.65419</v>
      </c>
      <c r="E18" s="4">
        <f t="shared" si="1"/>
        <v>126302451.84519146</v>
      </c>
      <c r="F18" s="8">
        <f t="shared" si="2"/>
        <v>2.3710693211075076</v>
      </c>
    </row>
    <row r="19" spans="2:6" ht="15" thickBot="1" x14ac:dyDescent="0.35">
      <c r="B19">
        <f t="shared" si="0"/>
        <v>2023</v>
      </c>
      <c r="C19" s="3">
        <v>45017</v>
      </c>
      <c r="D19" s="5">
        <v>18.540579999999999</v>
      </c>
      <c r="E19" s="4">
        <f t="shared" si="1"/>
        <v>112738326.88117509</v>
      </c>
      <c r="F19" s="8">
        <f t="shared" si="2"/>
        <v>0.94624135056099834</v>
      </c>
    </row>
    <row r="20" spans="2:6" ht="15" thickBot="1" x14ac:dyDescent="0.35">
      <c r="B20">
        <f t="shared" si="0"/>
        <v>2023</v>
      </c>
      <c r="C20" s="3">
        <v>45047</v>
      </c>
      <c r="D20" s="5">
        <v>18.59385</v>
      </c>
      <c r="E20" s="4">
        <f t="shared" si="1"/>
        <v>118906734.48921919</v>
      </c>
      <c r="F20" s="8">
        <f t="shared" si="2"/>
        <v>0.49337700238536697</v>
      </c>
    </row>
    <row r="21" spans="2:6" ht="15" thickBot="1" x14ac:dyDescent="0.35">
      <c r="B21">
        <f t="shared" si="0"/>
        <v>2023</v>
      </c>
      <c r="C21" s="3">
        <v>45078</v>
      </c>
      <c r="D21" s="5">
        <v>18.559519999999999</v>
      </c>
      <c r="E21" s="4">
        <f t="shared" si="1"/>
        <v>114893940.00991051</v>
      </c>
      <c r="F21" s="8">
        <f t="shared" si="2"/>
        <v>0.29361419180025461</v>
      </c>
    </row>
    <row r="22" spans="2:6" ht="15" thickBot="1" x14ac:dyDescent="0.35">
      <c r="B22">
        <f t="shared" si="0"/>
        <v>2023</v>
      </c>
      <c r="C22" s="3">
        <v>45108</v>
      </c>
      <c r="D22" s="5">
        <v>18.592880000000001</v>
      </c>
      <c r="E22" s="4">
        <f t="shared" si="1"/>
        <v>118791450.87835526</v>
      </c>
      <c r="F22" s="8">
        <f t="shared" si="2"/>
        <v>0.12926841194735306</v>
      </c>
    </row>
    <row r="23" spans="2:6" ht="15" thickBot="1" x14ac:dyDescent="0.35">
      <c r="B23">
        <f t="shared" si="0"/>
        <v>2023</v>
      </c>
      <c r="C23" s="3">
        <v>45139</v>
      </c>
      <c r="D23" s="5">
        <v>18.45213</v>
      </c>
      <c r="E23" s="4">
        <f t="shared" si="1"/>
        <v>103194900.90956548</v>
      </c>
      <c r="F23" s="8">
        <f t="shared" si="2"/>
        <v>0.10562413105437063</v>
      </c>
    </row>
    <row r="24" spans="2:6" ht="15" thickBot="1" x14ac:dyDescent="0.35">
      <c r="B24">
        <f t="shared" si="0"/>
        <v>2023</v>
      </c>
      <c r="C24" s="3">
        <v>45170</v>
      </c>
      <c r="D24" s="5">
        <v>18.411269999999998</v>
      </c>
      <c r="E24" s="4">
        <f t="shared" si="1"/>
        <v>99063339.851881191</v>
      </c>
      <c r="F24" s="8">
        <f t="shared" si="2"/>
        <v>9.0187827278460864E-2</v>
      </c>
    </row>
    <row r="25" spans="2:6" ht="15" thickBot="1" x14ac:dyDescent="0.35">
      <c r="B25">
        <f t="shared" si="0"/>
        <v>2023</v>
      </c>
      <c r="C25" s="3">
        <v>45200</v>
      </c>
      <c r="D25" s="5">
        <v>18.276060000000001</v>
      </c>
      <c r="E25" s="4">
        <f t="shared" si="1"/>
        <v>86535042.026491389</v>
      </c>
      <c r="F25" s="8">
        <f t="shared" si="2"/>
        <v>-0.15169072619081425</v>
      </c>
    </row>
    <row r="26" spans="2:6" ht="15" thickBot="1" x14ac:dyDescent="0.35">
      <c r="B26">
        <f t="shared" si="0"/>
        <v>2023</v>
      </c>
      <c r="C26" s="3">
        <v>45231</v>
      </c>
      <c r="D26" s="5">
        <v>18.617629999999998</v>
      </c>
      <c r="E26" s="4">
        <f t="shared" si="1"/>
        <v>121768224.91280992</v>
      </c>
      <c r="F26" s="8">
        <f t="shared" si="2"/>
        <v>0.32016931854872177</v>
      </c>
    </row>
    <row r="27" spans="2:6" ht="15" thickBot="1" x14ac:dyDescent="0.35">
      <c r="B27">
        <f t="shared" si="0"/>
        <v>2023</v>
      </c>
      <c r="C27" s="3">
        <v>45261</v>
      </c>
      <c r="D27" s="5">
        <v>18.693860000000001</v>
      </c>
      <c r="E27" s="4">
        <f t="shared" si="1"/>
        <v>131413579.05004764</v>
      </c>
      <c r="F27" s="8">
        <f t="shared" si="2"/>
        <v>0.36195340987226587</v>
      </c>
    </row>
    <row r="28" spans="2:6" ht="15" thickBot="1" x14ac:dyDescent="0.35">
      <c r="B28">
        <f t="shared" si="0"/>
        <v>2024</v>
      </c>
      <c r="C28" s="3">
        <v>45292</v>
      </c>
      <c r="D28" s="5">
        <v>18.640219999999999</v>
      </c>
      <c r="E28" s="4">
        <f t="shared" si="1"/>
        <v>124550274.05109608</v>
      </c>
      <c r="F28" s="8">
        <f t="shared" si="2"/>
        <v>0.12647129614293373</v>
      </c>
    </row>
    <row r="29" spans="2:6" ht="15" thickBot="1" x14ac:dyDescent="0.35">
      <c r="B29">
        <f t="shared" si="0"/>
        <v>2024</v>
      </c>
      <c r="C29" s="3">
        <v>45323</v>
      </c>
      <c r="D29" s="5">
        <v>18.598600000000001</v>
      </c>
      <c r="E29" s="4">
        <f t="shared" si="1"/>
        <v>119472885.02107576</v>
      </c>
      <c r="F29" s="8">
        <f t="shared" si="2"/>
        <v>0.10843598589114434</v>
      </c>
    </row>
    <row r="30" spans="2:6" ht="15" thickBot="1" x14ac:dyDescent="0.35">
      <c r="B30">
        <f t="shared" si="0"/>
        <v>2024</v>
      </c>
      <c r="C30" s="3">
        <v>45352</v>
      </c>
      <c r="D30" s="5">
        <v>18.71865</v>
      </c>
      <c r="E30" s="4">
        <f t="shared" si="1"/>
        <v>134712037.14383751</v>
      </c>
      <c r="F30" s="8">
        <f t="shared" si="2"/>
        <v>6.6582914074808652E-2</v>
      </c>
    </row>
    <row r="31" spans="2:6" ht="15" thickBot="1" x14ac:dyDescent="0.35">
      <c r="B31">
        <f t="shared" si="0"/>
        <v>2024</v>
      </c>
      <c r="C31" s="3">
        <v>45383</v>
      </c>
      <c r="D31" s="5">
        <v>18.38458</v>
      </c>
      <c r="E31" s="4">
        <f t="shared" si="1"/>
        <v>96454311.67024149</v>
      </c>
      <c r="F31" s="8">
        <f t="shared" si="2"/>
        <v>-0.14444080962898054</v>
      </c>
    </row>
    <row r="32" spans="2:6" ht="15" thickBot="1" x14ac:dyDescent="0.35">
      <c r="B32">
        <f t="shared" si="0"/>
        <v>2024</v>
      </c>
      <c r="C32" s="3">
        <v>45413</v>
      </c>
      <c r="D32" s="5">
        <v>18.556480000000001</v>
      </c>
      <c r="E32" s="4">
        <f t="shared" si="1"/>
        <v>114545192.79662655</v>
      </c>
      <c r="F32" s="8">
        <f t="shared" si="2"/>
        <v>-3.6680358865528229E-2</v>
      </c>
    </row>
    <row r="33" spans="2:6" ht="15" thickBot="1" x14ac:dyDescent="0.35">
      <c r="B33">
        <f t="shared" si="0"/>
        <v>2024</v>
      </c>
      <c r="C33" s="3">
        <v>45444</v>
      </c>
      <c r="D33" s="5">
        <v>18.511749999999999</v>
      </c>
      <c r="E33" s="4">
        <f t="shared" si="1"/>
        <v>109534486.18876003</v>
      </c>
      <c r="F33" s="8">
        <f t="shared" si="2"/>
        <v>-4.6646966939145718E-2</v>
      </c>
    </row>
    <row r="34" spans="2:6" ht="15" thickBot="1" x14ac:dyDescent="0.35">
      <c r="B34">
        <f t="shared" si="0"/>
        <v>2024</v>
      </c>
      <c r="C34" s="3">
        <v>45474</v>
      </c>
      <c r="D34" s="5">
        <v>18.73255</v>
      </c>
      <c r="E34" s="4">
        <f t="shared" si="1"/>
        <v>136597608.82413727</v>
      </c>
      <c r="F34" s="8">
        <f t="shared" si="2"/>
        <v>0.14989427112912246</v>
      </c>
    </row>
    <row r="35" spans="2:6" ht="15" thickBot="1" x14ac:dyDescent="0.35">
      <c r="B35">
        <f t="shared" si="0"/>
        <v>2024</v>
      </c>
      <c r="C35" s="3">
        <v>45505</v>
      </c>
      <c r="D35" s="5">
        <v>18.655159999999999</v>
      </c>
      <c r="E35" s="4">
        <f t="shared" si="1"/>
        <v>126425024.66168642</v>
      </c>
      <c r="F35" s="8">
        <f t="shared" si="2"/>
        <v>0.2251092209728327</v>
      </c>
    </row>
    <row r="36" spans="2:6" ht="15" thickBot="1" x14ac:dyDescent="0.35">
      <c r="B36">
        <f t="shared" si="0"/>
        <v>2024</v>
      </c>
      <c r="C36" s="3">
        <v>45536</v>
      </c>
      <c r="D36" s="5">
        <v>18.45898</v>
      </c>
      <c r="E36" s="4">
        <f t="shared" si="1"/>
        <v>103904212.59978068</v>
      </c>
      <c r="F36" s="8">
        <f t="shared" si="2"/>
        <v>4.8866439947790274E-2</v>
      </c>
    </row>
    <row r="37" spans="2:6" ht="15" thickBot="1" x14ac:dyDescent="0.35">
      <c r="B37">
        <f t="shared" si="0"/>
        <v>2024</v>
      </c>
      <c r="C37" s="3">
        <v>45566</v>
      </c>
      <c r="D37" s="5">
        <v>18.800809999999998</v>
      </c>
      <c r="E37" s="4">
        <f t="shared" si="1"/>
        <v>146247361.07765821</v>
      </c>
      <c r="F37" s="8">
        <f t="shared" si="2"/>
        <v>0.69003628648942938</v>
      </c>
    </row>
    <row r="38" spans="2:6" ht="15" thickBot="1" x14ac:dyDescent="0.35">
      <c r="B38">
        <f t="shared" si="0"/>
        <v>2024</v>
      </c>
      <c r="C38" s="3">
        <v>45597</v>
      </c>
      <c r="E38" s="6">
        <f>+_xlfn.XLOOKUP(C38,forecast!B:B,forecast!C:C,"")</f>
        <v>132362218</v>
      </c>
      <c r="F38" s="8">
        <f t="shared" si="2"/>
        <v>8.7001293603283791E-2</v>
      </c>
    </row>
    <row r="39" spans="2:6" ht="15" thickBot="1" x14ac:dyDescent="0.35">
      <c r="B39">
        <f t="shared" si="0"/>
        <v>2024</v>
      </c>
      <c r="C39" s="3">
        <v>45627</v>
      </c>
      <c r="E39" s="6">
        <f>+_xlfn.XLOOKUP(C39,forecast!B:B,forecast!C:C,"")</f>
        <v>138757152</v>
      </c>
      <c r="F39" s="8">
        <f t="shared" si="2"/>
        <v>5.5881386102083264E-2</v>
      </c>
    </row>
    <row r="40" spans="2:6" ht="15" thickBot="1" x14ac:dyDescent="0.35">
      <c r="B40">
        <f t="shared" si="0"/>
        <v>2025</v>
      </c>
      <c r="C40" s="3">
        <v>45658</v>
      </c>
      <c r="E40" s="6">
        <f>+_xlfn.XLOOKUP(C40,forecast!B:B,forecast!C:C,"")</f>
        <v>145207143</v>
      </c>
      <c r="F40" s="8">
        <f t="shared" si="2"/>
        <v>0.16585165393076173</v>
      </c>
    </row>
    <row r="41" spans="2:6" ht="15" thickBot="1" x14ac:dyDescent="0.35">
      <c r="B41">
        <f t="shared" si="0"/>
        <v>2025</v>
      </c>
      <c r="C41" s="3">
        <v>45689</v>
      </c>
      <c r="E41" s="6">
        <f>+_xlfn.XLOOKUP(C41,forecast!B:B,forecast!C:C,"")</f>
        <v>145847570</v>
      </c>
      <c r="F41" s="8">
        <f t="shared" si="2"/>
        <v>0.22075875186467275</v>
      </c>
    </row>
    <row r="42" spans="2:6" ht="15" thickBot="1" x14ac:dyDescent="0.35">
      <c r="B42">
        <f t="shared" si="0"/>
        <v>2025</v>
      </c>
      <c r="C42" s="3">
        <v>45717</v>
      </c>
      <c r="E42" s="6">
        <f>+_xlfn.XLOOKUP(C42,forecast!B:B,forecast!C:C,"")</f>
        <v>159132675</v>
      </c>
      <c r="F42" s="8">
        <f t="shared" si="2"/>
        <v>0.18128029516833433</v>
      </c>
    </row>
    <row r="43" spans="2:6" ht="15" thickBot="1" x14ac:dyDescent="0.35">
      <c r="B43">
        <f t="shared" si="0"/>
        <v>2025</v>
      </c>
      <c r="C43" s="3">
        <v>45748</v>
      </c>
      <c r="E43" s="6">
        <f>+_xlfn.XLOOKUP(C43,forecast!B:B,forecast!C:C,"")</f>
        <v>136899998</v>
      </c>
      <c r="F43" s="8">
        <f t="shared" si="2"/>
        <v>0.41932481430207535</v>
      </c>
    </row>
    <row r="44" spans="2:6" ht="15" thickBot="1" x14ac:dyDescent="0.35">
      <c r="B44">
        <f t="shared" si="0"/>
        <v>2025</v>
      </c>
      <c r="C44" s="3">
        <v>45778</v>
      </c>
      <c r="E44" s="6">
        <f>+_xlfn.XLOOKUP(C44,forecast!B:B,forecast!C:C,"")</f>
        <v>147831970</v>
      </c>
      <c r="F44" s="8">
        <f t="shared" si="2"/>
        <v>0.29059951265238748</v>
      </c>
    </row>
    <row r="45" spans="2:6" ht="15" thickBot="1" x14ac:dyDescent="0.35">
      <c r="B45">
        <f t="shared" si="0"/>
        <v>2025</v>
      </c>
      <c r="C45" s="3">
        <v>45809</v>
      </c>
      <c r="E45" s="6">
        <f>+_xlfn.XLOOKUP(C45,forecast!B:B,forecast!C:C,"")</f>
        <v>145758869</v>
      </c>
      <c r="F45" s="8">
        <f t="shared" si="2"/>
        <v>0.33071212612267842</v>
      </c>
    </row>
    <row r="46" spans="2:6" ht="15" thickBot="1" x14ac:dyDescent="0.35">
      <c r="B46">
        <f t="shared" si="0"/>
        <v>2025</v>
      </c>
      <c r="C46" s="3">
        <v>45839</v>
      </c>
      <c r="E46" s="6">
        <f>+_xlfn.XLOOKUP(C46,forecast!B:B,forecast!C:C,"")</f>
        <v>156643749</v>
      </c>
      <c r="F46" s="8">
        <f t="shared" si="2"/>
        <v>0.14675322905301469</v>
      </c>
    </row>
    <row r="47" spans="2:6" ht="15" thickBot="1" x14ac:dyDescent="0.35">
      <c r="B47">
        <f t="shared" si="0"/>
        <v>2025</v>
      </c>
      <c r="C47" s="3">
        <v>45870</v>
      </c>
      <c r="E47" s="6">
        <f>+_xlfn.XLOOKUP(C47,forecast!B:B,forecast!C:C,"")</f>
        <v>146543700</v>
      </c>
      <c r="F47" s="8">
        <f t="shared" si="2"/>
        <v>0.15913522969167837</v>
      </c>
    </row>
    <row r="48" spans="2:6" ht="15" thickBot="1" x14ac:dyDescent="0.35">
      <c r="B48">
        <f t="shared" si="0"/>
        <v>2025</v>
      </c>
      <c r="C48" s="3">
        <v>45901</v>
      </c>
      <c r="E48" s="6">
        <f>+_xlfn.XLOOKUP(C48,forecast!B:B,forecast!C:C,"")</f>
        <v>135659820</v>
      </c>
      <c r="F48" s="8">
        <f t="shared" si="2"/>
        <v>0.3056238684232746</v>
      </c>
    </row>
    <row r="49" spans="2:6" ht="15" thickBot="1" x14ac:dyDescent="0.35">
      <c r="B49">
        <f t="shared" si="0"/>
        <v>2025</v>
      </c>
      <c r="C49" s="3">
        <v>45931</v>
      </c>
      <c r="E49" s="6">
        <f>+_xlfn.XLOOKUP(C49,forecast!B:B,forecast!C:C,"")</f>
        <v>150754873</v>
      </c>
      <c r="F49" s="8">
        <f t="shared" si="2"/>
        <v>3.0821150474970027E-2</v>
      </c>
    </row>
    <row r="50" spans="2:6" ht="15" thickBot="1" x14ac:dyDescent="0.35">
      <c r="B50">
        <f t="shared" si="0"/>
        <v>2025</v>
      </c>
      <c r="C50" s="3">
        <v>45962</v>
      </c>
      <c r="E50" s="6">
        <f>+_xlfn.XLOOKUP(C50,forecast!B:B,forecast!C:C,"")</f>
        <v>151153909</v>
      </c>
      <c r="F50" s="8">
        <f t="shared" si="2"/>
        <v>0.14197171431503208</v>
      </c>
    </row>
    <row r="51" spans="2:6" ht="15" thickBot="1" x14ac:dyDescent="0.35">
      <c r="B51">
        <f t="shared" si="0"/>
        <v>2025</v>
      </c>
      <c r="C51" s="3">
        <v>45992</v>
      </c>
      <c r="E51" s="6">
        <f>+_xlfn.XLOOKUP(C51,forecast!B:B,forecast!C:C,"")</f>
        <v>158273918</v>
      </c>
      <c r="F51" s="8">
        <f t="shared" si="2"/>
        <v>0.14065412642657882</v>
      </c>
    </row>
    <row r="52" spans="2:6" ht="15" thickBot="1" x14ac:dyDescent="0.35">
      <c r="B52">
        <f t="shared" si="0"/>
        <v>2026</v>
      </c>
      <c r="C52" s="3">
        <v>46023</v>
      </c>
      <c r="E52" s="6">
        <f>+_xlfn.XLOOKUP(C52,forecast!B:B,forecast!C:C,"")</f>
        <v>165426712</v>
      </c>
      <c r="F52" s="8">
        <f t="shared" si="2"/>
        <v>0.13924637991121425</v>
      </c>
    </row>
    <row r="53" spans="2:6" ht="15" thickBot="1" x14ac:dyDescent="0.35">
      <c r="B53">
        <f t="shared" si="0"/>
        <v>2026</v>
      </c>
      <c r="C53" s="3">
        <v>46054</v>
      </c>
      <c r="E53" s="6">
        <f>+_xlfn.XLOOKUP(C53,forecast!B:B,forecast!C:C,"")</f>
        <v>165024482</v>
      </c>
      <c r="F53" s="8">
        <f t="shared" si="2"/>
        <v>0.13148598910492648</v>
      </c>
    </row>
    <row r="54" spans="2:6" ht="15" thickBot="1" x14ac:dyDescent="0.35">
      <c r="B54">
        <f t="shared" si="0"/>
        <v>2026</v>
      </c>
      <c r="C54" s="3">
        <v>46082</v>
      </c>
      <c r="E54" s="6">
        <f>+_xlfn.XLOOKUP(C54,forecast!B:B,forecast!C:C,"")</f>
        <v>180961643</v>
      </c>
      <c r="F54" s="8">
        <f t="shared" si="2"/>
        <v>0.1371746437367436</v>
      </c>
    </row>
    <row r="55" spans="2:6" ht="15" thickBot="1" x14ac:dyDescent="0.35">
      <c r="B55">
        <f t="shared" si="0"/>
        <v>2026</v>
      </c>
      <c r="C55" s="3">
        <v>46113</v>
      </c>
      <c r="E55" s="6">
        <f>+_xlfn.XLOOKUP(C55,forecast!B:B,forecast!C:C,"")</f>
        <v>151284996</v>
      </c>
      <c r="F55" s="8">
        <f t="shared" si="2"/>
        <v>0.10507668524582447</v>
      </c>
    </row>
    <row r="56" spans="2:6" ht="15" thickBot="1" x14ac:dyDescent="0.35">
      <c r="B56">
        <f t="shared" si="0"/>
        <v>2026</v>
      </c>
      <c r="C56" s="3">
        <v>46143</v>
      </c>
      <c r="E56" s="6">
        <f>+_xlfn.XLOOKUP(C56,forecast!B:B,forecast!C:C,"")</f>
        <v>164233727</v>
      </c>
      <c r="F56" s="8">
        <f t="shared" si="2"/>
        <v>0.11094864662900727</v>
      </c>
    </row>
    <row r="57" spans="2:6" ht="15" thickBot="1" x14ac:dyDescent="0.35">
      <c r="B57">
        <f t="shared" si="0"/>
        <v>2026</v>
      </c>
      <c r="C57" s="3">
        <v>46174</v>
      </c>
      <c r="E57" s="6">
        <f>+_xlfn.XLOOKUP(C57,forecast!B:B,forecast!C:C,"")</f>
        <v>160612097</v>
      </c>
      <c r="F57" s="8">
        <f t="shared" si="2"/>
        <v>0.1019027391053644</v>
      </c>
    </row>
    <row r="58" spans="2:6" ht="15" thickBot="1" x14ac:dyDescent="0.35">
      <c r="B58">
        <f t="shared" si="0"/>
        <v>2026</v>
      </c>
      <c r="C58" s="3">
        <v>46204</v>
      </c>
      <c r="E58" s="6">
        <f>+_xlfn.XLOOKUP(C58,forecast!B:B,forecast!C:C,"")</f>
        <v>173437775</v>
      </c>
      <c r="F58" s="8">
        <f t="shared" si="2"/>
        <v>0.10721159386960277</v>
      </c>
    </row>
    <row r="59" spans="2:6" ht="15" thickBot="1" x14ac:dyDescent="0.35">
      <c r="B59">
        <f t="shared" si="0"/>
        <v>2026</v>
      </c>
      <c r="C59" s="3">
        <v>46235</v>
      </c>
      <c r="E59" s="6">
        <f>+_xlfn.XLOOKUP(C59,forecast!B:B,forecast!C:C,"")</f>
        <v>159824705</v>
      </c>
      <c r="F59" s="8">
        <f t="shared" si="2"/>
        <v>9.062829040074738E-2</v>
      </c>
    </row>
    <row r="60" spans="2:6" ht="15" thickBot="1" x14ac:dyDescent="0.35">
      <c r="B60">
        <f t="shared" si="0"/>
        <v>2026</v>
      </c>
      <c r="C60" s="3">
        <v>46266</v>
      </c>
      <c r="E60" s="6">
        <f>+_xlfn.XLOOKUP(C60,forecast!B:B,forecast!C:C,"")</f>
        <v>145401688</v>
      </c>
      <c r="F60" s="8">
        <f t="shared" si="2"/>
        <v>7.1811004909191345E-2</v>
      </c>
    </row>
    <row r="61" spans="2:6" ht="15" thickBot="1" x14ac:dyDescent="0.35">
      <c r="B61">
        <f t="shared" si="0"/>
        <v>2026</v>
      </c>
      <c r="C61" s="3">
        <v>46296</v>
      </c>
      <c r="E61" s="6">
        <f>+_xlfn.XLOOKUP(C61,forecast!B:B,forecast!C:C,"")</f>
        <v>163530034</v>
      </c>
      <c r="F61" s="8">
        <f t="shared" si="2"/>
        <v>8.4741280635087568E-2</v>
      </c>
    </row>
    <row r="62" spans="2:6" ht="15" thickBot="1" x14ac:dyDescent="0.35">
      <c r="B62">
        <f t="shared" si="0"/>
        <v>2026</v>
      </c>
      <c r="C62" s="3">
        <v>46327</v>
      </c>
      <c r="E62" s="7">
        <f>+E50*(1+F62)</f>
        <v>168320623.38288137</v>
      </c>
      <c r="F62" s="8">
        <f>+AVERAGE(F50:F61)</f>
        <v>0.1135710911907767</v>
      </c>
    </row>
    <row r="63" spans="2:6" ht="15" thickBot="1" x14ac:dyDescent="0.35">
      <c r="B63">
        <f t="shared" si="0"/>
        <v>2026</v>
      </c>
      <c r="C63" s="3">
        <v>46357</v>
      </c>
      <c r="E63" s="6">
        <f>+E51*(1+F63)</f>
        <v>175874669.74967307</v>
      </c>
      <c r="F63" s="8">
        <f t="shared" ref="F63:F75" si="3">+AVERAGE(F51:F62)</f>
        <v>0.11120437259708876</v>
      </c>
    </row>
    <row r="64" spans="2:6" ht="15" thickBot="1" x14ac:dyDescent="0.35">
      <c r="B64">
        <f t="shared" si="0"/>
        <v>2027</v>
      </c>
      <c r="C64" s="3">
        <v>46388</v>
      </c>
      <c r="E64" s="6">
        <f t="shared" ref="E64:E75" si="4">+E52*(1+F64)</f>
        <v>183416904.38999078</v>
      </c>
      <c r="F64" s="8">
        <f t="shared" si="3"/>
        <v>0.10875022644463127</v>
      </c>
    </row>
    <row r="65" spans="2:6" ht="15" thickBot="1" x14ac:dyDescent="0.35">
      <c r="B65">
        <f t="shared" si="0"/>
        <v>2027</v>
      </c>
      <c r="C65" s="3">
        <v>46419</v>
      </c>
      <c r="E65" s="6">
        <f t="shared" si="4"/>
        <v>182551547.4590067</v>
      </c>
      <c r="F65" s="8">
        <f t="shared" si="3"/>
        <v>0.106208880322416</v>
      </c>
    </row>
    <row r="66" spans="2:6" ht="15" thickBot="1" x14ac:dyDescent="0.35">
      <c r="B66">
        <f t="shared" si="0"/>
        <v>2027</v>
      </c>
      <c r="C66" s="3">
        <v>46447</v>
      </c>
      <c r="E66" s="6">
        <f t="shared" si="4"/>
        <v>199800194.223037</v>
      </c>
      <c r="F66" s="8">
        <f t="shared" si="3"/>
        <v>0.10410245459054011</v>
      </c>
    </row>
    <row r="67" spans="2:6" ht="15" thickBot="1" x14ac:dyDescent="0.35">
      <c r="B67">
        <f t="shared" ref="B67:B75" si="5">+YEAR(C67)</f>
        <v>2027</v>
      </c>
      <c r="C67" s="3">
        <v>46478</v>
      </c>
      <c r="E67" s="6">
        <f t="shared" si="4"/>
        <v>166617191.59276214</v>
      </c>
      <c r="F67" s="8">
        <f t="shared" si="3"/>
        <v>0.10134643882835648</v>
      </c>
    </row>
    <row r="68" spans="2:6" ht="15" thickBot="1" x14ac:dyDescent="0.35">
      <c r="B68">
        <f t="shared" si="5"/>
        <v>2027</v>
      </c>
      <c r="C68" s="3">
        <v>46508</v>
      </c>
      <c r="E68" s="6">
        <f t="shared" si="4"/>
        <v>180827177.6776444</v>
      </c>
      <c r="F68" s="8">
        <f t="shared" si="3"/>
        <v>0.10103558496023417</v>
      </c>
    </row>
    <row r="69" spans="2:6" ht="15" thickBot="1" x14ac:dyDescent="0.35">
      <c r="B69">
        <f t="shared" si="5"/>
        <v>2027</v>
      </c>
      <c r="C69" s="3">
        <v>46539</v>
      </c>
      <c r="E69" s="6">
        <f t="shared" si="4"/>
        <v>176706954.37022555</v>
      </c>
      <c r="F69" s="8">
        <f t="shared" si="3"/>
        <v>0.10020949648783641</v>
      </c>
    </row>
    <row r="70" spans="2:6" ht="15" thickBot="1" x14ac:dyDescent="0.35">
      <c r="B70">
        <f t="shared" si="5"/>
        <v>2027</v>
      </c>
      <c r="C70" s="3">
        <v>46569</v>
      </c>
      <c r="E70" s="6">
        <f t="shared" si="4"/>
        <v>190793414.41871071</v>
      </c>
      <c r="F70" s="8">
        <f t="shared" si="3"/>
        <v>0.10006839293637575</v>
      </c>
    </row>
    <row r="71" spans="2:6" ht="15" thickBot="1" x14ac:dyDescent="0.35">
      <c r="B71">
        <f t="shared" si="5"/>
        <v>2027</v>
      </c>
      <c r="C71" s="3">
        <v>46600</v>
      </c>
      <c r="E71" s="6">
        <f t="shared" si="4"/>
        <v>175722968.04905462</v>
      </c>
      <c r="F71" s="8">
        <f t="shared" si="3"/>
        <v>9.9473126191940153E-2</v>
      </c>
    </row>
    <row r="72" spans="2:6" ht="15" thickBot="1" x14ac:dyDescent="0.35">
      <c r="B72">
        <f t="shared" si="5"/>
        <v>2027</v>
      </c>
      <c r="C72" s="3">
        <v>46631</v>
      </c>
      <c r="E72" s="6">
        <f t="shared" si="4"/>
        <v>159972419.63012198</v>
      </c>
      <c r="F72" s="8">
        <f t="shared" si="3"/>
        <v>0.10021019584120622</v>
      </c>
    </row>
    <row r="73" spans="2:6" ht="15" thickBot="1" x14ac:dyDescent="0.35">
      <c r="B73">
        <f t="shared" si="5"/>
        <v>2027</v>
      </c>
      <c r="C73" s="3">
        <v>46661</v>
      </c>
      <c r="E73" s="6">
        <f t="shared" si="4"/>
        <v>180304420.7879495</v>
      </c>
      <c r="F73" s="8">
        <f t="shared" si="3"/>
        <v>0.1025767950855408</v>
      </c>
    </row>
    <row r="74" spans="2:6" ht="15" thickBot="1" x14ac:dyDescent="0.35">
      <c r="B74">
        <f t="shared" si="5"/>
        <v>2027</v>
      </c>
      <c r="C74" s="3">
        <v>46692</v>
      </c>
      <c r="E74" s="6">
        <f t="shared" si="4"/>
        <v>185836587.21885225</v>
      </c>
      <c r="F74" s="8">
        <f t="shared" si="3"/>
        <v>0.10406308795641189</v>
      </c>
    </row>
    <row r="75" spans="2:6" ht="15" thickBot="1" x14ac:dyDescent="0.35">
      <c r="B75">
        <f t="shared" si="5"/>
        <v>2027</v>
      </c>
      <c r="C75" s="3">
        <v>46722</v>
      </c>
      <c r="E75" s="6">
        <f t="shared" si="4"/>
        <v>194037379.56640297</v>
      </c>
      <c r="F75" s="8">
        <f t="shared" si="3"/>
        <v>0.10327075435354816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4F11-AD96-4F90-96F3-54D69B79CC8C}">
  <dimension ref="B1:K42"/>
  <sheetViews>
    <sheetView tabSelected="1" topLeftCell="A3" workbookViewId="0">
      <selection activeCell="F22" sqref="F22"/>
    </sheetView>
  </sheetViews>
  <sheetFormatPr defaultRowHeight="14.4" x14ac:dyDescent="0.3"/>
  <cols>
    <col min="1" max="1" width="2" style="9" customWidth="1"/>
    <col min="2" max="2" width="34.88671875" style="9" bestFit="1" customWidth="1"/>
    <col min="3" max="3" width="10.88671875" style="9" bestFit="1" customWidth="1"/>
    <col min="4" max="4" width="12.33203125" style="9" bestFit="1" customWidth="1"/>
    <col min="5" max="10" width="12.6640625" style="9" bestFit="1" customWidth="1"/>
    <col min="11" max="16384" width="8.88671875" style="9"/>
  </cols>
  <sheetData>
    <row r="1" spans="2:10" ht="18" x14ac:dyDescent="0.35">
      <c r="B1" s="80" t="s">
        <v>32</v>
      </c>
    </row>
    <row r="4" spans="2:10" x14ac:dyDescent="0.3">
      <c r="B4" s="48" t="s">
        <v>47</v>
      </c>
      <c r="C4" s="48" t="s">
        <v>8</v>
      </c>
      <c r="D4" s="48" t="s">
        <v>7</v>
      </c>
      <c r="E4" s="48" t="s">
        <v>18</v>
      </c>
      <c r="F4" s="48" t="s">
        <v>19</v>
      </c>
      <c r="G4" s="48" t="s">
        <v>20</v>
      </c>
      <c r="H4" s="48" t="s">
        <v>21</v>
      </c>
      <c r="I4" s="48" t="s">
        <v>22</v>
      </c>
      <c r="J4" s="48" t="s">
        <v>23</v>
      </c>
    </row>
    <row r="5" spans="2:10" x14ac:dyDescent="0.3">
      <c r="B5" s="9" t="s">
        <v>95</v>
      </c>
      <c r="C5" s="11">
        <v>920048738</v>
      </c>
      <c r="D5" s="11">
        <v>1392815247</v>
      </c>
      <c r="E5" s="15">
        <f>+SUMIF('sales_m+forecast'!$B:$B,IS!E$4,'sales_m+forecast'!$E:$E)</f>
        <v>1483562764.0349002</v>
      </c>
      <c r="F5" s="15">
        <f>+SUMIF('sales_m+forecast'!$B:$B,IS!F$4,'sales_m+forecast'!$E:$E)</f>
        <v>1779708194</v>
      </c>
      <c r="G5" s="15">
        <f>+SUMIF('sales_m+forecast'!$B:$B,IS!G$4,'sales_m+forecast'!$E:$E)</f>
        <v>1973933152.1325545</v>
      </c>
      <c r="H5" s="15">
        <f>+SUMIF('sales_m+forecast'!$B:$B,IS!H$4,'sales_m+forecast'!$E:$E)</f>
        <v>2176587159.3837585</v>
      </c>
      <c r="I5" s="15">
        <f>+H5*(1+I15)</f>
        <v>2400046656.7350717</v>
      </c>
      <c r="J5" s="15">
        <f>+I5*(1+J15)</f>
        <v>2646447641.516017</v>
      </c>
    </row>
    <row r="6" spans="2:10" x14ac:dyDescent="0.3">
      <c r="B6" s="9" t="s">
        <v>9</v>
      </c>
      <c r="C6" s="11">
        <v>352594704</v>
      </c>
      <c r="D6" s="11">
        <v>549003232</v>
      </c>
      <c r="E6" s="10">
        <f>+E$5*E20</f>
        <v>576662948.24550498</v>
      </c>
      <c r="F6" s="10">
        <f t="shared" ref="F6:J6" si="0">+F$5*F20</f>
        <v>622897867.89999998</v>
      </c>
      <c r="G6" s="10">
        <f t="shared" si="0"/>
        <v>690876603.24639404</v>
      </c>
      <c r="H6" s="10">
        <f t="shared" si="0"/>
        <v>761805505.78431547</v>
      </c>
      <c r="I6" s="10">
        <f t="shared" si="0"/>
        <v>840016329.85727501</v>
      </c>
      <c r="J6" s="10">
        <f t="shared" si="0"/>
        <v>926256674.53060591</v>
      </c>
    </row>
    <row r="7" spans="2:10" x14ac:dyDescent="0.3">
      <c r="B7" s="9" t="s">
        <v>10</v>
      </c>
      <c r="C7" s="11">
        <v>36699247</v>
      </c>
      <c r="D7" s="11">
        <v>162898264</v>
      </c>
      <c r="E7" s="10">
        <f t="shared" ref="E7:J7" si="1">+E$5*E21</f>
        <v>116344322.90013431</v>
      </c>
      <c r="F7" s="10">
        <f t="shared" si="1"/>
        <v>173858236.74531502</v>
      </c>
      <c r="G7" s="10">
        <f t="shared" si="1"/>
        <v>173816091.82948503</v>
      </c>
      <c r="H7" s="10">
        <f t="shared" si="1"/>
        <v>202144976.51145732</v>
      </c>
      <c r="I7" s="10">
        <f t="shared" si="1"/>
        <v>217118013.6887739</v>
      </c>
      <c r="J7" s="10">
        <f t="shared" si="1"/>
        <v>242595260.80792299</v>
      </c>
    </row>
    <row r="8" spans="2:10" x14ac:dyDescent="0.3">
      <c r="B8" s="9" t="s">
        <v>11</v>
      </c>
      <c r="C8" s="11">
        <v>475432662</v>
      </c>
      <c r="D8" s="11">
        <v>696655420</v>
      </c>
      <c r="E8" s="10">
        <f t="shared" ref="E8:J8" si="2">+E$5*E22</f>
        <v>754336156.44720101</v>
      </c>
      <c r="F8" s="10">
        <f t="shared" si="2"/>
        <v>800868687.30000007</v>
      </c>
      <c r="G8" s="10">
        <f t="shared" si="2"/>
        <v>888269918.45964956</v>
      </c>
      <c r="H8" s="10">
        <f t="shared" si="2"/>
        <v>979464221.72269142</v>
      </c>
      <c r="I8" s="10">
        <f t="shared" si="2"/>
        <v>1080020995.5307822</v>
      </c>
      <c r="J8" s="10">
        <f t="shared" si="2"/>
        <v>1190901438.6822076</v>
      </c>
    </row>
    <row r="9" spans="2:10" x14ac:dyDescent="0.3">
      <c r="B9" s="9" t="s">
        <v>12</v>
      </c>
      <c r="C9" s="11">
        <v>3603219</v>
      </c>
      <c r="D9" s="11">
        <v>10478117</v>
      </c>
      <c r="E9" s="10">
        <f t="shared" ref="E9:J9" si="3">+E$5*E23</f>
        <v>8485468.5683122464</v>
      </c>
      <c r="F9" s="10">
        <f>+F$5*F23</f>
        <v>11784011.128590522</v>
      </c>
      <c r="G9" s="10">
        <f t="shared" si="3"/>
        <v>12180127.253233457</v>
      </c>
      <c r="H9" s="10">
        <f t="shared" si="3"/>
        <v>13921236.677034864</v>
      </c>
      <c r="I9" s="10">
        <f t="shared" si="3"/>
        <v>15079958.159269309</v>
      </c>
      <c r="J9" s="10">
        <f t="shared" si="3"/>
        <v>16777280.620239891</v>
      </c>
    </row>
    <row r="10" spans="2:10" x14ac:dyDescent="0.3">
      <c r="B10" s="21" t="s">
        <v>13</v>
      </c>
      <c r="C10" s="19">
        <v>58925344</v>
      </c>
      <c r="D10" s="19">
        <v>-5263551</v>
      </c>
      <c r="E10" s="20">
        <f>+E5-E6-E7-E8+E9</f>
        <v>44704805.010372117</v>
      </c>
      <c r="F10" s="20">
        <f>+F5-F6-F7-F8+F9</f>
        <v>193867413.18327528</v>
      </c>
      <c r="G10" s="20">
        <f t="shared" ref="G10:J10" si="4">+G5-G6-G7-G8+G9</f>
        <v>233150665.85025933</v>
      </c>
      <c r="H10" s="20">
        <f t="shared" si="4"/>
        <v>247093692.04232895</v>
      </c>
      <c r="I10" s="20">
        <f t="shared" si="4"/>
        <v>277971275.81750989</v>
      </c>
      <c r="J10" s="20">
        <f t="shared" si="4"/>
        <v>303471548.11552042</v>
      </c>
    </row>
    <row r="11" spans="2:10" x14ac:dyDescent="0.3">
      <c r="B11" s="9" t="s">
        <v>14</v>
      </c>
      <c r="C11" s="11">
        <v>32011805</v>
      </c>
      <c r="D11" s="11">
        <v>77984134</v>
      </c>
      <c r="E11" s="10">
        <f t="shared" ref="E11:J11" si="5">+E$5*E25</f>
        <v>67341799.500942007</v>
      </c>
      <c r="F11" s="10">
        <f t="shared" si="5"/>
        <v>90215400.058535814</v>
      </c>
      <c r="G11" s="10">
        <f t="shared" si="5"/>
        <v>94830772.885556638</v>
      </c>
      <c r="H11" s="10">
        <f t="shared" si="5"/>
        <v>107450110.42400318</v>
      </c>
      <c r="I11" s="10">
        <f t="shared" si="5"/>
        <v>116891701.61215426</v>
      </c>
      <c r="J11" s="10">
        <f t="shared" si="5"/>
        <v>129768896.80965064</v>
      </c>
    </row>
    <row r="12" spans="2:10" x14ac:dyDescent="0.3">
      <c r="B12" s="9" t="s">
        <v>15</v>
      </c>
      <c r="C12" s="11">
        <v>26913539</v>
      </c>
      <c r="D12" s="11">
        <v>-83247685</v>
      </c>
      <c r="E12" s="10">
        <f>+E10-E11</f>
        <v>-22636994.49056989</v>
      </c>
      <c r="F12" s="10">
        <f t="shared" ref="F12:J12" si="6">+F10-F11</f>
        <v>103652013.12473947</v>
      </c>
      <c r="G12" s="10">
        <f t="shared" si="6"/>
        <v>138319892.9647027</v>
      </c>
      <c r="H12" s="10">
        <f t="shared" si="6"/>
        <v>139643581.61832577</v>
      </c>
      <c r="I12" s="10">
        <f t="shared" si="6"/>
        <v>161079574.20535564</v>
      </c>
      <c r="J12" s="10">
        <f t="shared" si="6"/>
        <v>173702651.30586976</v>
      </c>
    </row>
    <row r="13" spans="2:10" x14ac:dyDescent="0.3">
      <c r="B13" s="9" t="s">
        <v>16</v>
      </c>
      <c r="C13" s="11">
        <v>16372000</v>
      </c>
      <c r="D13" s="11">
        <v>0</v>
      </c>
      <c r="E13" s="10">
        <f>+IF(E12&lt;0,0,E12*E27)</f>
        <v>0</v>
      </c>
      <c r="F13" s="10">
        <f t="shared" ref="F13:J13" si="7">+IF(F12&lt;0,0,F12*F27)</f>
        <v>36278204.593658812</v>
      </c>
      <c r="G13" s="10">
        <f t="shared" si="7"/>
        <v>48411962.537645943</v>
      </c>
      <c r="H13" s="10">
        <f t="shared" si="7"/>
        <v>48875253.566414014</v>
      </c>
      <c r="I13" s="10">
        <f t="shared" si="7"/>
        <v>56377850.971874475</v>
      </c>
      <c r="J13" s="10">
        <f t="shared" si="7"/>
        <v>60795927.957054414</v>
      </c>
    </row>
    <row r="14" spans="2:10" x14ac:dyDescent="0.3">
      <c r="B14" s="21" t="s">
        <v>17</v>
      </c>
      <c r="C14" s="19">
        <v>10541539</v>
      </c>
      <c r="D14" s="19">
        <v>-83247685</v>
      </c>
      <c r="E14" s="20">
        <f>+E13+E12</f>
        <v>-22636994.49056989</v>
      </c>
      <c r="F14" s="20">
        <f t="shared" ref="F14:J14" si="8">+F13+F12</f>
        <v>139930217.71839827</v>
      </c>
      <c r="G14" s="20">
        <f t="shared" si="8"/>
        <v>186731855.50234863</v>
      </c>
      <c r="H14" s="20">
        <f t="shared" si="8"/>
        <v>188518835.18473977</v>
      </c>
      <c r="I14" s="20">
        <f t="shared" si="8"/>
        <v>217457425.17723012</v>
      </c>
      <c r="J14" s="20">
        <f t="shared" si="8"/>
        <v>234498579.26292416</v>
      </c>
    </row>
    <row r="15" spans="2:10" x14ac:dyDescent="0.3">
      <c r="B15" s="9" t="s">
        <v>34</v>
      </c>
      <c r="D15" s="13">
        <f>+D5/C5-1</f>
        <v>0.51384941848591503</v>
      </c>
      <c r="E15" s="13">
        <f>+E5/D5-1</f>
        <v>6.5154023285114215E-2</v>
      </c>
      <c r="F15" s="13">
        <f t="shared" ref="F15:H15" si="9">+F5/E5-1</f>
        <v>0.19961772912098596</v>
      </c>
      <c r="G15" s="13">
        <f t="shared" si="9"/>
        <v>0.10913303584674883</v>
      </c>
      <c r="H15" s="13">
        <f t="shared" si="9"/>
        <v>0.10266508115143869</v>
      </c>
      <c r="I15" s="17">
        <f>+H15</f>
        <v>0.10266508115143869</v>
      </c>
      <c r="J15" s="16">
        <f>+I15</f>
        <v>0.10266508115143869</v>
      </c>
    </row>
    <row r="17" spans="2:11" x14ac:dyDescent="0.3">
      <c r="B17" s="9" t="s">
        <v>94</v>
      </c>
      <c r="C17" s="10">
        <f>+C5/CF!$C$38</f>
        <v>209101.9859090909</v>
      </c>
      <c r="D17" s="10">
        <f>+D5/CF!$C$38</f>
        <v>316548.9197727273</v>
      </c>
      <c r="E17" s="10">
        <f>+E5/CF!$C$38</f>
        <v>337173.35546247731</v>
      </c>
      <c r="F17" s="10">
        <f>+F5/CF!$C$38</f>
        <v>404479.13500000001</v>
      </c>
      <c r="G17" s="10">
        <f>+G5/CF!$C$38</f>
        <v>448621.17093921691</v>
      </c>
      <c r="H17" s="10">
        <f>+H5/CF!$C$38</f>
        <v>494678.89985994512</v>
      </c>
      <c r="I17" s="10">
        <f>+I5/CF!$C$38</f>
        <v>545465.14925797086</v>
      </c>
      <c r="J17" s="10">
        <f>+J5/CF!$C$38</f>
        <v>601465.37307182199</v>
      </c>
    </row>
    <row r="19" spans="2:11" x14ac:dyDescent="0.3">
      <c r="B19" s="9" t="s">
        <v>33</v>
      </c>
    </row>
    <row r="20" spans="2:11" x14ac:dyDescent="0.3">
      <c r="B20" s="9" t="s">
        <v>9</v>
      </c>
      <c r="C20" s="14">
        <f>+C6/C$5</f>
        <v>0.38323481076281851</v>
      </c>
      <c r="D20" s="14">
        <f t="shared" ref="D20:D27" si="10">+D6/D$5</f>
        <v>0.39416802277438023</v>
      </c>
      <c r="E20" s="16">
        <f>+AVERAGE(C20:D20)</f>
        <v>0.38870141676859937</v>
      </c>
      <c r="F20" s="82">
        <v>0.35</v>
      </c>
      <c r="G20" s="16">
        <f>+F20</f>
        <v>0.35</v>
      </c>
      <c r="H20" s="16">
        <f t="shared" ref="H20:J20" si="11">+G20</f>
        <v>0.35</v>
      </c>
      <c r="I20" s="16">
        <f t="shared" si="11"/>
        <v>0.35</v>
      </c>
      <c r="J20" s="16">
        <f t="shared" si="11"/>
        <v>0.35</v>
      </c>
    </row>
    <row r="21" spans="2:11" x14ac:dyDescent="0.3">
      <c r="B21" s="9" t="s">
        <v>10</v>
      </c>
      <c r="C21" s="14">
        <f>+C7/C$5</f>
        <v>3.9888372739662406E-2</v>
      </c>
      <c r="D21" s="14">
        <f t="shared" si="10"/>
        <v>0.11695611772693353</v>
      </c>
      <c r="E21" s="16">
        <f>+AVERAGE(C21:D21)</f>
        <v>7.8422245233297966E-2</v>
      </c>
      <c r="F21" s="16">
        <f>+AVERAGE(D21:E21)</f>
        <v>9.7689181480115739E-2</v>
      </c>
      <c r="G21" s="16">
        <f t="shared" ref="G21:J21" si="12">+AVERAGE(E21:F21)</f>
        <v>8.8055713356706852E-2</v>
      </c>
      <c r="H21" s="16">
        <f t="shared" si="12"/>
        <v>9.2872447418411302E-2</v>
      </c>
      <c r="I21" s="16">
        <f t="shared" si="12"/>
        <v>9.046408038755907E-2</v>
      </c>
      <c r="J21" s="16">
        <f t="shared" si="12"/>
        <v>9.1668263902985186E-2</v>
      </c>
    </row>
    <row r="22" spans="2:11" x14ac:dyDescent="0.3">
      <c r="B22" s="9" t="s">
        <v>11</v>
      </c>
      <c r="C22" s="14">
        <f t="shared" ref="C22" si="13">+C8/C$5</f>
        <v>0.5167472573610552</v>
      </c>
      <c r="D22" s="14">
        <f t="shared" si="10"/>
        <v>0.50017791053087168</v>
      </c>
      <c r="E22" s="16">
        <f>+AVERAGE(C22:D22)</f>
        <v>0.50846258394596344</v>
      </c>
      <c r="F22" s="82">
        <v>0.45</v>
      </c>
      <c r="G22" s="16">
        <f>+F22</f>
        <v>0.45</v>
      </c>
      <c r="H22" s="16">
        <f t="shared" ref="H22:J22" si="14">+G22</f>
        <v>0.45</v>
      </c>
      <c r="I22" s="16">
        <f t="shared" si="14"/>
        <v>0.45</v>
      </c>
      <c r="J22" s="16">
        <f t="shared" si="14"/>
        <v>0.45</v>
      </c>
    </row>
    <row r="23" spans="2:11" x14ac:dyDescent="0.3">
      <c r="B23" s="9" t="s">
        <v>12</v>
      </c>
      <c r="C23" s="14">
        <f t="shared" ref="C23" si="15">+C9/C$5</f>
        <v>3.916334919205117E-3</v>
      </c>
      <c r="D23" s="14">
        <f t="shared" si="10"/>
        <v>7.5229769508690621E-3</v>
      </c>
      <c r="E23" s="16">
        <f>+AVERAGE(C23:D23)</f>
        <v>5.71965593503709E-3</v>
      </c>
      <c r="F23" s="16">
        <f t="shared" ref="F23:J23" si="16">+AVERAGE(D23:E23)</f>
        <v>6.6213164429530756E-3</v>
      </c>
      <c r="G23" s="16">
        <f t="shared" si="16"/>
        <v>6.1704861889950828E-3</v>
      </c>
      <c r="H23" s="16">
        <f t="shared" si="16"/>
        <v>6.3959013159740792E-3</v>
      </c>
      <c r="I23" s="16">
        <f t="shared" si="16"/>
        <v>6.283193752484581E-3</v>
      </c>
      <c r="J23" s="16">
        <f t="shared" si="16"/>
        <v>6.3395475342293301E-3</v>
      </c>
    </row>
    <row r="24" spans="2:11" x14ac:dyDescent="0.3">
      <c r="B24" s="9" t="s">
        <v>13</v>
      </c>
      <c r="C24" s="14"/>
      <c r="D24" s="14"/>
    </row>
    <row r="25" spans="2:11" x14ac:dyDescent="0.3">
      <c r="B25" s="9" t="s">
        <v>14</v>
      </c>
      <c r="C25" s="14">
        <f t="shared" ref="C25" si="17">+C11/C$5</f>
        <v>3.4793596988771699E-2</v>
      </c>
      <c r="D25" s="14">
        <f t="shared" si="10"/>
        <v>5.5990293161975992E-2</v>
      </c>
      <c r="E25" s="16">
        <f t="shared" ref="E25:J25" si="18">+AVERAGE(C25:D25)</f>
        <v>4.5391945075373849E-2</v>
      </c>
      <c r="F25" s="16">
        <f t="shared" si="18"/>
        <v>5.0691119118674924E-2</v>
      </c>
      <c r="G25" s="16">
        <f t="shared" si="18"/>
        <v>4.8041532097024386E-2</v>
      </c>
      <c r="H25" s="16">
        <f t="shared" si="18"/>
        <v>4.9366325607849655E-2</v>
      </c>
      <c r="I25" s="16">
        <f t="shared" si="18"/>
        <v>4.8703928852437017E-2</v>
      </c>
      <c r="J25" s="16">
        <f t="shared" si="18"/>
        <v>4.9035127230143333E-2</v>
      </c>
    </row>
    <row r="26" spans="2:11" x14ac:dyDescent="0.3">
      <c r="B26" s="9" t="s">
        <v>15</v>
      </c>
      <c r="C26" s="14"/>
      <c r="D26" s="14"/>
    </row>
    <row r="27" spans="2:11" x14ac:dyDescent="0.3">
      <c r="B27" s="9" t="s">
        <v>16</v>
      </c>
      <c r="C27" s="14">
        <f t="shared" ref="C27" si="19">+C13/C$5</f>
        <v>1.7794709479836274E-2</v>
      </c>
      <c r="D27" s="14">
        <f t="shared" si="10"/>
        <v>0</v>
      </c>
      <c r="E27" s="18">
        <v>0.35</v>
      </c>
      <c r="F27" s="18">
        <v>0.35</v>
      </c>
      <c r="G27" s="18">
        <v>0.35</v>
      </c>
      <c r="H27" s="18">
        <v>0.35</v>
      </c>
      <c r="I27" s="18">
        <v>0.35</v>
      </c>
      <c r="J27" s="18">
        <v>0.35</v>
      </c>
    </row>
    <row r="28" spans="2:11" x14ac:dyDescent="0.3">
      <c r="B28" s="9" t="s">
        <v>17</v>
      </c>
      <c r="C28" s="14"/>
      <c r="D28" s="14"/>
    </row>
    <row r="29" spans="2:11" x14ac:dyDescent="0.3">
      <c r="C29" s="10"/>
      <c r="D29" s="10"/>
      <c r="E29" s="10"/>
      <c r="F29" s="10"/>
      <c r="G29" s="10"/>
      <c r="H29" s="10"/>
      <c r="I29" s="10"/>
      <c r="J29" s="10"/>
      <c r="K29" s="10"/>
    </row>
    <row r="30" spans="2:11" x14ac:dyDescent="0.3">
      <c r="B30" s="9" t="s">
        <v>38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2:11" x14ac:dyDescent="0.3">
      <c r="B31" s="9" t="s">
        <v>35</v>
      </c>
      <c r="C31" s="33">
        <v>1556658</v>
      </c>
      <c r="D31" s="33">
        <v>1556658</v>
      </c>
      <c r="E31" s="10">
        <f>+D31</f>
        <v>1556658</v>
      </c>
      <c r="F31" s="10">
        <f t="shared" ref="F31:J31" si="20">+E31</f>
        <v>1556658</v>
      </c>
      <c r="G31" s="10">
        <f t="shared" si="20"/>
        <v>1556658</v>
      </c>
      <c r="H31" s="10">
        <f t="shared" si="20"/>
        <v>1556658</v>
      </c>
      <c r="I31" s="10">
        <f t="shared" si="20"/>
        <v>1556658</v>
      </c>
      <c r="J31" s="10">
        <f t="shared" si="20"/>
        <v>1556658</v>
      </c>
      <c r="K31" s="10"/>
    </row>
    <row r="32" spans="2:11" x14ac:dyDescent="0.3">
      <c r="B32" s="9" t="s">
        <v>37</v>
      </c>
      <c r="C32" s="10">
        <f>+C11</f>
        <v>32011805</v>
      </c>
      <c r="D32" s="10">
        <f>+D11</f>
        <v>77984134</v>
      </c>
      <c r="E32" s="10">
        <f t="shared" ref="E32:J32" si="21">+E11</f>
        <v>67341799.500942007</v>
      </c>
      <c r="F32" s="10">
        <f t="shared" si="21"/>
        <v>90215400.058535814</v>
      </c>
      <c r="G32" s="10">
        <f t="shared" si="21"/>
        <v>94830772.885556638</v>
      </c>
      <c r="H32" s="10">
        <f t="shared" si="21"/>
        <v>107450110.42400318</v>
      </c>
      <c r="I32" s="10">
        <f t="shared" si="21"/>
        <v>116891701.61215426</v>
      </c>
      <c r="J32" s="10">
        <f t="shared" si="21"/>
        <v>129768896.80965064</v>
      </c>
      <c r="K32" s="10"/>
    </row>
    <row r="33" spans="2:11" x14ac:dyDescent="0.3">
      <c r="B33" s="21" t="s">
        <v>36</v>
      </c>
      <c r="C33" s="20">
        <f>+C32+C31</f>
        <v>33568463</v>
      </c>
      <c r="D33" s="20">
        <f t="shared" ref="D33:J33" si="22">+D32+D31</f>
        <v>79540792</v>
      </c>
      <c r="E33" s="20">
        <f t="shared" si="22"/>
        <v>68898457.500942007</v>
      </c>
      <c r="F33" s="20">
        <f t="shared" si="22"/>
        <v>91772058.058535814</v>
      </c>
      <c r="G33" s="20">
        <f t="shared" si="22"/>
        <v>96387430.885556638</v>
      </c>
      <c r="H33" s="20">
        <f t="shared" si="22"/>
        <v>109006768.42400318</v>
      </c>
      <c r="I33" s="20">
        <f t="shared" si="22"/>
        <v>118448359.61215426</v>
      </c>
      <c r="J33" s="20">
        <f t="shared" si="22"/>
        <v>131325554.80965064</v>
      </c>
      <c r="K33" s="10"/>
    </row>
    <row r="35" spans="2:11" x14ac:dyDescent="0.3">
      <c r="B35" s="9" t="s">
        <v>39</v>
      </c>
    </row>
    <row r="36" spans="2:11" x14ac:dyDescent="0.3">
      <c r="B36" s="9" t="s">
        <v>42</v>
      </c>
      <c r="C36" s="14">
        <f>+C31/BS!C6</f>
        <v>2.1597306761080074E-2</v>
      </c>
      <c r="D36" s="14">
        <f>+D31/BS!D6</f>
        <v>1.718617088770022E-2</v>
      </c>
      <c r="E36" s="16">
        <f>+AVERAGE(C36:D36)</f>
        <v>1.9391738824390145E-2</v>
      </c>
      <c r="F36" s="16">
        <f>+E36</f>
        <v>1.9391738824390145E-2</v>
      </c>
      <c r="G36" s="16">
        <f t="shared" ref="G36:J36" si="23">+F36</f>
        <v>1.9391738824390145E-2</v>
      </c>
      <c r="H36" s="16">
        <f t="shared" si="23"/>
        <v>1.9391738824390145E-2</v>
      </c>
      <c r="I36" s="16">
        <f t="shared" si="23"/>
        <v>1.9391738824390145E-2</v>
      </c>
      <c r="J36" s="16">
        <f t="shared" si="23"/>
        <v>1.9391738824390145E-2</v>
      </c>
    </row>
    <row r="37" spans="2:11" x14ac:dyDescent="0.3">
      <c r="B37" s="9" t="s">
        <v>37</v>
      </c>
      <c r="C37" s="14">
        <f t="shared" ref="C37" si="24">+C32/C$5</f>
        <v>3.4793596988771699E-2</v>
      </c>
      <c r="D37" s="14">
        <f>+D32/D$5</f>
        <v>5.5990293161975992E-2</v>
      </c>
    </row>
    <row r="39" spans="2:11" x14ac:dyDescent="0.3">
      <c r="B39" s="9" t="s">
        <v>41</v>
      </c>
      <c r="C39" s="10">
        <f>+C10</f>
        <v>58925344</v>
      </c>
      <c r="D39" s="10">
        <f>+D10</f>
        <v>-5263551</v>
      </c>
      <c r="E39" s="10">
        <f t="shared" ref="E39:J39" si="25">+E10</f>
        <v>44704805.010372117</v>
      </c>
      <c r="F39" s="10">
        <f t="shared" si="25"/>
        <v>193867413.18327528</v>
      </c>
      <c r="G39" s="10">
        <f t="shared" si="25"/>
        <v>233150665.85025933</v>
      </c>
      <c r="H39" s="10">
        <f t="shared" si="25"/>
        <v>247093692.04232895</v>
      </c>
      <c r="I39" s="10">
        <f t="shared" si="25"/>
        <v>277971275.81750989</v>
      </c>
      <c r="J39" s="10">
        <f t="shared" si="25"/>
        <v>303471548.11552042</v>
      </c>
    </row>
    <row r="40" spans="2:11" x14ac:dyDescent="0.3">
      <c r="B40" s="9" t="str">
        <f>+B36</f>
        <v>Depreciaciones % Activos fijos</v>
      </c>
      <c r="C40" s="10">
        <f>+C31</f>
        <v>1556658</v>
      </c>
      <c r="D40" s="10">
        <f t="shared" ref="D40:J40" si="26">+D31</f>
        <v>1556658</v>
      </c>
      <c r="E40" s="10">
        <f t="shared" si="26"/>
        <v>1556658</v>
      </c>
      <c r="F40" s="10">
        <f t="shared" si="26"/>
        <v>1556658</v>
      </c>
      <c r="G40" s="10">
        <f t="shared" si="26"/>
        <v>1556658</v>
      </c>
      <c r="H40" s="10">
        <f t="shared" si="26"/>
        <v>1556658</v>
      </c>
      <c r="I40" s="10">
        <f t="shared" si="26"/>
        <v>1556658</v>
      </c>
      <c r="J40" s="10">
        <f t="shared" si="26"/>
        <v>1556658</v>
      </c>
    </row>
    <row r="41" spans="2:11" x14ac:dyDescent="0.3">
      <c r="B41" s="9" t="str">
        <f>+B37</f>
        <v>Amortizaciones</v>
      </c>
      <c r="C41" s="10">
        <f>+C32</f>
        <v>32011805</v>
      </c>
      <c r="D41" s="10">
        <f t="shared" ref="D41:J41" si="27">+D32</f>
        <v>77984134</v>
      </c>
      <c r="E41" s="10">
        <f t="shared" si="27"/>
        <v>67341799.500942007</v>
      </c>
      <c r="F41" s="10">
        <f t="shared" si="27"/>
        <v>90215400.058535814</v>
      </c>
      <c r="G41" s="10">
        <f t="shared" si="27"/>
        <v>94830772.885556638</v>
      </c>
      <c r="H41" s="10">
        <f t="shared" si="27"/>
        <v>107450110.42400318</v>
      </c>
      <c r="I41" s="10">
        <f t="shared" si="27"/>
        <v>116891701.61215426</v>
      </c>
      <c r="J41" s="10">
        <f t="shared" si="27"/>
        <v>129768896.80965064</v>
      </c>
    </row>
    <row r="42" spans="2:11" x14ac:dyDescent="0.3">
      <c r="B42" s="21" t="s">
        <v>40</v>
      </c>
      <c r="C42" s="20">
        <f>+C39+C40+C41</f>
        <v>92493807</v>
      </c>
      <c r="D42" s="20">
        <f t="shared" ref="D42:J42" si="28">+D39+D40+D41</f>
        <v>74277241</v>
      </c>
      <c r="E42" s="20">
        <f t="shared" si="28"/>
        <v>113603262.51131412</v>
      </c>
      <c r="F42" s="20">
        <f t="shared" si="28"/>
        <v>285639471.2418111</v>
      </c>
      <c r="G42" s="20">
        <f t="shared" si="28"/>
        <v>329538096.735816</v>
      </c>
      <c r="H42" s="20">
        <f t="shared" si="28"/>
        <v>356100460.46633214</v>
      </c>
      <c r="I42" s="20">
        <f t="shared" si="28"/>
        <v>396419635.42966413</v>
      </c>
      <c r="J42" s="20">
        <f t="shared" si="28"/>
        <v>434797102.92517108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FB8-69D9-422C-A6E1-4F6A195AFA66}">
  <dimension ref="B1:J20"/>
  <sheetViews>
    <sheetView workbookViewId="0">
      <selection activeCell="B1" sqref="B1"/>
    </sheetView>
  </sheetViews>
  <sheetFormatPr defaultRowHeight="14.4" x14ac:dyDescent="0.3"/>
  <cols>
    <col min="1" max="1" width="2" style="9" customWidth="1"/>
    <col min="2" max="2" width="18.44140625" style="9" bestFit="1" customWidth="1"/>
    <col min="3" max="10" width="12.5546875" style="9" bestFit="1" customWidth="1"/>
    <col min="11" max="16384" width="8.88671875" style="9"/>
  </cols>
  <sheetData>
    <row r="1" spans="2:10" ht="18" x14ac:dyDescent="0.35">
      <c r="B1" s="80" t="s">
        <v>31</v>
      </c>
    </row>
    <row r="3" spans="2:10" x14ac:dyDescent="0.3">
      <c r="D3" s="12"/>
    </row>
    <row r="4" spans="2:10" x14ac:dyDescent="0.3">
      <c r="B4" s="48" t="s">
        <v>47</v>
      </c>
      <c r="C4" s="48" t="s">
        <v>8</v>
      </c>
      <c r="D4" s="48" t="s">
        <v>7</v>
      </c>
      <c r="E4" s="48" t="s">
        <v>18</v>
      </c>
      <c r="F4" s="48" t="s">
        <v>19</v>
      </c>
      <c r="G4" s="48" t="s">
        <v>20</v>
      </c>
      <c r="H4" s="48" t="s">
        <v>21</v>
      </c>
      <c r="I4" s="48" t="s">
        <v>22</v>
      </c>
      <c r="J4" s="48" t="s">
        <v>23</v>
      </c>
    </row>
    <row r="5" spans="2:10" x14ac:dyDescent="0.3">
      <c r="B5" s="9" t="s">
        <v>24</v>
      </c>
      <c r="C5" s="11">
        <v>96023606</v>
      </c>
      <c r="D5" s="11">
        <v>111867928</v>
      </c>
      <c r="E5" s="10">
        <f>+D5*(1+E$14)</f>
        <v>119156573.58576947</v>
      </c>
      <c r="F5" s="10">
        <f t="shared" ref="F5:J5" si="0">+E5*(1+F$14)</f>
        <v>142942338.21479845</v>
      </c>
      <c r="G5" s="10">
        <f t="shared" si="0"/>
        <v>158542069.53521216</v>
      </c>
      <c r="H5" s="10">
        <f t="shared" si="0"/>
        <v>174818803.96996176</v>
      </c>
      <c r="I5" s="10">
        <f t="shared" si="0"/>
        <v>192766590.66633534</v>
      </c>
      <c r="J5" s="10">
        <f t="shared" si="0"/>
        <v>212556988.34038082</v>
      </c>
    </row>
    <row r="6" spans="2:10" x14ac:dyDescent="0.3">
      <c r="B6" s="9" t="s">
        <v>25</v>
      </c>
      <c r="C6" s="11">
        <v>72076487</v>
      </c>
      <c r="D6" s="11">
        <v>90576197</v>
      </c>
      <c r="E6" s="10">
        <f t="shared" ref="E6:J6" si="1">+D6*(1+E$14)</f>
        <v>96477600.648415089</v>
      </c>
      <c r="F6" s="10">
        <f t="shared" si="1"/>
        <v>115736240.20089307</v>
      </c>
      <c r="G6" s="10">
        <f t="shared" si="1"/>
        <v>128366887.45150506</v>
      </c>
      <c r="H6" s="10">
        <f t="shared" si="1"/>
        <v>141545684.36887142</v>
      </c>
      <c r="I6" s="10">
        <f t="shared" si="1"/>
        <v>156077483.54123753</v>
      </c>
      <c r="J6" s="10">
        <f t="shared" si="1"/>
        <v>172101191.05491102</v>
      </c>
    </row>
    <row r="7" spans="2:10" x14ac:dyDescent="0.3">
      <c r="B7" s="21" t="s">
        <v>26</v>
      </c>
      <c r="C7" s="19">
        <v>168100093</v>
      </c>
      <c r="D7" s="19">
        <v>202444125</v>
      </c>
      <c r="E7" s="20">
        <f>+E6+E5</f>
        <v>215634174.23418456</v>
      </c>
      <c r="F7" s="20">
        <f t="shared" ref="F7:J7" si="2">+F6+F5</f>
        <v>258678578.41569152</v>
      </c>
      <c r="G7" s="20">
        <f t="shared" si="2"/>
        <v>286908956.98671722</v>
      </c>
      <c r="H7" s="20">
        <f t="shared" si="2"/>
        <v>316364488.33883321</v>
      </c>
      <c r="I7" s="20">
        <f t="shared" si="2"/>
        <v>348844074.20757288</v>
      </c>
      <c r="J7" s="20">
        <f t="shared" si="2"/>
        <v>384658179.39529181</v>
      </c>
    </row>
    <row r="8" spans="2:10" x14ac:dyDescent="0.3">
      <c r="B8" s="9" t="s">
        <v>27</v>
      </c>
      <c r="C8" s="11">
        <v>72263489</v>
      </c>
      <c r="D8" s="11">
        <v>185001855</v>
      </c>
      <c r="E8" s="10">
        <f t="shared" ref="E8:J8" si="3">+D8*(1+E$14)</f>
        <v>197055470.16845933</v>
      </c>
      <c r="F8" s="10">
        <f t="shared" si="3"/>
        <v>236391235.63435537</v>
      </c>
      <c r="G8" s="10">
        <f t="shared" si="3"/>
        <v>262189328.82669672</v>
      </c>
      <c r="H8" s="10">
        <f t="shared" si="3"/>
        <v>289107017.5477308</v>
      </c>
      <c r="I8" s="10">
        <f t="shared" si="3"/>
        <v>318788212.96571898</v>
      </c>
      <c r="J8" s="10">
        <f t="shared" si="3"/>
        <v>351516630.71996665</v>
      </c>
    </row>
    <row r="9" spans="2:10" x14ac:dyDescent="0.3">
      <c r="B9" s="9" t="s">
        <v>28</v>
      </c>
      <c r="C9" s="11">
        <v>185108</v>
      </c>
      <c r="D9" s="11">
        <v>5038459</v>
      </c>
      <c r="E9" s="10">
        <f t="shared" ref="E9:J9" si="4">+D9*(1+E$14)</f>
        <v>5366734.875007093</v>
      </c>
      <c r="F9" s="10">
        <f t="shared" si="4"/>
        <v>6438030.3035504073</v>
      </c>
      <c r="G9" s="10">
        <f t="shared" si="4"/>
        <v>7140632.095450229</v>
      </c>
      <c r="H9" s="10">
        <f t="shared" si="4"/>
        <v>7873725.6690021949</v>
      </c>
      <c r="I9" s="10">
        <f t="shared" si="4"/>
        <v>8682082.3537744712</v>
      </c>
      <c r="J9" s="10">
        <f t="shared" si="4"/>
        <v>9573429.0431882013</v>
      </c>
    </row>
    <row r="10" spans="2:10" x14ac:dyDescent="0.3">
      <c r="B10" s="21" t="s">
        <v>29</v>
      </c>
      <c r="C10" s="19">
        <v>72448597</v>
      </c>
      <c r="D10" s="19">
        <v>190040314</v>
      </c>
      <c r="E10" s="20">
        <f>+E9+E8</f>
        <v>202422205.04346642</v>
      </c>
      <c r="F10" s="20">
        <f t="shared" ref="F10:J10" si="5">+F9+F8</f>
        <v>242829265.93790579</v>
      </c>
      <c r="G10" s="20">
        <f t="shared" si="5"/>
        <v>269329960.92214698</v>
      </c>
      <c r="H10" s="20">
        <f t="shared" si="5"/>
        <v>296980743.21673298</v>
      </c>
      <c r="I10" s="20">
        <f t="shared" si="5"/>
        <v>327470295.31949347</v>
      </c>
      <c r="J10" s="20">
        <f t="shared" si="5"/>
        <v>361090059.76315486</v>
      </c>
    </row>
    <row r="11" spans="2:10" x14ac:dyDescent="0.3">
      <c r="B11" s="9" t="s">
        <v>30</v>
      </c>
      <c r="C11" s="11">
        <v>95651496</v>
      </c>
      <c r="D11" s="11">
        <v>12403811</v>
      </c>
      <c r="E11" s="10">
        <f>+E7-E10</f>
        <v>13211969.190718144</v>
      </c>
      <c r="F11" s="10">
        <f t="shared" ref="F11:J11" si="6">+F7-F10</f>
        <v>15849312.477785736</v>
      </c>
      <c r="G11" s="10">
        <f t="shared" si="6"/>
        <v>17578996.064570248</v>
      </c>
      <c r="H11" s="10">
        <f t="shared" si="6"/>
        <v>19383745.122100234</v>
      </c>
      <c r="I11" s="10">
        <f t="shared" si="6"/>
        <v>21373778.888079405</v>
      </c>
      <c r="J11" s="10">
        <f t="shared" si="6"/>
        <v>23568119.632136941</v>
      </c>
    </row>
    <row r="13" spans="2:10" x14ac:dyDescent="0.3">
      <c r="B13" s="9" t="s">
        <v>43</v>
      </c>
    </row>
    <row r="14" spans="2:10" x14ac:dyDescent="0.3">
      <c r="B14" s="9" t="s">
        <v>24</v>
      </c>
      <c r="E14" s="22">
        <f>+IS!E15</f>
        <v>6.5154023285114215E-2</v>
      </c>
      <c r="F14" s="22">
        <f>+IS!F15</f>
        <v>0.19961772912098596</v>
      </c>
      <c r="G14" s="22">
        <f>+IS!G15</f>
        <v>0.10913303584674883</v>
      </c>
      <c r="H14" s="22">
        <f>+IS!H15</f>
        <v>0.10266508115143869</v>
      </c>
      <c r="I14" s="22">
        <f>+IS!I15</f>
        <v>0.10266508115143869</v>
      </c>
      <c r="J14" s="22">
        <f>+IS!J15</f>
        <v>0.10266508115143869</v>
      </c>
    </row>
    <row r="15" spans="2:10" x14ac:dyDescent="0.3">
      <c r="B15" s="9" t="s">
        <v>25</v>
      </c>
    </row>
    <row r="16" spans="2:10" x14ac:dyDescent="0.3">
      <c r="B16" s="21" t="s">
        <v>26</v>
      </c>
    </row>
    <row r="17" spans="2:2" x14ac:dyDescent="0.3">
      <c r="B17" s="9" t="s">
        <v>27</v>
      </c>
    </row>
    <row r="18" spans="2:2" x14ac:dyDescent="0.3">
      <c r="B18" s="9" t="s">
        <v>28</v>
      </c>
    </row>
    <row r="19" spans="2:2" x14ac:dyDescent="0.3">
      <c r="B19" s="9" t="s">
        <v>29</v>
      </c>
    </row>
    <row r="20" spans="2:2" x14ac:dyDescent="0.3">
      <c r="B20" s="9" t="s">
        <v>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02B8-38B1-4B53-AFCB-AAA416599912}">
  <dimension ref="B1:L52"/>
  <sheetViews>
    <sheetView topLeftCell="A21" workbookViewId="0">
      <selection activeCell="B1" sqref="B1"/>
    </sheetView>
  </sheetViews>
  <sheetFormatPr defaultRowHeight="14.4" outlineLevelCol="1" x14ac:dyDescent="0.3"/>
  <cols>
    <col min="1" max="1" width="2" style="9" customWidth="1"/>
    <col min="2" max="2" width="32.77734375" style="9" bestFit="1" customWidth="1"/>
    <col min="3" max="3" width="16.88671875" style="9" customWidth="1" outlineLevel="1"/>
    <col min="4" max="4" width="10.5546875" style="9" bestFit="1" customWidth="1"/>
    <col min="5" max="5" width="11.109375" style="9" bestFit="1" customWidth="1"/>
    <col min="6" max="6" width="19.109375" style="9" bestFit="1" customWidth="1"/>
    <col min="7" max="10" width="11.77734375" style="9" bestFit="1" customWidth="1"/>
    <col min="11" max="12" width="12.6640625" style="9" bestFit="1" customWidth="1"/>
    <col min="13" max="16384" width="8.88671875" style="9"/>
  </cols>
  <sheetData>
    <row r="1" spans="2:11" ht="18" x14ac:dyDescent="0.35">
      <c r="B1" s="80" t="s">
        <v>61</v>
      </c>
    </row>
    <row r="4" spans="2:11" x14ac:dyDescent="0.3">
      <c r="B4" s="41" t="s">
        <v>43</v>
      </c>
      <c r="C4" s="41"/>
      <c r="D4" s="41"/>
      <c r="E4" s="41"/>
      <c r="F4" s="41"/>
      <c r="G4" s="41"/>
      <c r="H4" s="41"/>
      <c r="I4" s="41"/>
      <c r="J4" s="41"/>
      <c r="K4" s="41"/>
    </row>
    <row r="5" spans="2:11" x14ac:dyDescent="0.3">
      <c r="B5" s="41" t="s">
        <v>62</v>
      </c>
      <c r="C5" s="41"/>
      <c r="D5" s="54">
        <v>0.35</v>
      </c>
      <c r="E5" s="43"/>
      <c r="F5" s="41" t="s">
        <v>63</v>
      </c>
      <c r="G5" s="41"/>
      <c r="H5" s="57">
        <v>6.8699999999999997E-2</v>
      </c>
      <c r="I5" s="81" t="s">
        <v>64</v>
      </c>
      <c r="J5" s="81"/>
      <c r="K5" s="57">
        <v>0.03</v>
      </c>
    </row>
    <row r="6" spans="2:11" x14ac:dyDescent="0.3">
      <c r="B6" s="41" t="s">
        <v>65</v>
      </c>
      <c r="C6" s="41"/>
      <c r="D6" s="55">
        <v>1</v>
      </c>
      <c r="E6" s="43"/>
      <c r="F6" s="41" t="s">
        <v>66</v>
      </c>
      <c r="G6" s="41"/>
      <c r="H6" s="57">
        <v>4.7899999999999998E-2</v>
      </c>
      <c r="I6" s="81" t="s">
        <v>67</v>
      </c>
      <c r="J6" s="81"/>
      <c r="K6" s="57">
        <v>0.08</v>
      </c>
    </row>
    <row r="7" spans="2:11" x14ac:dyDescent="0.3">
      <c r="B7" s="41" t="s">
        <v>68</v>
      </c>
      <c r="C7" s="41"/>
      <c r="D7" s="55">
        <v>0</v>
      </c>
      <c r="E7" s="43"/>
      <c r="F7" s="41" t="s">
        <v>69</v>
      </c>
      <c r="G7" s="41"/>
      <c r="H7" s="57">
        <v>2.5000000000000001E-2</v>
      </c>
      <c r="I7" s="43"/>
      <c r="J7" s="41"/>
      <c r="K7" s="41"/>
    </row>
    <row r="8" spans="2:11" x14ac:dyDescent="0.3">
      <c r="B8" s="41" t="s">
        <v>70</v>
      </c>
      <c r="C8" s="41"/>
      <c r="D8" s="56" t="s">
        <v>85</v>
      </c>
      <c r="E8" s="43"/>
      <c r="F8" s="41" t="s">
        <v>71</v>
      </c>
      <c r="G8" s="41"/>
      <c r="H8" s="57">
        <v>1.89E-2</v>
      </c>
      <c r="I8" s="43"/>
      <c r="J8" s="41"/>
      <c r="K8" s="41"/>
    </row>
    <row r="9" spans="2:11" x14ac:dyDescent="0.3"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2:11" x14ac:dyDescent="0.3"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2:11" x14ac:dyDescent="0.3">
      <c r="B11" s="43"/>
      <c r="C11" s="43"/>
      <c r="D11" s="43"/>
      <c r="E11" s="49"/>
      <c r="F11" s="43"/>
      <c r="G11" s="43"/>
      <c r="H11" s="43"/>
      <c r="I11" s="43"/>
      <c r="J11" s="43"/>
      <c r="K11" s="43"/>
    </row>
    <row r="12" spans="2:11" x14ac:dyDescent="0.3">
      <c r="B12" s="50" t="s">
        <v>72</v>
      </c>
      <c r="C12" s="50" t="s">
        <v>73</v>
      </c>
      <c r="D12" s="50" t="s">
        <v>74</v>
      </c>
      <c r="E12" s="50"/>
      <c r="F12" s="43"/>
      <c r="G12" s="43"/>
      <c r="H12" s="43"/>
      <c r="I12" s="43"/>
      <c r="J12" s="43"/>
      <c r="K12" s="43"/>
    </row>
    <row r="13" spans="2:11" x14ac:dyDescent="0.3">
      <c r="B13" s="43" t="s">
        <v>75</v>
      </c>
      <c r="C13" s="43" t="s">
        <v>76</v>
      </c>
      <c r="D13" s="51">
        <f>+H6+H8</f>
        <v>6.6799999999999998E-2</v>
      </c>
      <c r="E13" s="43"/>
      <c r="F13" s="43"/>
      <c r="G13" s="43"/>
      <c r="H13" s="43"/>
      <c r="I13" s="43"/>
      <c r="J13" s="43"/>
      <c r="K13" s="43"/>
    </row>
    <row r="14" spans="2:11" x14ac:dyDescent="0.3">
      <c r="B14" s="43" t="s">
        <v>77</v>
      </c>
      <c r="C14" s="43"/>
      <c r="D14" s="52">
        <f>+D6*(1+(1-D5)*D7)</f>
        <v>1</v>
      </c>
      <c r="E14" s="43"/>
      <c r="F14" s="43"/>
      <c r="G14" s="43"/>
      <c r="H14" s="43"/>
      <c r="I14" s="43"/>
      <c r="J14" s="43"/>
      <c r="K14" s="43"/>
    </row>
    <row r="15" spans="2:11" x14ac:dyDescent="0.3">
      <c r="B15" s="43" t="s">
        <v>78</v>
      </c>
      <c r="C15" s="43"/>
      <c r="D15" s="51">
        <f>+D14*H5+H6+H7</f>
        <v>0.1416</v>
      </c>
      <c r="E15" s="43"/>
      <c r="F15" s="43"/>
      <c r="G15" s="43"/>
      <c r="H15" s="43"/>
      <c r="I15" s="43"/>
      <c r="J15" s="43"/>
      <c r="K15" s="43"/>
    </row>
    <row r="16" spans="2:11" x14ac:dyDescent="0.3">
      <c r="B16" s="43" t="s">
        <v>79</v>
      </c>
      <c r="C16" s="43" t="s">
        <v>80</v>
      </c>
      <c r="D16" s="52">
        <f>1/(1+D7)</f>
        <v>1</v>
      </c>
      <c r="E16" s="43"/>
      <c r="F16" s="43"/>
      <c r="G16" s="43"/>
      <c r="H16" s="43"/>
      <c r="I16" s="43"/>
      <c r="J16" s="43"/>
      <c r="K16" s="43"/>
    </row>
    <row r="17" spans="2:12" x14ac:dyDescent="0.3">
      <c r="B17" s="43" t="s">
        <v>81</v>
      </c>
      <c r="C17" s="43"/>
      <c r="D17" s="52">
        <f>1-D16</f>
        <v>0</v>
      </c>
      <c r="E17" s="43"/>
      <c r="F17" s="43"/>
      <c r="G17" s="43"/>
      <c r="H17" s="43"/>
      <c r="I17" s="43"/>
      <c r="J17" s="43"/>
      <c r="K17" s="43"/>
    </row>
    <row r="18" spans="2:12" x14ac:dyDescent="0.3">
      <c r="B18" s="43" t="s">
        <v>72</v>
      </c>
      <c r="C18" s="43"/>
      <c r="D18" s="53">
        <f>+D15*D16+D13*(1-D5)*D17</f>
        <v>0.1416</v>
      </c>
      <c r="E18" s="43"/>
      <c r="F18" s="43"/>
      <c r="G18" s="43"/>
      <c r="H18" s="43"/>
      <c r="I18" s="43"/>
      <c r="J18" s="43"/>
      <c r="K18" s="43"/>
    </row>
    <row r="24" spans="2:12" x14ac:dyDescent="0.3">
      <c r="B24" s="48" t="s">
        <v>47</v>
      </c>
      <c r="C24" s="48">
        <v>2021</v>
      </c>
      <c r="D24" s="48" t="s">
        <v>8</v>
      </c>
      <c r="E24" s="48" t="s">
        <v>7</v>
      </c>
      <c r="F24" s="48" t="s">
        <v>18</v>
      </c>
      <c r="G24" s="48" t="s">
        <v>19</v>
      </c>
      <c r="H24" s="48" t="s">
        <v>20</v>
      </c>
      <c r="I24" s="48" t="s">
        <v>21</v>
      </c>
      <c r="J24" s="48" t="s">
        <v>22</v>
      </c>
      <c r="K24" s="48" t="s">
        <v>23</v>
      </c>
      <c r="L24" s="38" t="s">
        <v>50</v>
      </c>
    </row>
    <row r="25" spans="2:12" x14ac:dyDescent="0.3">
      <c r="B25" s="39"/>
      <c r="D25" s="39"/>
      <c r="E25" s="39"/>
      <c r="F25" s="40"/>
      <c r="G25" s="40"/>
      <c r="H25" s="40"/>
      <c r="I25" s="40"/>
      <c r="J25" s="40"/>
      <c r="K25" s="40"/>
      <c r="L25" s="40"/>
    </row>
    <row r="26" spans="2:12" x14ac:dyDescent="0.3">
      <c r="B26" s="9" t="s">
        <v>41</v>
      </c>
      <c r="D26" s="44">
        <f>+IS!C10</f>
        <v>58925344</v>
      </c>
      <c r="E26" s="44">
        <f>+IS!D10</f>
        <v>-5263551</v>
      </c>
      <c r="F26" s="44">
        <f>+IS!E10</f>
        <v>44704805.010372117</v>
      </c>
      <c r="G26" s="44">
        <f>+IS!F10</f>
        <v>193867413.18327528</v>
      </c>
      <c r="H26" s="44">
        <f>+IS!G10</f>
        <v>233150665.85025933</v>
      </c>
      <c r="I26" s="44">
        <f>+IS!H10</f>
        <v>247093692.04232895</v>
      </c>
      <c r="J26" s="44">
        <f>+IS!I10</f>
        <v>277971275.81750989</v>
      </c>
      <c r="K26" s="44">
        <f>+IS!J10</f>
        <v>303471548.11552042</v>
      </c>
      <c r="L26" s="44"/>
    </row>
    <row r="27" spans="2:12" x14ac:dyDescent="0.3">
      <c r="B27" s="9" t="s">
        <v>51</v>
      </c>
      <c r="D27" s="43"/>
      <c r="E27" s="43"/>
      <c r="F27" s="44">
        <f>+F26*$D$5</f>
        <v>15646681.75363024</v>
      </c>
      <c r="G27" s="44">
        <f t="shared" ref="G27:K27" si="0">+G26*$D$5</f>
        <v>67853594.614146352</v>
      </c>
      <c r="H27" s="44">
        <f t="shared" si="0"/>
        <v>81602733.047590762</v>
      </c>
      <c r="I27" s="44">
        <f t="shared" si="0"/>
        <v>86482792.214815125</v>
      </c>
      <c r="J27" s="44">
        <f t="shared" si="0"/>
        <v>97289946.536128461</v>
      </c>
      <c r="K27" s="44">
        <f t="shared" si="0"/>
        <v>106215041.84043214</v>
      </c>
      <c r="L27" s="43"/>
    </row>
    <row r="28" spans="2:12" x14ac:dyDescent="0.3">
      <c r="B28" s="9" t="s">
        <v>52</v>
      </c>
      <c r="D28" s="43"/>
      <c r="E28" s="43"/>
      <c r="F28" s="46">
        <f>+F26-F27</f>
        <v>29058123.256741878</v>
      </c>
      <c r="G28" s="46">
        <f t="shared" ref="G28:K28" si="1">+G26-G27</f>
        <v>126013818.56912893</v>
      </c>
      <c r="H28" s="46">
        <f t="shared" si="1"/>
        <v>151547932.80266857</v>
      </c>
      <c r="I28" s="46">
        <f t="shared" si="1"/>
        <v>160610899.82751381</v>
      </c>
      <c r="J28" s="46">
        <f t="shared" si="1"/>
        <v>180681329.28138143</v>
      </c>
      <c r="K28" s="46">
        <f t="shared" si="1"/>
        <v>197256506.27508828</v>
      </c>
      <c r="L28" s="46">
        <f>+K28*(1+K5)</f>
        <v>203174201.46334094</v>
      </c>
    </row>
    <row r="29" spans="2:12" x14ac:dyDescent="0.3">
      <c r="B29" s="9" t="s">
        <v>53</v>
      </c>
      <c r="D29" s="43"/>
      <c r="E29" s="44">
        <f>+BS!D6-BS!D9</f>
        <v>85537738</v>
      </c>
      <c r="F29" s="44">
        <f>+BS!E6-BS!E9</f>
        <v>91110865.773407996</v>
      </c>
      <c r="G29" s="44">
        <f>+BS!F6-BS!F9</f>
        <v>109298209.89734267</v>
      </c>
      <c r="H29" s="44">
        <f>+BS!G6-BS!G9</f>
        <v>121226255.35605484</v>
      </c>
      <c r="I29" s="44">
        <f>+BS!H6-BS!H9</f>
        <v>133671958.69986923</v>
      </c>
      <c r="J29" s="44">
        <f>+BS!I6-BS!I9</f>
        <v>147395401.18746307</v>
      </c>
      <c r="K29" s="44">
        <f>+BS!J6-BS!J9</f>
        <v>162527762.0117228</v>
      </c>
      <c r="L29" s="44"/>
    </row>
    <row r="30" spans="2:12" x14ac:dyDescent="0.3">
      <c r="B30" s="9" t="s">
        <v>54</v>
      </c>
      <c r="D30" s="43"/>
      <c r="E30" s="43"/>
      <c r="F30" s="44">
        <f t="shared" ref="F30:K30" si="2">+F29-E29</f>
        <v>5573127.7734079957</v>
      </c>
      <c r="G30" s="44">
        <f t="shared" si="2"/>
        <v>18187344.123934671</v>
      </c>
      <c r="H30" s="44">
        <f t="shared" si="2"/>
        <v>11928045.458712175</v>
      </c>
      <c r="I30" s="44">
        <f t="shared" si="2"/>
        <v>12445703.343814388</v>
      </c>
      <c r="J30" s="44">
        <f t="shared" si="2"/>
        <v>13723442.487593845</v>
      </c>
      <c r="K30" s="44">
        <f t="shared" si="2"/>
        <v>15132360.824259728</v>
      </c>
      <c r="L30" s="44"/>
    </row>
    <row r="31" spans="2:12" x14ac:dyDescent="0.3">
      <c r="B31" s="9" t="s">
        <v>55</v>
      </c>
      <c r="D31" s="43"/>
      <c r="E31" s="43"/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44"/>
    </row>
    <row r="32" spans="2:12" x14ac:dyDescent="0.3">
      <c r="B32" s="9" t="s">
        <v>56</v>
      </c>
      <c r="D32" s="43"/>
      <c r="E32" s="43"/>
      <c r="F32" s="44">
        <f>+IS!E40</f>
        <v>1556658</v>
      </c>
      <c r="G32" s="44">
        <f>+IS!F40</f>
        <v>1556658</v>
      </c>
      <c r="H32" s="44">
        <f>+IS!G40</f>
        <v>1556658</v>
      </c>
      <c r="I32" s="44">
        <f>+IS!H40</f>
        <v>1556658</v>
      </c>
      <c r="J32" s="44">
        <f>+IS!I40</f>
        <v>1556658</v>
      </c>
      <c r="K32" s="44">
        <f>+IS!J40</f>
        <v>1556658</v>
      </c>
      <c r="L32" s="44"/>
    </row>
    <row r="33" spans="2:12" x14ac:dyDescent="0.3">
      <c r="B33" s="9" t="s">
        <v>57</v>
      </c>
      <c r="D33" s="43"/>
      <c r="E33" s="43"/>
      <c r="F33" s="44">
        <f>+(BS!E5-BS!D5)+IS!E31</f>
        <v>8845303.5857694745</v>
      </c>
      <c r="G33" s="44">
        <f>+(BS!F5-BS!E5)+IS!F31</f>
        <v>25342422.629028976</v>
      </c>
      <c r="H33" s="44">
        <f>+(BS!G5-BS!F5)+IS!G31</f>
        <v>17156389.320413709</v>
      </c>
      <c r="I33" s="44">
        <f>+(BS!H5-BS!G5)+IS!H31</f>
        <v>17833392.434749603</v>
      </c>
      <c r="J33" s="44">
        <f>+(BS!I5-BS!H5)+IS!I31</f>
        <v>19504444.696373582</v>
      </c>
      <c r="K33" s="44">
        <f>+(BS!J5-BS!I5)+IS!J31</f>
        <v>21347055.674045473</v>
      </c>
      <c r="L33" s="44"/>
    </row>
    <row r="34" spans="2:12" x14ac:dyDescent="0.3">
      <c r="B34" s="9" t="s">
        <v>58</v>
      </c>
      <c r="C34" s="59">
        <f>-20000000/(1/5*1/3)</f>
        <v>-300000000</v>
      </c>
      <c r="D34" s="46">
        <f t="shared" ref="D34:F34" si="3">+D28-D30+D31+D32-D33</f>
        <v>0</v>
      </c>
      <c r="E34" s="46">
        <f t="shared" si="3"/>
        <v>0</v>
      </c>
      <c r="F34" s="46">
        <f t="shared" si="3"/>
        <v>16196349.897564407</v>
      </c>
      <c r="G34" s="46">
        <f>+G28-G30+G31+G32-G33</f>
        <v>84040709.816165283</v>
      </c>
      <c r="H34" s="46">
        <f t="shared" ref="H34:K34" si="4">+H28-H30+H31+H32-H33</f>
        <v>124020156.0235427</v>
      </c>
      <c r="I34" s="46">
        <f t="shared" si="4"/>
        <v>131888462.04894984</v>
      </c>
      <c r="J34" s="46">
        <f t="shared" si="4"/>
        <v>149010100.09741402</v>
      </c>
      <c r="K34" s="46">
        <f t="shared" si="4"/>
        <v>162333747.77678308</v>
      </c>
      <c r="L34" s="46">
        <f>+L28*(1-(K5/K6))/(D18-K5)</f>
        <v>1137848350.4891405</v>
      </c>
    </row>
    <row r="35" spans="2:12" x14ac:dyDescent="0.3">
      <c r="B35" s="9" t="s">
        <v>59</v>
      </c>
      <c r="D35" s="43"/>
      <c r="E35" s="43"/>
      <c r="F35" s="43"/>
      <c r="G35" s="47">
        <f>1/(1+D18)</f>
        <v>0.87596355991590757</v>
      </c>
      <c r="H35" s="47">
        <f>+G35*$G$35</f>
        <v>0.76731215830054977</v>
      </c>
      <c r="I35" s="47">
        <f>+H35*$G$35</f>
        <v>0.67213748975170795</v>
      </c>
      <c r="J35" s="47">
        <f>+I35*$G$35</f>
        <v>0.58876794827584789</v>
      </c>
      <c r="K35" s="47">
        <f>+J35*$G$35</f>
        <v>0.5157392679360967</v>
      </c>
      <c r="L35" s="47">
        <f>+K35</f>
        <v>0.5157392679360967</v>
      </c>
    </row>
    <row r="36" spans="2:12" x14ac:dyDescent="0.3">
      <c r="B36" s="9" t="s">
        <v>60</v>
      </c>
      <c r="D36" s="45"/>
      <c r="E36" s="45"/>
      <c r="F36" s="45"/>
      <c r="G36" s="46">
        <f t="shared" ref="G36:L36" si="5">+G35*G34</f>
        <v>73616599.348427907</v>
      </c>
      <c r="H36" s="46">
        <f t="shared" si="5"/>
        <v>95162173.591195479</v>
      </c>
      <c r="I36" s="46">
        <f t="shared" si="5"/>
        <v>88647179.808794543</v>
      </c>
      <c r="J36" s="46">
        <f t="shared" si="5"/>
        <v>87732370.90673317</v>
      </c>
      <c r="K36" s="46">
        <f t="shared" si="5"/>
        <v>83721888.239721075</v>
      </c>
      <c r="L36" s="46">
        <f t="shared" si="5"/>
        <v>586833075.30356455</v>
      </c>
    </row>
    <row r="38" spans="2:12" x14ac:dyDescent="0.3">
      <c r="B38" s="61" t="s">
        <v>91</v>
      </c>
      <c r="C38" s="62">
        <v>4400</v>
      </c>
      <c r="D38" s="63" t="s">
        <v>90</v>
      </c>
    </row>
    <row r="39" spans="2:12" x14ac:dyDescent="0.3">
      <c r="B39" s="64" t="s">
        <v>93</v>
      </c>
      <c r="C39" s="46">
        <f>+SUM(G36:L36)</f>
        <v>1015713287.1984367</v>
      </c>
      <c r="D39" s="65">
        <f>+C39/$C$38</f>
        <v>230843.92890873563</v>
      </c>
    </row>
    <row r="40" spans="2:12" x14ac:dyDescent="0.3">
      <c r="B40" s="64" t="s">
        <v>48</v>
      </c>
      <c r="C40" s="44">
        <v>0</v>
      </c>
      <c r="D40" s="66">
        <v>0</v>
      </c>
    </row>
    <row r="41" spans="2:12" x14ac:dyDescent="0.3">
      <c r="B41" s="64" t="s">
        <v>83</v>
      </c>
      <c r="C41" s="44">
        <v>0</v>
      </c>
      <c r="D41" s="66">
        <v>0</v>
      </c>
    </row>
    <row r="42" spans="2:12" x14ac:dyDescent="0.3">
      <c r="B42" s="67" t="s">
        <v>84</v>
      </c>
      <c r="C42" s="46">
        <f>+C39+C40+C41</f>
        <v>1015713287.1984367</v>
      </c>
      <c r="D42" s="65">
        <f>+D39+D40+D41</f>
        <v>230843.92890873563</v>
      </c>
    </row>
    <row r="43" spans="2:12" x14ac:dyDescent="0.3">
      <c r="B43" s="68"/>
      <c r="D43" s="66"/>
    </row>
    <row r="44" spans="2:12" x14ac:dyDescent="0.3">
      <c r="B44" s="68" t="s">
        <v>86</v>
      </c>
      <c r="C44" s="69">
        <v>7</v>
      </c>
      <c r="D44" s="70">
        <f>+C44</f>
        <v>7</v>
      </c>
    </row>
    <row r="45" spans="2:12" x14ac:dyDescent="0.3">
      <c r="B45" s="68" t="s">
        <v>87</v>
      </c>
      <c r="C45" s="10">
        <f>+IS!F42</f>
        <v>285639471.2418111</v>
      </c>
      <c r="D45" s="71">
        <f>+C45/C38</f>
        <v>64918.061645866161</v>
      </c>
    </row>
    <row r="46" spans="2:12" x14ac:dyDescent="0.3">
      <c r="B46" s="72" t="s">
        <v>82</v>
      </c>
      <c r="C46" s="46">
        <f>+C45*C44</f>
        <v>1999476298.6926777</v>
      </c>
      <c r="D46" s="65">
        <f>+C46/C38</f>
        <v>454426.43152106315</v>
      </c>
    </row>
    <row r="47" spans="2:12" x14ac:dyDescent="0.3">
      <c r="B47" s="68"/>
      <c r="D47" s="66"/>
    </row>
    <row r="48" spans="2:12" x14ac:dyDescent="0.3">
      <c r="B48" s="68" t="s">
        <v>92</v>
      </c>
      <c r="C48" s="73">
        <f>+C34</f>
        <v>-300000000</v>
      </c>
      <c r="D48" s="74">
        <f>+C48/$C$38</f>
        <v>-68181.818181818177</v>
      </c>
      <c r="E48" s="60">
        <v>44561</v>
      </c>
    </row>
    <row r="49" spans="2:5" x14ac:dyDescent="0.3">
      <c r="B49" s="68" t="s">
        <v>82</v>
      </c>
      <c r="C49" s="10">
        <f>+C46</f>
        <v>1999476298.6926777</v>
      </c>
      <c r="D49" s="71">
        <f>+C49/$C$38</f>
        <v>454426.43152106315</v>
      </c>
      <c r="E49" s="60">
        <v>47483</v>
      </c>
    </row>
    <row r="50" spans="2:5" x14ac:dyDescent="0.3">
      <c r="B50" s="68"/>
      <c r="D50" s="66"/>
    </row>
    <row r="51" spans="2:5" x14ac:dyDescent="0.3">
      <c r="B51" s="72" t="s">
        <v>88</v>
      </c>
      <c r="C51" s="75">
        <f>+IRR(C34:L34)</f>
        <v>0.26614973525058172</v>
      </c>
      <c r="D51" s="76">
        <f>+C51</f>
        <v>0.26614973525058172</v>
      </c>
    </row>
    <row r="52" spans="2:5" x14ac:dyDescent="0.3">
      <c r="B52" s="77" t="s">
        <v>89</v>
      </c>
      <c r="C52" s="78">
        <f>+XIRR(C48:C49,E48:E49)</f>
        <v>0.26737137436866765</v>
      </c>
      <c r="D52" s="79">
        <f>+C52</f>
        <v>0.26737137436866765</v>
      </c>
    </row>
  </sheetData>
  <mergeCells count="2">
    <mergeCell ref="I5:J5"/>
    <mergeCell ref="I6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77F2-C0C7-4EA0-B254-84C1D8849AC8}">
  <dimension ref="B1:Q9"/>
  <sheetViews>
    <sheetView workbookViewId="0">
      <selection activeCell="B4" sqref="B4:J4"/>
    </sheetView>
  </sheetViews>
  <sheetFormatPr defaultRowHeight="14.4" x14ac:dyDescent="0.3"/>
  <cols>
    <col min="1" max="1" width="2" style="9" customWidth="1"/>
    <col min="2" max="2" width="12.88671875" style="9" bestFit="1" customWidth="1"/>
    <col min="3" max="3" width="11.33203125" style="9" bestFit="1" customWidth="1"/>
    <col min="4" max="4" width="10.44140625" style="9" bestFit="1" customWidth="1"/>
    <col min="5" max="6" width="10.77734375" style="9" bestFit="1" customWidth="1"/>
    <col min="7" max="10" width="11.33203125" style="9" bestFit="1" customWidth="1"/>
    <col min="11" max="16384" width="8.88671875" style="9"/>
  </cols>
  <sheetData>
    <row r="1" spans="2:17" ht="18" x14ac:dyDescent="0.35">
      <c r="B1" s="42" t="s">
        <v>49</v>
      </c>
    </row>
    <row r="4" spans="2:17" x14ac:dyDescent="0.3">
      <c r="B4" s="48" t="s">
        <v>47</v>
      </c>
      <c r="C4" s="48" t="s">
        <v>8</v>
      </c>
      <c r="D4" s="48" t="s">
        <v>7</v>
      </c>
      <c r="E4" s="48" t="s">
        <v>18</v>
      </c>
      <c r="F4" s="48" t="s">
        <v>19</v>
      </c>
      <c r="G4" s="48" t="s">
        <v>20</v>
      </c>
      <c r="H4" s="48" t="s">
        <v>21</v>
      </c>
      <c r="I4" s="48" t="s">
        <v>22</v>
      </c>
      <c r="J4" s="48" t="s">
        <v>23</v>
      </c>
    </row>
    <row r="5" spans="2:17" x14ac:dyDescent="0.3">
      <c r="B5" s="23" t="s">
        <v>44</v>
      </c>
      <c r="C5" s="37">
        <v>72076487</v>
      </c>
      <c r="D5" s="24">
        <f>+C8</f>
        <v>72076487</v>
      </c>
      <c r="E5" s="29">
        <f>D8</f>
        <v>90576197</v>
      </c>
      <c r="F5" s="29">
        <f>E8</f>
        <v>123149659.06905799</v>
      </c>
      <c r="G5" s="26">
        <f>F8</f>
        <v>136401037.76547217</v>
      </c>
      <c r="H5" s="26">
        <f t="shared" ref="H5:J5" si="0">G8</f>
        <v>148712863.92128876</v>
      </c>
      <c r="I5" s="26">
        <f t="shared" si="0"/>
        <v>152209826.53510684</v>
      </c>
      <c r="J5" s="26">
        <f t="shared" si="0"/>
        <v>150202828.54709762</v>
      </c>
      <c r="K5" s="25"/>
      <c r="L5" s="25"/>
      <c r="M5" s="25"/>
      <c r="N5" s="25"/>
      <c r="O5" s="25"/>
      <c r="P5" s="25"/>
      <c r="Q5" s="25"/>
    </row>
    <row r="6" spans="2:17" x14ac:dyDescent="0.3">
      <c r="B6" s="23" t="s">
        <v>45</v>
      </c>
      <c r="C6" s="25">
        <f>C8-C5-C7</f>
        <v>33568463</v>
      </c>
      <c r="D6" s="25">
        <f>D8-D5-D7</f>
        <v>98040502</v>
      </c>
      <c r="E6" s="34">
        <f>+D6*(1+E9)</f>
        <v>101471919.56999999</v>
      </c>
      <c r="F6" s="26">
        <f t="shared" ref="F6:J6" si="1">+E6*(1+F9)</f>
        <v>105023436.75494999</v>
      </c>
      <c r="G6" s="26">
        <f t="shared" si="1"/>
        <v>108699257.04137322</v>
      </c>
      <c r="H6" s="26">
        <f t="shared" si="1"/>
        <v>112503731.03782128</v>
      </c>
      <c r="I6" s="26">
        <f t="shared" si="1"/>
        <v>116441361.62414502</v>
      </c>
      <c r="J6" s="26">
        <f t="shared" si="1"/>
        <v>120516809.28099008</v>
      </c>
      <c r="K6" s="25"/>
      <c r="L6" s="25"/>
      <c r="M6" s="25"/>
      <c r="N6" s="25"/>
      <c r="O6" s="25"/>
      <c r="P6" s="25"/>
      <c r="Q6" s="25"/>
    </row>
    <row r="7" spans="2:17" x14ac:dyDescent="0.3">
      <c r="B7" s="9" t="s">
        <v>36</v>
      </c>
      <c r="C7" s="35">
        <f>-IS!C33</f>
        <v>-33568463</v>
      </c>
      <c r="D7" s="35">
        <f>-IS!D33</f>
        <v>-79540792</v>
      </c>
      <c r="E7" s="30">
        <f>-IS!E33</f>
        <v>-68898457.500942007</v>
      </c>
      <c r="F7" s="30">
        <f>-IS!F33</f>
        <v>-91772058.058535814</v>
      </c>
      <c r="G7" s="30">
        <f>-IS!G33</f>
        <v>-96387430.885556638</v>
      </c>
      <c r="H7" s="30">
        <f>-IS!H33</f>
        <v>-109006768.42400318</v>
      </c>
      <c r="I7" s="30">
        <f>-IS!I33</f>
        <v>-118448359.61215426</v>
      </c>
      <c r="J7" s="30">
        <f>-IS!J33</f>
        <v>-131325554.80965064</v>
      </c>
      <c r="K7" s="32"/>
      <c r="L7" s="32"/>
      <c r="M7" s="32"/>
      <c r="N7" s="32"/>
      <c r="O7" s="32"/>
      <c r="P7" s="32"/>
      <c r="Q7" s="32"/>
    </row>
    <row r="8" spans="2:17" ht="15" thickBot="1" x14ac:dyDescent="0.35">
      <c r="B8" s="27" t="s">
        <v>46</v>
      </c>
      <c r="C8" s="36">
        <f>+BS!C6</f>
        <v>72076487</v>
      </c>
      <c r="D8" s="36">
        <f>+BS!D6</f>
        <v>90576197</v>
      </c>
      <c r="E8" s="31">
        <f>+SUM(E5:E7)</f>
        <v>123149659.06905799</v>
      </c>
      <c r="F8" s="31">
        <f t="shared" ref="F8:J8" si="2">+SUM(F5:F7)</f>
        <v>136401037.76547217</v>
      </c>
      <c r="G8" s="31">
        <f t="shared" si="2"/>
        <v>148712863.92128876</v>
      </c>
      <c r="H8" s="31">
        <f t="shared" si="2"/>
        <v>152209826.53510684</v>
      </c>
      <c r="I8" s="31">
        <f t="shared" si="2"/>
        <v>150202828.54709762</v>
      </c>
      <c r="J8" s="31">
        <f t="shared" si="2"/>
        <v>139394083.01843703</v>
      </c>
      <c r="K8" s="28"/>
      <c r="L8" s="28"/>
      <c r="M8" s="28"/>
      <c r="N8" s="28"/>
      <c r="O8" s="28"/>
      <c r="P8" s="28"/>
      <c r="Q8" s="28"/>
    </row>
    <row r="9" spans="2:17" x14ac:dyDescent="0.3">
      <c r="E9" s="16">
        <v>3.5000000000000003E-2</v>
      </c>
      <c r="F9" s="16">
        <v>3.5000000000000003E-2</v>
      </c>
      <c r="G9" s="16">
        <v>3.5000000000000003E-2</v>
      </c>
      <c r="H9" s="16">
        <v>3.5000000000000003E-2</v>
      </c>
      <c r="I9" s="16">
        <v>3.5000000000000003E-2</v>
      </c>
      <c r="J9" s="16"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</vt:lpstr>
      <vt:lpstr>sales_m+forecast</vt:lpstr>
      <vt:lpstr>IS</vt:lpstr>
      <vt:lpstr>BS</vt:lpstr>
      <vt:lpstr>CF</vt:lpstr>
      <vt:lpstr>PPE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2015-06-05T18:17:20Z</dcterms:created>
  <dcterms:modified xsi:type="dcterms:W3CDTF">2025-01-15T20:08:52Z</dcterms:modified>
</cp:coreProperties>
</file>