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0C9D3318-B533-45D4-8C78-2A9E490CB498}" xr6:coauthVersionLast="47" xr6:coauthVersionMax="47" xr10:uidLastSave="{00000000-0000-0000-0000-000000000000}"/>
  <bookViews>
    <workbookView xWindow="-108" yWindow="-108" windowWidth="23256" windowHeight="12456" firstSheet="3" activeTab="7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6" l="1"/>
  <c r="K4" i="6"/>
  <c r="F13" i="10"/>
  <c r="F12" i="10"/>
  <c r="C21" i="6"/>
  <c r="C23" i="6" s="1"/>
  <c r="C25" i="6" s="1"/>
  <c r="C27" i="6" s="1"/>
  <c r="C29" i="6" s="1"/>
  <c r="C31" i="6" s="1"/>
  <c r="C33" i="6" s="1"/>
  <c r="C35" i="6" s="1"/>
  <c r="C37" i="6" s="1"/>
  <c r="C39" i="6" s="1"/>
  <c r="C41" i="6" s="1"/>
  <c r="C43" i="6" s="1"/>
  <c r="C45" i="6" s="1"/>
  <c r="C47" i="6" s="1"/>
  <c r="C49" i="6" s="1"/>
  <c r="C51" i="6" s="1"/>
  <c r="C53" i="6" s="1"/>
  <c r="C55" i="6" s="1"/>
  <c r="C57" i="6" s="1"/>
  <c r="C59" i="6" s="1"/>
  <c r="C22" i="6"/>
  <c r="C24" i="6" s="1"/>
  <c r="C26" i="6" s="1"/>
  <c r="C28" i="6" s="1"/>
  <c r="C30" i="6" s="1"/>
  <c r="C32" i="6" s="1"/>
  <c r="C34" i="6" s="1"/>
  <c r="C36" i="6" s="1"/>
  <c r="C38" i="6" s="1"/>
  <c r="C40" i="6" s="1"/>
  <c r="C42" i="6" s="1"/>
  <c r="C44" i="6" s="1"/>
  <c r="C46" i="6" s="1"/>
  <c r="C48" i="6" s="1"/>
  <c r="C50" i="6" s="1"/>
  <c r="C52" i="6" s="1"/>
  <c r="C54" i="6" s="1"/>
  <c r="C56" i="6" s="1"/>
  <c r="C58" i="6" s="1"/>
  <c r="C60" i="6" s="1"/>
  <c r="Q9" i="7" l="1"/>
  <c r="Q8" i="7"/>
  <c r="D9" i="7"/>
  <c r="D8" i="7"/>
  <c r="B5" i="12" l="1"/>
  <c r="G9" i="12" s="1"/>
  <c r="B11" i="12"/>
  <c r="B10" i="12"/>
  <c r="I10" i="12"/>
  <c r="F10" i="10" l="1"/>
  <c r="F9" i="10"/>
  <c r="K7" i="6" l="1"/>
  <c r="Q11" i="1" l="1"/>
  <c r="E45" i="8"/>
  <c r="E3" i="8"/>
  <c r="D2" i="14" l="1"/>
  <c r="D36" i="14"/>
  <c r="P2" i="2"/>
  <c r="G2" i="2"/>
  <c r="L4" i="1"/>
  <c r="Q9" i="1" s="1"/>
  <c r="L3" i="1"/>
  <c r="Q8" i="1" s="1"/>
  <c r="H16" i="6"/>
  <c r="K8" i="6" l="1"/>
  <c r="N8" i="6"/>
  <c r="M7" i="2" s="1"/>
  <c r="H17" i="6"/>
  <c r="N7" i="6"/>
  <c r="M6" i="2" s="1"/>
  <c r="B20" i="6"/>
  <c r="D5" i="1"/>
  <c r="E5" i="1"/>
  <c r="C5" i="1"/>
  <c r="K9" i="6" l="1"/>
  <c r="D8" i="2" s="1"/>
  <c r="N9" i="6"/>
  <c r="M8" i="2" s="1"/>
  <c r="B50" i="8"/>
  <c r="B40" i="14"/>
  <c r="B49" i="8"/>
  <c r="B39" i="14"/>
  <c r="H18" i="6"/>
  <c r="L10" i="6" s="1"/>
  <c r="Q5" i="1"/>
  <c r="L9" i="6"/>
  <c r="L7" i="6"/>
  <c r="E6" i="2" s="1"/>
  <c r="L8" i="6"/>
  <c r="O7" i="6"/>
  <c r="N6" i="2" s="1"/>
  <c r="D6" i="2"/>
  <c r="R9" i="7"/>
  <c r="E11" i="12" s="1"/>
  <c r="R8" i="7"/>
  <c r="E10" i="12" s="1"/>
  <c r="N10" i="6" l="1"/>
  <c r="M9" i="2" s="1"/>
  <c r="K10" i="6"/>
  <c r="D9" i="2" s="1"/>
  <c r="B51" i="8"/>
  <c r="B41" i="14"/>
  <c r="C49" i="8"/>
  <c r="C39" i="14"/>
  <c r="B9" i="8"/>
  <c r="B7" i="14"/>
  <c r="C7" i="8"/>
  <c r="C5" i="14"/>
  <c r="B7" i="8"/>
  <c r="B5" i="14"/>
  <c r="H19" i="6"/>
  <c r="E8" i="2"/>
  <c r="E7" i="2"/>
  <c r="O8" i="6"/>
  <c r="N11" i="6" l="1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H20" i="6"/>
  <c r="F8" i="2"/>
  <c r="E9" i="2"/>
  <c r="O9" i="6"/>
  <c r="E33" i="8"/>
  <c r="O6" i="2"/>
  <c r="F6" i="2"/>
  <c r="K12" i="6" l="1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H21" i="6"/>
  <c r="C11" i="8"/>
  <c r="F10" i="2"/>
  <c r="C10" i="8"/>
  <c r="F9" i="2"/>
  <c r="O10" i="6"/>
  <c r="P6" i="2"/>
  <c r="G6" i="2"/>
  <c r="K13" i="6" l="1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H22" i="6"/>
  <c r="O11" i="6"/>
  <c r="G5" i="1"/>
  <c r="K14" i="6" l="1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H23" i="6"/>
  <c r="O9" i="2"/>
  <c r="O12" i="6"/>
  <c r="N15" i="6" l="1"/>
  <c r="M14" i="2" s="1"/>
  <c r="K15" i="6"/>
  <c r="D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H24" i="6"/>
  <c r="D7" i="2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H25" i="6"/>
  <c r="B8" i="8"/>
  <c r="F7" i="2"/>
  <c r="B15" i="8"/>
  <c r="F14" i="2"/>
  <c r="C54" i="8"/>
  <c r="O14" i="6"/>
  <c r="K17" i="6" l="1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H26" i="6"/>
  <c r="N13" i="2"/>
  <c r="O15" i="6"/>
  <c r="N18" i="6" l="1"/>
  <c r="M17" i="2" s="1"/>
  <c r="K18" i="6"/>
  <c r="D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H27" i="6"/>
  <c r="B17" i="8"/>
  <c r="F16" i="2"/>
  <c r="O13" i="2"/>
  <c r="C56" i="8"/>
  <c r="O16" i="6"/>
  <c r="H28" i="6" l="1"/>
  <c r="N19" i="6"/>
  <c r="M18" i="2" s="1"/>
  <c r="K19" i="6"/>
  <c r="D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O17" i="6"/>
  <c r="H29" i="6" l="1"/>
  <c r="K20" i="6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O18" i="6"/>
  <c r="H30" i="6" l="1"/>
  <c r="K21" i="6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O19" i="6"/>
  <c r="H31" i="6" l="1"/>
  <c r="K22" i="6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O20" i="6"/>
  <c r="H32" i="6" l="1"/>
  <c r="K23" i="6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O21" i="6"/>
  <c r="H33" i="6" l="1"/>
  <c r="K24" i="6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O22" i="6"/>
  <c r="H34" i="6" l="1"/>
  <c r="K25" i="6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O23" i="6"/>
  <c r="H35" i="6" l="1"/>
  <c r="K26" i="6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C29" i="8" s="1"/>
  <c r="O26" i="6"/>
  <c r="O25" i="6"/>
  <c r="D24" i="14" l="1"/>
  <c r="H27" i="14" s="1"/>
  <c r="H28" i="14" s="1"/>
  <c r="K4" i="14" s="1"/>
  <c r="P22" i="2"/>
  <c r="D55" i="14"/>
  <c r="C56" i="14"/>
  <c r="C66" i="8"/>
  <c r="O23" i="2"/>
  <c r="N25" i="2"/>
  <c r="N24" i="2"/>
  <c r="G25" i="2"/>
  <c r="G26" i="2" s="1"/>
  <c r="F26" i="2"/>
  <c r="E62" i="6"/>
  <c r="E29" i="14" l="1"/>
  <c r="D10" i="12" s="1"/>
  <c r="M28" i="14"/>
  <c r="M27" i="14"/>
  <c r="C57" i="14"/>
  <c r="P23" i="2"/>
  <c r="D56" i="14"/>
  <c r="C58" i="14"/>
  <c r="I5" i="14"/>
  <c r="S7" i="2"/>
  <c r="O24" i="2"/>
  <c r="C67" i="8"/>
  <c r="C68" i="8"/>
  <c r="O25" i="2"/>
  <c r="J12" i="2"/>
  <c r="F27" i="2" s="1"/>
  <c r="E64" i="6"/>
  <c r="E65" i="6" s="1"/>
  <c r="L12" i="1"/>
  <c r="Q13" i="1" s="1"/>
  <c r="C71" i="8" l="1"/>
  <c r="F10" i="12"/>
  <c r="H10" i="12" s="1"/>
  <c r="J10" i="12" s="1"/>
  <c r="L10" i="12" s="1"/>
  <c r="E61" i="14"/>
  <c r="P24" i="2"/>
  <c r="D57" i="14"/>
  <c r="P25" i="2"/>
  <c r="D58" i="14"/>
  <c r="I6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I23" i="8" s="1"/>
  <c r="J23" i="8" s="1" a="1"/>
  <c r="J23" i="8" s="1"/>
  <c r="E23" i="8" s="1"/>
  <c r="F23" i="8" s="1"/>
  <c r="K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E7" i="8" s="1"/>
  <c r="F7" i="8" s="1"/>
  <c r="K7" i="8" s="1"/>
  <c r="E34" i="8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8" i="14" l="1"/>
  <c r="G8" i="14" s="1"/>
  <c r="J7" i="14"/>
  <c r="H6" i="14" s="1"/>
  <c r="F6" i="14" s="1"/>
  <c r="E6" i="14" s="1"/>
  <c r="H62" i="14"/>
  <c r="K38" i="14" s="1"/>
  <c r="I39" i="14"/>
  <c r="E5" i="14"/>
  <c r="F27" i="8"/>
  <c r="K27" i="8"/>
  <c r="E35" i="8" s="1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E36" i="8" l="1"/>
  <c r="E37" i="8"/>
  <c r="I9" i="14"/>
  <c r="G9" i="14" s="1"/>
  <c r="J8" i="14"/>
  <c r="H7" i="14" s="1"/>
  <c r="F7" i="14" s="1"/>
  <c r="G39" i="14"/>
  <c r="I40" i="14"/>
  <c r="I41" i="14" s="1"/>
  <c r="I42" i="14" s="1"/>
  <c r="I43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I44" i="14" l="1"/>
  <c r="J44" i="14" s="1"/>
  <c r="I11" i="12"/>
  <c r="H11" i="12"/>
  <c r="H12" i="12" s="1"/>
  <c r="H13" i="12" s="1"/>
  <c r="I10" i="14"/>
  <c r="J9" i="14"/>
  <c r="H8" i="14" s="1"/>
  <c r="G40" i="14"/>
  <c r="J41" i="14"/>
  <c r="J40" i="14"/>
  <c r="E7" i="14"/>
  <c r="K69" i="8"/>
  <c r="E77" i="8" s="1"/>
  <c r="F69" i="8"/>
  <c r="C4" i="1"/>
  <c r="B61" i="6"/>
  <c r="E78" i="8" l="1"/>
  <c r="E79" i="8"/>
  <c r="H14" i="12"/>
  <c r="J11" i="12"/>
  <c r="K11" i="12" s="1"/>
  <c r="K13" i="12" s="1"/>
  <c r="I12" i="12"/>
  <c r="G20" i="12" s="1"/>
  <c r="J10" i="14"/>
  <c r="H9" i="14" s="1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G4" i="1"/>
  <c r="G7" i="1" s="1"/>
  <c r="G17" i="12" l="1"/>
  <c r="G23" i="12"/>
  <c r="E32" i="12" s="1"/>
  <c r="I14" i="12"/>
  <c r="G22" i="12" s="1"/>
  <c r="I13" i="12"/>
  <c r="G21" i="12" s="1"/>
  <c r="L11" i="12"/>
  <c r="J12" i="12"/>
  <c r="F41" i="14"/>
  <c r="E41" i="14" s="1"/>
  <c r="G42" i="14"/>
  <c r="J43" i="14"/>
  <c r="H42" i="14" s="1"/>
  <c r="F9" i="14"/>
  <c r="E9" i="14" s="1"/>
  <c r="Q6" i="1"/>
  <c r="G8" i="1"/>
  <c r="F40" i="12" l="1"/>
  <c r="E38" i="12"/>
  <c r="E34" i="12"/>
  <c r="E36" i="12" s="1"/>
  <c r="G18" i="12"/>
  <c r="G24" i="12"/>
  <c r="F38" i="12" s="1"/>
  <c r="G19" i="12"/>
  <c r="L14" i="12"/>
  <c r="G25" i="12"/>
  <c r="G32" i="12" s="1"/>
  <c r="F42" i="14"/>
  <c r="E42" i="14" s="1"/>
  <c r="G43" i="14"/>
  <c r="H43" i="14"/>
  <c r="L13" i="1"/>
  <c r="Q7" i="1"/>
  <c r="L8" i="1"/>
  <c r="G38" i="12" l="1"/>
  <c r="F34" i="12"/>
  <c r="F36" i="12" s="1"/>
  <c r="G34" i="12"/>
  <c r="G36" i="12" s="1"/>
  <c r="F32" i="12"/>
  <c r="F46" i="12" s="1"/>
  <c r="F43" i="14"/>
  <c r="E43" i="14" s="1"/>
  <c r="L9" i="1"/>
  <c r="Q10" i="1"/>
  <c r="F44" i="12"/>
  <c r="Q14" i="1"/>
  <c r="L15" i="1"/>
  <c r="Q15" i="1" l="1"/>
  <c r="I17" i="1"/>
  <c r="F42" i="12"/>
  <c r="Q12" i="1"/>
  <c r="N47" i="14"/>
  <c r="O45" i="14"/>
  <c r="O43" i="14"/>
  <c r="O40" i="14"/>
  <c r="E44" i="14"/>
  <c r="H10" i="14"/>
  <c r="O42" i="14"/>
  <c r="O39" i="14"/>
  <c r="F44" i="14"/>
  <c r="N13" i="14"/>
  <c r="O11" i="14"/>
  <c r="E10" i="14"/>
  <c r="O6" i="14"/>
  <c r="O9" i="14"/>
  <c r="H44" i="14"/>
  <c r="F10" i="14"/>
  <c r="O5" i="14"/>
  <c r="O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<sst xmlns="http://schemas.openxmlformats.org/spreadsheetml/2006/main" count="280" uniqueCount="143">
  <si>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</si>
  <si>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</si>
  <si>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</si>
  <si>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</si>
  <si>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</si>
  <si>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</si>
  <si>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</si>
  <si>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</si>
  <si>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</si>
  <si>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</si>
  <si>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</si>
  <si>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</si>
  <si>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</si>
  <si>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</si>
  <si>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</si>
  <si>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</si>
  <si>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</si>
  <si>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</si>
  <si>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</si>
  <si>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</si>
  <si>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</si>
  <si>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</si>
  <si>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</si>
  <si>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</si>
  <si>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</si>
  <si>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</si>
  <si>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</si>
  <si>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</si>
  <si>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</si>
  <si>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</si>
  <si>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</si>
  <si>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PIE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</si>
  <si>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</si>
  <si>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</si>
  <si>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</si>
  <si>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</si>
  <si>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</si>
  <si>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</si>
  <si>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</si>
  <si>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</si>
  <si>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</si>
  <si>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</si>
  <si>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</si>
  <si>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</si>
  <si>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</si>
  <si>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</si>
  <si>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</si>
  <si>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</si>
  <si>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</si>
  <si>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</si>
  <si>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</si>
  <si>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</si>
  <si>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</si>
  <si>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</si>
  <si>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</si>
  <si>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</si>
  <si>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</si>
  <si>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</si>
  <si>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</si>
  <si>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</si>
  <si>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</si>
  <si>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</si>
  <si>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</si>
  <si>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</si>
  <si>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</si>
  <si>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</si>
  <si>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</si>
  <si>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</si>
  <si>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</si>
  <si>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</si>
  <si>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</si>
  <si>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</si>
  <si>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</si>
  <si>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</si>
  <si>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</si>
  <si>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</si>
  <si>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</si>
  <si>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</si>
  <si>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</si>
  <si>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</si>
  <si>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</si>
  <si>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</si>
  <si>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</si>
  <si>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</si>
  <si>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</si>
  <si>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</si>
  <si>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</si>
  <si>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</si>
  <si>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</si>
  <si>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</si>
  <si>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</si>
  <si>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</si>
  <si>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</si>
  <si>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</si>
  <si>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</si>
  <si>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</si>
  <si>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</si>
  <si>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</si>
  <si>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</si>
  <si>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</si>
  <si>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</si>
  <si>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</si>
  <si>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</si>
  <si>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</si>
  <si>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</si>
  <si>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</si>
  <si>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</si>
  <si>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</si>
  <si>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</si>
  <si>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</si>
  <si>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</si>
  <si>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</si>
  <si>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</si>
  <si>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</si>
  <si>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</si>
  <si>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</si>
  <si>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</si>
  <si>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</si>
  <si>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</si>
  <si>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</si>
  <si>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Producción (Pijama/hora)</t>
  </si>
  <si>
    <t>Producción teórica  (Pijama/hora)</t>
  </si>
  <si>
    <t>Posicionar debajo de prensatela</t>
  </si>
  <si>
    <t>Posiciona delantero y espalda</t>
  </si>
  <si>
    <t>Agarrar delantero y espalda</t>
  </si>
  <si>
    <t>Unir hombros</t>
  </si>
  <si>
    <t>R</t>
  </si>
  <si>
    <t>TIPO</t>
  </si>
  <si>
    <t>II</t>
  </si>
  <si>
    <t>III</t>
  </si>
  <si>
    <t>IIIII</t>
  </si>
  <si>
    <t>IIII</t>
  </si>
  <si>
    <t>IIIIII</t>
  </si>
  <si>
    <t>NP</t>
  </si>
  <si>
    <t>P</t>
  </si>
  <si>
    <t>F</t>
  </si>
  <si>
    <t>CA</t>
  </si>
  <si>
    <t>CI</t>
  </si>
  <si>
    <t>TM</t>
  </si>
  <si>
    <t>M</t>
  </si>
  <si>
    <t>Observaciones</t>
  </si>
  <si>
    <t>Ritmo</t>
  </si>
  <si>
    <t>Incentivo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</si>
</sst>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0" fontId="3" fillId="0" borderId="10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right"/>
    </xf>
    <xf numFmtId="0" fontId="3" fillId="0" borderId="8" xfId="0" applyFont="1" applyBorder="1"/>
    <xf numFmtId="0" fontId="3" fillId="2" borderId="13" xfId="0" applyFont="1" applyFill="1" applyBorder="1"/>
    <xf numFmtId="0" fontId="3" fillId="0" borderId="7" xfId="0" applyFont="1" applyBorder="1"/>
    <xf numFmtId="0" fontId="3" fillId="0" borderId="11" xfId="0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2" borderId="12" xfId="0" applyFont="1" applyFill="1" applyBorder="1"/>
    <xf numFmtId="0" fontId="3" fillId="0" borderId="1" xfId="0" applyFont="1" applyBorder="1" applyAlignment="1">
      <alignment horizontal="right"/>
    </xf>
    <xf numFmtId="0" fontId="3" fillId="0" borderId="6" xfId="0" applyFont="1" applyBorder="1"/>
    <xf numFmtId="0" fontId="3" fillId="2" borderId="14" xfId="0" applyFont="1" applyFill="1" applyBorder="1"/>
    <xf numFmtId="0" fontId="4" fillId="0" borderId="6" xfId="0" applyFont="1" applyBorder="1" applyAlignment="1">
      <alignment horizontal="right"/>
    </xf>
    <xf numFmtId="2" fontId="3" fillId="0" borderId="8" xfId="0" applyNumberFormat="1" applyFont="1" applyBorder="1"/>
    <xf numFmtId="0" fontId="4" fillId="0" borderId="0" xfId="0" applyFont="1"/>
    <xf numFmtId="0" fontId="0" fillId="2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18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1" fontId="3" fillId="2" borderId="16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39" fontId="3" fillId="0" borderId="18" xfId="0" applyNumberFormat="1" applyFont="1" applyBorder="1" applyAlignment="1">
      <alignment horizontal="center" vertical="center" wrapText="1"/>
    </xf>
    <xf numFmtId="10" fontId="3" fillId="0" borderId="11" xfId="0" applyNumberFormat="1" applyFont="1" applyBorder="1" applyAlignment="1">
      <alignment horizontal="center" vertical="center" wrapText="1"/>
    </xf>
    <xf numFmtId="39" fontId="3" fillId="0" borderId="11" xfId="0" applyNumberFormat="1" applyFont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9" fontId="3" fillId="0" borderId="16" xfId="0" applyNumberFormat="1" applyFont="1" applyBorder="1" applyAlignment="1">
      <alignment horizontal="center" vertical="center" wrapText="1"/>
    </xf>
    <xf numFmtId="9" fontId="3" fillId="0" borderId="5" xfId="0" applyNumberFormat="1" applyFont="1" applyBorder="1" applyAlignment="1">
      <alignment horizontal="center" vertical="center" wrapText="1"/>
    </xf>
    <xf numFmtId="10" fontId="3" fillId="0" borderId="0" xfId="0" applyNumberFormat="1" applyFont="1" applyAlignment="1">
      <alignment horizontal="center" vertical="center" wrapText="1"/>
    </xf>
    <xf numFmtId="10" fontId="3" fillId="0" borderId="16" xfId="0" applyNumberFormat="1" applyFont="1" applyBorder="1" applyAlignment="1">
      <alignment horizontal="center" vertical="center" wrapText="1"/>
    </xf>
    <xf numFmtId="10" fontId="3" fillId="0" borderId="10" xfId="0" applyNumberFormat="1" applyFont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10" fontId="3" fillId="0" borderId="18" xfId="0" applyNumberFormat="1" applyFont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39" fontId="3" fillId="2" borderId="18" xfId="0" applyNumberFormat="1" applyFont="1" applyFill="1" applyBorder="1" applyAlignment="1">
      <alignment horizontal="center" vertical="center" wrapText="1"/>
    </xf>
    <xf numFmtId="13" fontId="3" fillId="2" borderId="18" xfId="0" quotePrefix="1" applyNumberFormat="1" applyFont="1" applyFill="1" applyBorder="1" applyAlignment="1">
      <alignment horizontal="center" vertical="center" wrapText="1"/>
    </xf>
    <xf numFmtId="2" fontId="3" fillId="2" borderId="18" xfId="0" applyNumberFormat="1" applyFont="1" applyFill="1" applyBorder="1" applyAlignment="1">
      <alignment horizontal="center" vertical="center" wrapText="1"/>
    </xf>
    <xf numFmtId="39" fontId="3" fillId="2" borderId="11" xfId="0" applyNumberFormat="1" applyFont="1" applyFill="1" applyBorder="1" applyAlignment="1">
      <alignment horizontal="center" vertical="center" wrapText="1"/>
    </xf>
    <xf numFmtId="13" fontId="3" fillId="2" borderId="11" xfId="0" quotePrefix="1" applyNumberFormat="1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19" xfId="0" applyNumberFormat="1" applyFont="1" applyFill="1" applyBorder="1" applyAlignment="1">
      <alignment horizontal="center" vertical="center"/>
    </xf>
    <xf numFmtId="2" fontId="3" fillId="2" borderId="18" xfId="0" applyNumberFormat="1" applyFont="1" applyFill="1" applyBorder="1" applyAlignment="1">
      <alignment horizontal="center" vertical="center"/>
    </xf>
    <xf numFmtId="2" fontId="3" fillId="2" borderId="1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2" fontId="3" fillId="2" borderId="18" xfId="0" applyNumberFormat="1" applyFont="1" applyFill="1" applyBorder="1" applyAlignment="1">
      <alignment horizontal="center" vertical="center" wrapText="1"/>
    </xf>
    <xf numFmtId="2" fontId="3" fillId="2" borderId="11" xfId="0" applyNumberFormat="1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2" fontId="3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J16"/>
  <sheetViews>
    <sheetView workbookViewId="0">
      <selection activeCell="I7" sqref="I7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0" s="36" customFormat="1" ht="15.6" x14ac:dyDescent="0.3">
      <c r="A1" s="42"/>
      <c r="B1" s="42"/>
      <c r="C1" s="42"/>
      <c r="D1" s="42"/>
      <c r="E1" s="42"/>
      <c r="F1" s="42"/>
      <c r="G1" s="42"/>
      <c r="H1" s="42"/>
      <c r="I1" s="42"/>
      <c r="J1" s="42"/>
    </row>
    <row r="2" spans="1:10" ht="15.6" x14ac:dyDescent="0.3">
      <c r="A2" s="7"/>
      <c r="B2" s="8" t="s">
        <v>98</v>
      </c>
      <c r="C2" s="42"/>
      <c r="D2" s="14" t="s">
        <v>56</v>
      </c>
      <c r="E2" s="14" t="s">
        <v>127</v>
      </c>
      <c r="F2" s="14" t="s">
        <v>57</v>
      </c>
      <c r="G2" s="14" t="s">
        <v>58</v>
      </c>
      <c r="H2" s="14" t="s">
        <v>59</v>
      </c>
      <c r="I2" s="42"/>
      <c r="J2" s="42"/>
    </row>
    <row r="3" spans="1:10" ht="31.2" customHeight="1" x14ac:dyDescent="0.3">
      <c r="A3" s="7"/>
      <c r="B3" s="8" t="s">
        <v>125</v>
      </c>
      <c r="C3" s="42"/>
      <c r="D3" s="44" t="s">
        <v>123</v>
      </c>
      <c r="E3" s="44" t="s">
        <v>36</v>
      </c>
      <c r="F3" s="44" t="s">
        <v>18</v>
      </c>
      <c r="G3" s="44" t="s">
        <v>124</v>
      </c>
      <c r="H3" s="44" t="s">
        <v>122</v>
      </c>
      <c r="I3" s="42"/>
      <c r="J3" s="42"/>
    </row>
    <row r="4" spans="1:10" ht="31.2" customHeight="1" x14ac:dyDescent="0.3">
      <c r="A4" s="7" t="s">
        <v>99</v>
      </c>
      <c r="B4" s="7"/>
      <c r="C4" s="42"/>
      <c r="D4" s="44" t="s">
        <v>125</v>
      </c>
      <c r="E4" s="44" t="s">
        <v>37</v>
      </c>
      <c r="F4" s="44" t="s">
        <v>126</v>
      </c>
      <c r="G4" s="44" t="s">
        <v>122</v>
      </c>
      <c r="H4" s="44" t="s">
        <v>125</v>
      </c>
      <c r="I4" s="42"/>
      <c r="J4" s="42"/>
    </row>
    <row r="5" spans="1:10" ht="31.2" customHeight="1" x14ac:dyDescent="0.3">
      <c r="A5" s="7"/>
      <c r="B5" s="7"/>
      <c r="C5" s="42"/>
      <c r="D5" s="43"/>
      <c r="E5" s="43"/>
      <c r="F5" s="43"/>
      <c r="G5" s="43"/>
      <c r="H5" s="43"/>
      <c r="I5" s="42"/>
      <c r="J5" s="42"/>
    </row>
    <row r="6" spans="1:10" ht="31.2" customHeight="1" x14ac:dyDescent="0.3">
      <c r="A6" s="7"/>
      <c r="B6" s="7"/>
      <c r="C6" s="42"/>
      <c r="D6" s="43"/>
      <c r="E6" s="43"/>
      <c r="F6" s="43"/>
      <c r="G6" s="43"/>
      <c r="H6" s="43"/>
      <c r="I6" s="42"/>
      <c r="J6" s="42"/>
    </row>
    <row r="7" spans="1:10" ht="31.2" customHeight="1" x14ac:dyDescent="0.3">
      <c r="A7" s="7"/>
      <c r="B7" s="7"/>
      <c r="C7" s="42"/>
      <c r="D7" s="43"/>
      <c r="E7" s="43"/>
      <c r="F7" s="43"/>
      <c r="G7" s="43"/>
      <c r="H7" s="43"/>
      <c r="I7" s="42"/>
      <c r="J7" s="42"/>
    </row>
    <row r="8" spans="1:10" ht="31.2" customHeight="1" x14ac:dyDescent="0.3">
      <c r="A8" s="7"/>
      <c r="B8" s="7"/>
      <c r="C8" s="7"/>
      <c r="D8" s="43"/>
      <c r="E8" s="43"/>
      <c r="F8" s="43"/>
      <c r="G8" s="43"/>
      <c r="H8" s="43"/>
      <c r="I8" s="42"/>
      <c r="J8" s="42"/>
    </row>
    <row r="9" spans="1:10" ht="31.2" customHeight="1" x14ac:dyDescent="0.3">
      <c r="A9" s="7"/>
      <c r="B9" s="7"/>
      <c r="C9" s="7"/>
      <c r="D9" s="5"/>
      <c r="E9" s="5"/>
      <c r="F9" s="6" t="str">
        <f t="shared" ref="F9:F10" si="0">+MID(D9,1,1)</f>
        <v/>
      </c>
      <c r="G9" s="5"/>
      <c r="H9" s="5"/>
      <c r="I9" s="7"/>
      <c r="J9" s="7"/>
    </row>
    <row r="10" spans="1:10" ht="31.2" customHeight="1" x14ac:dyDescent="0.3">
      <c r="D10" s="5"/>
      <c r="E10" s="5"/>
      <c r="F10" s="6" t="str">
        <f t="shared" si="0"/>
        <v/>
      </c>
      <c r="G10" s="5"/>
      <c r="H10" s="5"/>
    </row>
    <row r="11" spans="1:10" ht="31.2" customHeight="1" x14ac:dyDescent="0.3">
      <c r="D11" s="5"/>
      <c r="E11" s="5"/>
      <c r="F11" s="6"/>
      <c r="G11" s="5"/>
      <c r="H11" s="5"/>
    </row>
    <row r="12" spans="1:10" ht="15.6" x14ac:dyDescent="0.3">
      <c r="D12" s="5"/>
      <c r="E12" s="5"/>
      <c r="F12" s="6" t="str">
        <f t="shared" ref="F12:F13" si="1">+MID(D12,1,1)</f>
        <v/>
      </c>
      <c r="G12" s="5"/>
      <c r="H12" s="5"/>
    </row>
    <row r="13" spans="1:10" ht="15.6" x14ac:dyDescent="0.3">
      <c r="D13" s="5"/>
      <c r="E13" s="5"/>
      <c r="F13" s="6" t="str">
        <f t="shared" si="1"/>
        <v/>
      </c>
      <c r="G13" s="5"/>
      <c r="H13" s="5"/>
    </row>
    <row r="14" spans="1:10" ht="15.6" customHeight="1" x14ac:dyDescent="0.3">
      <c r="D14" s="5"/>
      <c r="E14" s="5"/>
      <c r="G14" s="5"/>
      <c r="H14" s="102"/>
      <c r="I14" s="102"/>
      <c r="J14" s="102"/>
    </row>
    <row r="15" spans="1:10" ht="15.6" x14ac:dyDescent="0.3">
      <c r="D15" s="5"/>
      <c r="E15" s="5"/>
      <c r="G15" s="5"/>
      <c r="H15" s="5"/>
    </row>
    <row r="16" spans="1:10" ht="15.6" x14ac:dyDescent="0.3">
      <c r="D16" s="5"/>
      <c r="E16" s="5"/>
      <c r="F16" s="6"/>
      <c r="G16" s="5"/>
      <c r="H16" s="5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1:V182"/>
  <sheetViews>
    <sheetView showGridLines="0" topLeftCell="A18" zoomScaleNormal="100" workbookViewId="0">
      <pane ySplit="2" topLeftCell="A20" activePane="bottomLeft" state="frozen"/>
      <selection activeCell="A18" sqref="A18"/>
      <selection pane="bottomLeft" activeCell="K56" sqref="K56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5" max="5" width="13.21875" bestFit="1" customWidth="1"/>
    <col min="6" max="6" width="14.33203125" bestFit="1" customWidth="1"/>
  </cols>
  <sheetData>
    <row r="1" spans="1:18" ht="15.6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5.6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8" ht="15.6" x14ac:dyDescent="0.3">
      <c r="A3" s="10"/>
      <c r="B3" s="10"/>
      <c r="C3" s="10">
        <f>+C10+F122+IF(D3&gt;=60,1,0)</f>
        <v>9</v>
      </c>
      <c r="D3" s="10">
        <f>+D10+F123+IF(E3&gt;=60,1,0)</f>
        <v>53</v>
      </c>
      <c r="E3" s="19">
        <f>+E10+F124</f>
        <v>56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ht="15.6" x14ac:dyDescent="0.3">
      <c r="A4" s="10"/>
      <c r="B4" s="10"/>
      <c r="C4" s="10">
        <f>+C3</f>
        <v>9</v>
      </c>
      <c r="D4" s="10">
        <f>+IF(D3&gt;=60,D3-60,D3)</f>
        <v>53</v>
      </c>
      <c r="E4" s="13">
        <f>+IF(E3&gt;=60,E3-60,E3)</f>
        <v>56</v>
      </c>
      <c r="F4" s="10"/>
      <c r="G4" s="10"/>
      <c r="H4" s="10"/>
      <c r="I4" s="10"/>
      <c r="J4" s="10"/>
      <c r="K4" s="104" t="str">
        <f>+CONCATENATE("Elemento ",C21)</f>
        <v>Elemento A</v>
      </c>
      <c r="L4" s="105"/>
      <c r="M4" s="10"/>
      <c r="N4" s="104" t="str">
        <f>+CONCATENATE("Elemento ",C22)</f>
        <v>Elemento R</v>
      </c>
      <c r="O4" s="105"/>
      <c r="P4" s="10"/>
      <c r="Q4" s="10"/>
      <c r="R4" s="10"/>
    </row>
    <row r="5" spans="1:18" ht="15.6" x14ac:dyDescent="0.3">
      <c r="A5" s="10"/>
      <c r="B5" s="10"/>
      <c r="C5" s="10"/>
      <c r="D5" s="10"/>
      <c r="E5" s="13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ht="15.6" x14ac:dyDescent="0.3">
      <c r="A6" s="10"/>
      <c r="B6" s="10"/>
      <c r="C6" s="10"/>
      <c r="D6" s="10"/>
      <c r="E6" s="10"/>
      <c r="F6" s="10"/>
      <c r="G6" s="10"/>
      <c r="H6" s="10"/>
      <c r="I6" s="10"/>
      <c r="J6" s="10"/>
      <c r="K6" s="14" t="s">
        <v>18</v>
      </c>
      <c r="L6" s="14" t="s">
        <v>19</v>
      </c>
      <c r="M6" s="10"/>
      <c r="N6" s="14" t="s">
        <v>18</v>
      </c>
      <c r="O6" s="14" t="s">
        <v>19</v>
      </c>
      <c r="P6" s="10"/>
      <c r="Q6" s="10"/>
      <c r="R6" s="10"/>
    </row>
    <row r="7" spans="1:18" ht="15.6" x14ac:dyDescent="0.3">
      <c r="A7" s="10"/>
      <c r="B7" s="10"/>
      <c r="C7" s="10"/>
      <c r="D7" s="10"/>
      <c r="E7" s="10"/>
      <c r="F7" s="10"/>
      <c r="G7" s="10"/>
      <c r="H7" s="10"/>
      <c r="I7" s="10"/>
      <c r="J7" s="10"/>
      <c r="K7" s="17">
        <f ca="1">+OFFSET(D21,H15,0)</f>
        <v>95</v>
      </c>
      <c r="L7" s="17">
        <f ca="1">+OFFSET(E21,H15,0)</f>
        <v>1202</v>
      </c>
      <c r="M7" s="10"/>
      <c r="N7" s="17">
        <f ca="1">+OFFSET(D22,H15,0)</f>
        <v>90</v>
      </c>
      <c r="O7" s="17">
        <f ca="1">+OFFSET(E22,H15,0)</f>
        <v>2327</v>
      </c>
      <c r="P7" s="10"/>
      <c r="Q7" s="10"/>
      <c r="R7" s="10"/>
    </row>
    <row r="8" spans="1:18" ht="15.6" x14ac:dyDescent="0.3">
      <c r="A8" s="10"/>
      <c r="B8" s="10"/>
      <c r="C8" s="14" t="s">
        <v>0</v>
      </c>
      <c r="D8" s="14" t="s">
        <v>1</v>
      </c>
      <c r="E8" s="14" t="s">
        <v>2</v>
      </c>
      <c r="F8" s="10"/>
      <c r="G8" s="10"/>
      <c r="H8" s="10"/>
      <c r="I8" s="10"/>
      <c r="J8" s="10"/>
      <c r="K8" s="17">
        <f t="shared" ref="K8:K26" ca="1" si="0">+OFFSET(D22,H16,0)</f>
        <v>100</v>
      </c>
      <c r="L8" s="17">
        <f t="shared" ref="L8:L26" ca="1" si="1">+OFFSET(E22,H16,0)</f>
        <v>1126</v>
      </c>
      <c r="M8" s="10"/>
      <c r="N8" s="17">
        <f t="shared" ref="N8:N26" ca="1" si="2">+OFFSET(D23,H16,0)</f>
        <v>90</v>
      </c>
      <c r="O8" s="17">
        <f t="shared" ref="O8:O26" ca="1" si="3">+OFFSET(E23,H16,0)</f>
        <v>2341</v>
      </c>
      <c r="P8" s="10"/>
      <c r="Q8" s="10"/>
      <c r="R8" s="10"/>
    </row>
    <row r="9" spans="1:18" ht="15.6" x14ac:dyDescent="0.3">
      <c r="A9" s="10"/>
      <c r="B9" s="16" t="s">
        <v>3</v>
      </c>
      <c r="C9" s="16">
        <f>+C4</f>
        <v>9</v>
      </c>
      <c r="D9" s="16">
        <f>+D4</f>
        <v>53</v>
      </c>
      <c r="E9" s="16">
        <f>+E4</f>
        <v>56</v>
      </c>
      <c r="F9" s="10"/>
      <c r="G9" s="10"/>
      <c r="H9" s="10"/>
      <c r="I9" s="10"/>
      <c r="J9" s="10"/>
      <c r="K9" s="17">
        <f t="shared" ca="1" si="0"/>
        <v>100</v>
      </c>
      <c r="L9" s="17">
        <f t="shared" ca="1" si="1"/>
        <v>1201</v>
      </c>
      <c r="M9" s="10"/>
      <c r="N9" s="17">
        <f t="shared" ca="1" si="2"/>
        <v>85</v>
      </c>
      <c r="O9" s="17">
        <f t="shared" ca="1" si="3"/>
        <v>2484</v>
      </c>
      <c r="P9" s="10"/>
      <c r="Q9" s="10"/>
      <c r="R9" s="10"/>
    </row>
    <row r="10" spans="1:18" ht="15.6" x14ac:dyDescent="0.3">
      <c r="A10" s="10"/>
      <c r="B10" s="16" t="s">
        <v>6</v>
      </c>
      <c r="C10" s="16">
        <v>9</v>
      </c>
      <c r="D10" s="16">
        <v>41</v>
      </c>
      <c r="E10" s="16">
        <v>12</v>
      </c>
      <c r="F10" s="10"/>
      <c r="G10" s="10"/>
      <c r="H10" s="10"/>
      <c r="I10" s="10"/>
      <c r="J10" s="10"/>
      <c r="K10" s="17">
        <f t="shared" ca="1" si="0"/>
        <v>100</v>
      </c>
      <c r="L10" s="17">
        <f t="shared" ca="1" si="1"/>
        <v>1151</v>
      </c>
      <c r="M10" s="10"/>
      <c r="N10" s="17">
        <f t="shared" ca="1" si="2"/>
        <v>95</v>
      </c>
      <c r="O10" s="17">
        <f t="shared" ca="1" si="3"/>
        <v>2344</v>
      </c>
      <c r="P10" s="10"/>
      <c r="Q10" s="10"/>
      <c r="R10" s="10"/>
    </row>
    <row r="11" spans="1:18" ht="15.6" x14ac:dyDescent="0.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7">
        <f t="shared" ca="1" si="0"/>
        <v>105</v>
      </c>
      <c r="L11" s="17">
        <f t="shared" ca="1" si="1"/>
        <v>1204</v>
      </c>
      <c r="M11" s="10"/>
      <c r="N11" s="17">
        <f t="shared" ca="1" si="2"/>
        <v>85</v>
      </c>
      <c r="O11" s="17">
        <f t="shared" ca="1" si="3"/>
        <v>2486</v>
      </c>
      <c r="P11" s="10"/>
      <c r="Q11" s="10"/>
      <c r="R11" s="10"/>
    </row>
    <row r="12" spans="1:18" ht="15.6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7">
        <f t="shared" ca="1" si="0"/>
        <v>95</v>
      </c>
      <c r="L12" s="17">
        <f t="shared" ca="1" si="1"/>
        <v>1191</v>
      </c>
      <c r="M12" s="10"/>
      <c r="N12" s="17">
        <f t="shared" ca="1" si="2"/>
        <v>85</v>
      </c>
      <c r="O12" s="17">
        <f t="shared" ca="1" si="3"/>
        <v>2386</v>
      </c>
      <c r="P12" s="10"/>
      <c r="Q12" s="10"/>
      <c r="R12" s="10"/>
    </row>
    <row r="13" spans="1:18" ht="15.6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7">
        <f t="shared" ca="1" si="0"/>
        <v>100</v>
      </c>
      <c r="L13" s="17">
        <f t="shared" ca="1" si="1"/>
        <v>1263</v>
      </c>
      <c r="M13" s="10"/>
      <c r="N13" s="17">
        <f t="shared" ca="1" si="2"/>
        <v>95</v>
      </c>
      <c r="O13" s="17">
        <f t="shared" ca="1" si="3"/>
        <v>2437</v>
      </c>
      <c r="P13" s="10"/>
      <c r="Q13" s="10"/>
      <c r="R13" s="10"/>
    </row>
    <row r="14" spans="1:18" ht="15.6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7">
        <f t="shared" ca="1" si="0"/>
        <v>85</v>
      </c>
      <c r="L14" s="17">
        <f t="shared" ca="1" si="1"/>
        <v>1205</v>
      </c>
      <c r="M14" s="10"/>
      <c r="N14" s="17">
        <f t="shared" ca="1" si="2"/>
        <v>100</v>
      </c>
      <c r="O14" s="17">
        <f t="shared" ca="1" si="3"/>
        <v>2362</v>
      </c>
      <c r="P14" s="10"/>
      <c r="Q14" s="10"/>
      <c r="R14" s="10"/>
    </row>
    <row r="15" spans="1:18" ht="15.6" x14ac:dyDescent="0.3">
      <c r="A15" s="10"/>
      <c r="B15" s="10"/>
      <c r="C15" s="106">
        <v>2</v>
      </c>
      <c r="D15" s="106"/>
      <c r="E15" s="106"/>
      <c r="F15" s="107"/>
      <c r="G15" s="17">
        <v>2</v>
      </c>
      <c r="H15" s="10">
        <v>0</v>
      </c>
      <c r="I15" s="10"/>
      <c r="J15" s="10"/>
      <c r="K15" s="17">
        <f t="shared" ca="1" si="0"/>
        <v>100</v>
      </c>
      <c r="L15" s="17">
        <f t="shared" ca="1" si="1"/>
        <v>1248</v>
      </c>
      <c r="M15" s="10"/>
      <c r="N15" s="17">
        <f t="shared" ca="1" si="2"/>
        <v>85</v>
      </c>
      <c r="O15" s="17">
        <f t="shared" ca="1" si="3"/>
        <v>2378</v>
      </c>
      <c r="P15" s="10"/>
      <c r="Q15" s="10"/>
      <c r="R15" s="10"/>
    </row>
    <row r="16" spans="1:18" ht="15.6" x14ac:dyDescent="0.3">
      <c r="A16" s="10"/>
      <c r="B16" s="10"/>
      <c r="C16" s="10"/>
      <c r="D16" s="10"/>
      <c r="E16" s="10"/>
      <c r="F16" s="10"/>
      <c r="G16" s="10"/>
      <c r="H16" s="10">
        <f>+H15+$G$15-1</f>
        <v>1</v>
      </c>
      <c r="I16" s="10"/>
      <c r="J16" s="10"/>
      <c r="K16" s="17">
        <f t="shared" ca="1" si="0"/>
        <v>100</v>
      </c>
      <c r="L16" s="17">
        <f t="shared" ca="1" si="1"/>
        <v>1174</v>
      </c>
      <c r="M16" s="10"/>
      <c r="N16" s="17">
        <f t="shared" ca="1" si="2"/>
        <v>95</v>
      </c>
      <c r="O16" s="17">
        <f t="shared" ca="1" si="3"/>
        <v>2348</v>
      </c>
      <c r="P16" s="10"/>
      <c r="Q16" s="10"/>
      <c r="R16" s="10"/>
    </row>
    <row r="17" spans="1:18" ht="15.6" x14ac:dyDescent="0.3">
      <c r="A17" s="10"/>
      <c r="B17" s="10"/>
      <c r="C17" s="10"/>
      <c r="D17" s="10"/>
      <c r="E17" s="10"/>
      <c r="F17" s="10"/>
      <c r="G17" s="10"/>
      <c r="H17" s="10">
        <f t="shared" ref="H17:H35" si="4">+H16+$G$15-1</f>
        <v>2</v>
      </c>
      <c r="I17" s="10"/>
      <c r="J17" s="10"/>
      <c r="K17" s="17">
        <f t="shared" ca="1" si="0"/>
        <v>100</v>
      </c>
      <c r="L17" s="17">
        <f t="shared" ca="1" si="1"/>
        <v>1136</v>
      </c>
      <c r="M17" s="10"/>
      <c r="N17" s="17">
        <f t="shared" ca="1" si="2"/>
        <v>100</v>
      </c>
      <c r="O17" s="17">
        <f t="shared" ca="1" si="3"/>
        <v>2430</v>
      </c>
      <c r="P17" s="10"/>
      <c r="Q17" s="10"/>
      <c r="R17" s="10"/>
    </row>
    <row r="18" spans="1:18" ht="15.6" x14ac:dyDescent="0.3">
      <c r="A18" s="10"/>
      <c r="B18" s="10"/>
      <c r="C18" s="10"/>
      <c r="D18" s="10"/>
      <c r="E18" s="10"/>
      <c r="F18" s="10"/>
      <c r="G18" s="10"/>
      <c r="H18" s="10">
        <f t="shared" si="4"/>
        <v>3</v>
      </c>
      <c r="I18" s="10"/>
      <c r="J18" s="10"/>
      <c r="K18" s="17">
        <f t="shared" ca="1" si="0"/>
        <v>100</v>
      </c>
      <c r="L18" s="17">
        <f t="shared" ca="1" si="1"/>
        <v>1245</v>
      </c>
      <c r="M18" s="10"/>
      <c r="N18" s="17">
        <f t="shared" ca="1" si="2"/>
        <v>90</v>
      </c>
      <c r="O18" s="17">
        <f t="shared" ca="1" si="3"/>
        <v>2494</v>
      </c>
      <c r="P18" s="10"/>
      <c r="Q18" s="10"/>
      <c r="R18" s="10"/>
    </row>
    <row r="19" spans="1:18" ht="15.6" x14ac:dyDescent="0.3">
      <c r="A19" s="10"/>
      <c r="B19" s="17"/>
      <c r="C19" s="14" t="s">
        <v>28</v>
      </c>
      <c r="D19" s="14" t="s">
        <v>18</v>
      </c>
      <c r="E19" s="14" t="s">
        <v>19</v>
      </c>
      <c r="F19" s="10"/>
      <c r="G19" s="10"/>
      <c r="H19" s="10">
        <f t="shared" si="4"/>
        <v>4</v>
      </c>
      <c r="I19" s="10"/>
      <c r="J19" s="10"/>
      <c r="K19" s="17">
        <f t="shared" ca="1" si="0"/>
        <v>105</v>
      </c>
      <c r="L19" s="17">
        <f t="shared" ca="1" si="1"/>
        <v>1146</v>
      </c>
      <c r="M19" s="10"/>
      <c r="N19" s="17">
        <f t="shared" ca="1" si="2"/>
        <v>95</v>
      </c>
      <c r="O19" s="17">
        <f t="shared" ca="1" si="3"/>
        <v>2351</v>
      </c>
      <c r="P19" s="10"/>
      <c r="Q19" s="10"/>
      <c r="R19" s="10"/>
    </row>
    <row r="20" spans="1:18" ht="15.6" x14ac:dyDescent="0.3">
      <c r="A20" s="10"/>
      <c r="B20" s="11" t="str">
        <f>+CONCATENATE("E = ",C10,"h",D10,"'",E10,"''")</f>
        <v>E = 9h41'12''</v>
      </c>
      <c r="C20" s="17" t="s">
        <v>11</v>
      </c>
      <c r="D20" s="17" t="s">
        <v>52</v>
      </c>
      <c r="E20" s="17">
        <v>3123</v>
      </c>
      <c r="F20" s="10"/>
      <c r="G20" s="10"/>
      <c r="H20" s="10">
        <f t="shared" si="4"/>
        <v>5</v>
      </c>
      <c r="I20" s="10"/>
      <c r="J20" s="10"/>
      <c r="K20" s="17">
        <f t="shared" ca="1" si="0"/>
        <v>95</v>
      </c>
      <c r="L20" s="17">
        <f t="shared" ca="1" si="1"/>
        <v>1135</v>
      </c>
      <c r="M20" s="10"/>
      <c r="N20" s="17">
        <f t="shared" ca="1" si="2"/>
        <v>90</v>
      </c>
      <c r="O20" s="17">
        <f t="shared" ca="1" si="3"/>
        <v>2396</v>
      </c>
      <c r="P20" s="10"/>
      <c r="Q20" s="10"/>
      <c r="R20" s="10"/>
    </row>
    <row r="21" spans="1:18" ht="15.6" x14ac:dyDescent="0.3">
      <c r="A21" s="10"/>
      <c r="B21" s="103" t="s">
        <v>60</v>
      </c>
      <c r="C21" s="17" t="str">
        <f>+'Elementos de la operación'!F3</f>
        <v>A</v>
      </c>
      <c r="D21" s="17">
        <v>95</v>
      </c>
      <c r="E21" s="17">
        <v>1202</v>
      </c>
      <c r="F21" s="10"/>
      <c r="G21" s="10"/>
      <c r="H21" s="10">
        <f t="shared" si="4"/>
        <v>6</v>
      </c>
      <c r="I21" s="10"/>
      <c r="J21" s="10"/>
      <c r="K21" s="17">
        <f t="shared" ca="1" si="0"/>
        <v>85</v>
      </c>
      <c r="L21" s="17">
        <f t="shared" ca="1" si="1"/>
        <v>1205</v>
      </c>
      <c r="M21" s="10"/>
      <c r="N21" s="17">
        <f t="shared" ca="1" si="2"/>
        <v>95</v>
      </c>
      <c r="O21" s="17">
        <f t="shared" ca="1" si="3"/>
        <v>2343</v>
      </c>
      <c r="P21" s="10"/>
      <c r="Q21" s="10"/>
      <c r="R21" s="10"/>
    </row>
    <row r="22" spans="1:18" ht="15.6" x14ac:dyDescent="0.3">
      <c r="A22" s="10"/>
      <c r="B22" s="103"/>
      <c r="C22" s="17" t="str">
        <f>+'Elementos de la operación'!F4</f>
        <v>R</v>
      </c>
      <c r="D22" s="17">
        <v>90</v>
      </c>
      <c r="E22" s="17">
        <v>2327</v>
      </c>
      <c r="F22" s="10"/>
      <c r="G22" s="10"/>
      <c r="H22" s="10">
        <f t="shared" si="4"/>
        <v>7</v>
      </c>
      <c r="I22" s="10"/>
      <c r="J22" s="10"/>
      <c r="K22" s="17">
        <f t="shared" ca="1" si="0"/>
        <v>90</v>
      </c>
      <c r="L22" s="17">
        <f t="shared" ca="1" si="1"/>
        <v>1207</v>
      </c>
      <c r="M22" s="10"/>
      <c r="N22" s="17">
        <f t="shared" ca="1" si="2"/>
        <v>100</v>
      </c>
      <c r="O22" s="17">
        <f t="shared" ca="1" si="3"/>
        <v>2302</v>
      </c>
      <c r="P22" s="10"/>
      <c r="Q22" s="10"/>
      <c r="R22" s="10"/>
    </row>
    <row r="23" spans="1:18" ht="15.6" x14ac:dyDescent="0.3">
      <c r="A23" s="10"/>
      <c r="B23" s="103" t="s">
        <v>61</v>
      </c>
      <c r="C23" s="17" t="str">
        <f>+C21</f>
        <v>A</v>
      </c>
      <c r="D23" s="17">
        <v>100</v>
      </c>
      <c r="E23" s="17">
        <v>1126</v>
      </c>
      <c r="F23" s="10"/>
      <c r="G23" s="10"/>
      <c r="H23" s="10">
        <f>+H22+$G$15-1</f>
        <v>8</v>
      </c>
      <c r="I23" s="10"/>
      <c r="J23" s="10"/>
      <c r="K23" s="17">
        <f t="shared" ca="1" si="0"/>
        <v>105</v>
      </c>
      <c r="L23" s="17">
        <f t="shared" ca="1" si="1"/>
        <v>1108</v>
      </c>
      <c r="M23" s="10"/>
      <c r="N23" s="17">
        <f t="shared" ca="1" si="2"/>
        <v>90</v>
      </c>
      <c r="O23" s="17">
        <f t="shared" ca="1" si="3"/>
        <v>2322</v>
      </c>
      <c r="P23" s="10"/>
      <c r="Q23" s="10"/>
      <c r="R23" s="10"/>
    </row>
    <row r="24" spans="1:18" ht="15.6" x14ac:dyDescent="0.3">
      <c r="A24" s="10"/>
      <c r="B24" s="103"/>
      <c r="C24" s="17" t="str">
        <f>+C22</f>
        <v>R</v>
      </c>
      <c r="D24" s="17">
        <v>90</v>
      </c>
      <c r="E24" s="17">
        <v>2341</v>
      </c>
      <c r="F24" s="10"/>
      <c r="G24" s="10"/>
      <c r="H24" s="10">
        <f t="shared" si="4"/>
        <v>9</v>
      </c>
      <c r="I24" s="10"/>
      <c r="J24" s="10"/>
      <c r="K24" s="17">
        <f t="shared" ca="1" si="0"/>
        <v>85</v>
      </c>
      <c r="L24" s="17">
        <f t="shared" ca="1" si="1"/>
        <v>1266</v>
      </c>
      <c r="M24" s="10"/>
      <c r="N24" s="17">
        <f t="shared" ca="1" si="2"/>
        <v>85</v>
      </c>
      <c r="O24" s="17">
        <f t="shared" ca="1" si="3"/>
        <v>2375</v>
      </c>
      <c r="P24" s="10"/>
      <c r="Q24" s="10"/>
      <c r="R24" s="10"/>
    </row>
    <row r="25" spans="1:18" ht="15.6" x14ac:dyDescent="0.3">
      <c r="A25" s="10"/>
      <c r="B25" s="103" t="s">
        <v>62</v>
      </c>
      <c r="C25" s="17" t="str">
        <f t="shared" ref="C25:C60" si="5">+C23</f>
        <v>A</v>
      </c>
      <c r="D25" s="17">
        <v>100</v>
      </c>
      <c r="E25" s="17">
        <v>1201</v>
      </c>
      <c r="F25" s="10"/>
      <c r="G25" s="10"/>
      <c r="H25" s="10">
        <f t="shared" si="4"/>
        <v>10</v>
      </c>
      <c r="I25" s="10"/>
      <c r="J25" s="10"/>
      <c r="K25" s="17">
        <f t="shared" ca="1" si="0"/>
        <v>105</v>
      </c>
      <c r="L25" s="17">
        <f t="shared" ca="1" si="1"/>
        <v>1103</v>
      </c>
      <c r="M25" s="10"/>
      <c r="N25" s="17">
        <f t="shared" ca="1" si="2"/>
        <v>100</v>
      </c>
      <c r="O25" s="17">
        <f t="shared" ca="1" si="3"/>
        <v>2349</v>
      </c>
      <c r="P25" s="10"/>
      <c r="Q25" s="10"/>
      <c r="R25" s="10"/>
    </row>
    <row r="26" spans="1:18" ht="15.6" x14ac:dyDescent="0.3">
      <c r="A26" s="10"/>
      <c r="B26" s="103"/>
      <c r="C26" s="17" t="str">
        <f t="shared" si="5"/>
        <v>R</v>
      </c>
      <c r="D26" s="17">
        <v>85</v>
      </c>
      <c r="E26" s="17">
        <v>2484</v>
      </c>
      <c r="F26" s="10"/>
      <c r="G26" s="10"/>
      <c r="H26" s="10">
        <f>+H25+$G$15-1</f>
        <v>11</v>
      </c>
      <c r="I26" s="10"/>
      <c r="J26" s="10"/>
      <c r="K26" s="17">
        <f t="shared" ca="1" si="0"/>
        <v>105</v>
      </c>
      <c r="L26" s="17">
        <f t="shared" ca="1" si="1"/>
        <v>1211</v>
      </c>
      <c r="M26" s="10"/>
      <c r="N26" s="17">
        <f t="shared" ca="1" si="2"/>
        <v>90</v>
      </c>
      <c r="O26" s="17">
        <f t="shared" ca="1" si="3"/>
        <v>2429</v>
      </c>
      <c r="P26" s="10"/>
      <c r="Q26" s="10"/>
      <c r="R26" s="10"/>
    </row>
    <row r="27" spans="1:18" ht="15.6" x14ac:dyDescent="0.3">
      <c r="A27" s="10"/>
      <c r="B27" s="103" t="s">
        <v>63</v>
      </c>
      <c r="C27" s="17" t="str">
        <f t="shared" si="5"/>
        <v>A</v>
      </c>
      <c r="D27" s="17">
        <v>100</v>
      </c>
      <c r="E27" s="17">
        <v>1151</v>
      </c>
      <c r="F27" s="10"/>
      <c r="G27" s="10"/>
      <c r="H27" s="10">
        <f t="shared" si="4"/>
        <v>12</v>
      </c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 spans="1:18" ht="15.6" x14ac:dyDescent="0.3">
      <c r="A28" s="10"/>
      <c r="B28" s="103"/>
      <c r="C28" s="17" t="str">
        <f t="shared" si="5"/>
        <v>R</v>
      </c>
      <c r="D28" s="17">
        <v>95</v>
      </c>
      <c r="E28" s="17">
        <v>2344</v>
      </c>
      <c r="F28" s="10"/>
      <c r="G28" s="10"/>
      <c r="H28" s="10">
        <f t="shared" si="4"/>
        <v>13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 spans="1:18" ht="15.6" x14ac:dyDescent="0.3">
      <c r="A29" s="10"/>
      <c r="B29" s="103" t="s">
        <v>64</v>
      </c>
      <c r="C29" s="17" t="str">
        <f t="shared" si="5"/>
        <v>A</v>
      </c>
      <c r="D29" s="17">
        <v>105</v>
      </c>
      <c r="E29" s="17">
        <v>1204</v>
      </c>
      <c r="F29" s="10"/>
      <c r="G29" s="10"/>
      <c r="H29" s="10">
        <f t="shared" si="4"/>
        <v>14</v>
      </c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 spans="1:18" ht="15.6" x14ac:dyDescent="0.3">
      <c r="A30" s="10"/>
      <c r="B30" s="103"/>
      <c r="C30" s="17" t="str">
        <f t="shared" si="5"/>
        <v>R</v>
      </c>
      <c r="D30" s="17">
        <v>85</v>
      </c>
      <c r="E30" s="17">
        <v>2486</v>
      </c>
      <c r="F30" s="10"/>
      <c r="G30" s="10"/>
      <c r="H30" s="10">
        <f t="shared" si="4"/>
        <v>15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1" spans="1:18" ht="15.6" x14ac:dyDescent="0.3">
      <c r="A31" s="10"/>
      <c r="B31" s="103" t="s">
        <v>65</v>
      </c>
      <c r="C31" s="17" t="str">
        <f t="shared" si="5"/>
        <v>A</v>
      </c>
      <c r="D31" s="17">
        <v>95</v>
      </c>
      <c r="E31" s="17">
        <v>1191</v>
      </c>
      <c r="F31" s="10"/>
      <c r="G31" s="10"/>
      <c r="H31" s="10">
        <f t="shared" si="4"/>
        <v>16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.6" x14ac:dyDescent="0.3">
      <c r="A32" s="10"/>
      <c r="B32" s="103"/>
      <c r="C32" s="17" t="str">
        <f t="shared" si="5"/>
        <v>R</v>
      </c>
      <c r="D32" s="17">
        <v>85</v>
      </c>
      <c r="E32" s="17">
        <v>2386</v>
      </c>
      <c r="F32" s="10"/>
      <c r="G32" s="10"/>
      <c r="H32" s="10">
        <f t="shared" si="4"/>
        <v>17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.6" x14ac:dyDescent="0.3">
      <c r="A33" s="10"/>
      <c r="B33" s="103" t="s">
        <v>66</v>
      </c>
      <c r="C33" s="17" t="str">
        <f t="shared" si="5"/>
        <v>A</v>
      </c>
      <c r="D33" s="17">
        <v>100</v>
      </c>
      <c r="E33" s="17">
        <v>1263</v>
      </c>
      <c r="F33" s="10"/>
      <c r="G33" s="10"/>
      <c r="H33" s="10">
        <f t="shared" si="4"/>
        <v>18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.6" x14ac:dyDescent="0.3">
      <c r="A34" s="10"/>
      <c r="B34" s="103"/>
      <c r="C34" s="17" t="str">
        <f t="shared" si="5"/>
        <v>R</v>
      </c>
      <c r="D34" s="17">
        <v>95</v>
      </c>
      <c r="E34" s="17">
        <v>2437</v>
      </c>
      <c r="F34" s="10"/>
      <c r="G34" s="10"/>
      <c r="H34" s="10">
        <f t="shared" si="4"/>
        <v>19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.6" x14ac:dyDescent="0.3">
      <c r="A35" s="10"/>
      <c r="B35" s="103" t="s">
        <v>67</v>
      </c>
      <c r="C35" s="17" t="str">
        <f t="shared" si="5"/>
        <v>A</v>
      </c>
      <c r="D35" s="17">
        <v>85</v>
      </c>
      <c r="E35" s="17">
        <v>1205</v>
      </c>
      <c r="F35" s="10"/>
      <c r="G35" s="10"/>
      <c r="H35" s="10">
        <f t="shared" si="4"/>
        <v>20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.6" x14ac:dyDescent="0.3">
      <c r="A36" s="10"/>
      <c r="B36" s="103"/>
      <c r="C36" s="17" t="str">
        <f t="shared" si="5"/>
        <v>R</v>
      </c>
      <c r="D36" s="17">
        <v>100</v>
      </c>
      <c r="E36" s="17">
        <v>2362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.6" x14ac:dyDescent="0.3">
      <c r="A37" s="10"/>
      <c r="B37" s="103" t="s">
        <v>68</v>
      </c>
      <c r="C37" s="17" t="str">
        <f t="shared" si="5"/>
        <v>A</v>
      </c>
      <c r="D37" s="17">
        <v>100</v>
      </c>
      <c r="E37" s="17">
        <v>1248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1:18" ht="15.6" x14ac:dyDescent="0.3">
      <c r="A38" s="10"/>
      <c r="B38" s="103"/>
      <c r="C38" s="17" t="str">
        <f t="shared" si="5"/>
        <v>R</v>
      </c>
      <c r="D38" s="17">
        <v>85</v>
      </c>
      <c r="E38" s="17">
        <v>2378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5.6" x14ac:dyDescent="0.3">
      <c r="A39" s="10"/>
      <c r="B39" s="103" t="s">
        <v>69</v>
      </c>
      <c r="C39" s="17" t="str">
        <f t="shared" si="5"/>
        <v>A</v>
      </c>
      <c r="D39" s="17">
        <v>100</v>
      </c>
      <c r="E39" s="17">
        <v>1174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5.6" x14ac:dyDescent="0.3">
      <c r="A40" s="10"/>
      <c r="B40" s="103"/>
      <c r="C40" s="17" t="str">
        <f t="shared" si="5"/>
        <v>R</v>
      </c>
      <c r="D40" s="17">
        <v>95</v>
      </c>
      <c r="E40" s="17">
        <v>2348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5.6" x14ac:dyDescent="0.3">
      <c r="A41" s="10"/>
      <c r="B41" s="103" t="s">
        <v>70</v>
      </c>
      <c r="C41" s="17" t="str">
        <f t="shared" si="5"/>
        <v>A</v>
      </c>
      <c r="D41" s="17">
        <v>100</v>
      </c>
      <c r="E41" s="17">
        <v>1136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1:18" ht="15.6" x14ac:dyDescent="0.3">
      <c r="A42" s="10"/>
      <c r="B42" s="103"/>
      <c r="C42" s="17" t="str">
        <f t="shared" si="5"/>
        <v>R</v>
      </c>
      <c r="D42" s="17">
        <v>100</v>
      </c>
      <c r="E42" s="17">
        <v>2430</v>
      </c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1:18" ht="15.6" x14ac:dyDescent="0.3">
      <c r="A43" s="10"/>
      <c r="B43" s="103" t="s">
        <v>71</v>
      </c>
      <c r="C43" s="17" t="str">
        <f t="shared" si="5"/>
        <v>A</v>
      </c>
      <c r="D43" s="17">
        <v>100</v>
      </c>
      <c r="E43" s="17">
        <v>1245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.6" x14ac:dyDescent="0.3">
      <c r="A44" s="10"/>
      <c r="B44" s="103"/>
      <c r="C44" s="17" t="str">
        <f t="shared" si="5"/>
        <v>R</v>
      </c>
      <c r="D44" s="17">
        <v>90</v>
      </c>
      <c r="E44" s="17">
        <v>2494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.6" x14ac:dyDescent="0.3">
      <c r="A45" s="10"/>
      <c r="B45" s="103" t="s">
        <v>72</v>
      </c>
      <c r="C45" s="17" t="str">
        <f t="shared" si="5"/>
        <v>A</v>
      </c>
      <c r="D45" s="17">
        <v>105</v>
      </c>
      <c r="E45" s="17">
        <v>1146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.6" x14ac:dyDescent="0.3">
      <c r="A46" s="10"/>
      <c r="B46" s="103"/>
      <c r="C46" s="17" t="str">
        <f t="shared" si="5"/>
        <v>R</v>
      </c>
      <c r="D46" s="17">
        <v>95</v>
      </c>
      <c r="E46" s="17">
        <v>2351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.6" x14ac:dyDescent="0.3">
      <c r="A47" s="10"/>
      <c r="B47" s="103" t="s">
        <v>73</v>
      </c>
      <c r="C47" s="17" t="str">
        <f t="shared" si="5"/>
        <v>A</v>
      </c>
      <c r="D47" s="17">
        <v>95</v>
      </c>
      <c r="E47" s="17">
        <v>1135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.6" x14ac:dyDescent="0.3">
      <c r="A48" s="10"/>
      <c r="B48" s="103"/>
      <c r="C48" s="17" t="str">
        <f t="shared" si="5"/>
        <v>R</v>
      </c>
      <c r="D48" s="17">
        <v>90</v>
      </c>
      <c r="E48" s="17">
        <v>2396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1:18" ht="15.6" x14ac:dyDescent="0.3">
      <c r="A49" s="10"/>
      <c r="B49" s="103" t="s">
        <v>74</v>
      </c>
      <c r="C49" s="17" t="str">
        <f t="shared" si="5"/>
        <v>A</v>
      </c>
      <c r="D49" s="17">
        <v>85</v>
      </c>
      <c r="E49" s="17">
        <v>1205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1:18" ht="15.6" x14ac:dyDescent="0.3">
      <c r="A50" s="10"/>
      <c r="B50" s="103"/>
      <c r="C50" s="17" t="str">
        <f t="shared" si="5"/>
        <v>R</v>
      </c>
      <c r="D50" s="17">
        <v>95</v>
      </c>
      <c r="E50" s="17">
        <v>2343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1:18" ht="15.6" x14ac:dyDescent="0.3">
      <c r="A51" s="10"/>
      <c r="B51" s="103" t="s">
        <v>75</v>
      </c>
      <c r="C51" s="17" t="str">
        <f t="shared" si="5"/>
        <v>A</v>
      </c>
      <c r="D51" s="17">
        <v>90</v>
      </c>
      <c r="E51" s="17">
        <v>1207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1:18" ht="15.6" x14ac:dyDescent="0.3">
      <c r="A52" s="10"/>
      <c r="B52" s="103"/>
      <c r="C52" s="17" t="str">
        <f t="shared" si="5"/>
        <v>R</v>
      </c>
      <c r="D52" s="17">
        <v>100</v>
      </c>
      <c r="E52" s="17">
        <v>2302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8" ht="15.6" x14ac:dyDescent="0.3">
      <c r="A53" s="10"/>
      <c r="B53" s="103" t="s">
        <v>76</v>
      </c>
      <c r="C53" s="17" t="str">
        <f t="shared" si="5"/>
        <v>A</v>
      </c>
      <c r="D53" s="17">
        <v>105</v>
      </c>
      <c r="E53" s="17">
        <v>1108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8" ht="15.6" x14ac:dyDescent="0.3">
      <c r="A54" s="10"/>
      <c r="B54" s="103"/>
      <c r="C54" s="17" t="str">
        <f t="shared" si="5"/>
        <v>R</v>
      </c>
      <c r="D54" s="17">
        <v>90</v>
      </c>
      <c r="E54" s="17">
        <v>2322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1:18" ht="15.6" x14ac:dyDescent="0.3">
      <c r="A55" s="10"/>
      <c r="B55" s="103" t="s">
        <v>77</v>
      </c>
      <c r="C55" s="17" t="str">
        <f t="shared" si="5"/>
        <v>A</v>
      </c>
      <c r="D55" s="17">
        <v>85</v>
      </c>
      <c r="E55" s="17">
        <v>1266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.6" x14ac:dyDescent="0.3">
      <c r="A56" s="10"/>
      <c r="B56" s="103"/>
      <c r="C56" s="17" t="str">
        <f t="shared" si="5"/>
        <v>R</v>
      </c>
      <c r="D56" s="17">
        <v>85</v>
      </c>
      <c r="E56" s="17">
        <v>2375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6" x14ac:dyDescent="0.3">
      <c r="A57" s="10"/>
      <c r="B57" s="103" t="s">
        <v>78</v>
      </c>
      <c r="C57" s="17" t="str">
        <f t="shared" si="5"/>
        <v>A</v>
      </c>
      <c r="D57" s="17">
        <v>105</v>
      </c>
      <c r="E57" s="17">
        <v>1103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.6" x14ac:dyDescent="0.3">
      <c r="A58" s="10"/>
      <c r="B58" s="103"/>
      <c r="C58" s="17" t="str">
        <f t="shared" si="5"/>
        <v>R</v>
      </c>
      <c r="D58" s="17">
        <v>100</v>
      </c>
      <c r="E58" s="17">
        <v>2349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1:18" ht="15.6" x14ac:dyDescent="0.3">
      <c r="A59" s="10"/>
      <c r="B59" s="103" t="s">
        <v>79</v>
      </c>
      <c r="C59" s="17" t="str">
        <f t="shared" si="5"/>
        <v>A</v>
      </c>
      <c r="D59" s="17">
        <v>105</v>
      </c>
      <c r="E59" s="17">
        <v>1211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1:18" ht="15.6" x14ac:dyDescent="0.3">
      <c r="A60" s="10"/>
      <c r="B60" s="103"/>
      <c r="C60" s="17" t="str">
        <f t="shared" si="5"/>
        <v>R</v>
      </c>
      <c r="D60" s="17">
        <v>90</v>
      </c>
      <c r="E60" s="17">
        <v>2429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1:18" ht="15.6" x14ac:dyDescent="0.3">
      <c r="A61" s="10"/>
      <c r="B61" s="17" t="str">
        <f>+CONCATENATE("T = ",C9,"h",D9,"'",E9,"''")</f>
        <v>T = 9h53'56''</v>
      </c>
      <c r="C61" s="17" t="s">
        <v>12</v>
      </c>
      <c r="D61" s="17" t="s">
        <v>52</v>
      </c>
      <c r="E61" s="17">
        <v>1892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1:18" ht="15.6" x14ac:dyDescent="0.3">
      <c r="A62" s="10"/>
      <c r="B62" s="17"/>
      <c r="C62" s="17"/>
      <c r="D62" s="17" t="s">
        <v>16</v>
      </c>
      <c r="E62" s="17">
        <f>+SUM(E20:E61)</f>
        <v>76426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1:18" ht="15.6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1:18" ht="15.6" x14ac:dyDescent="0.3">
      <c r="A64" s="10"/>
      <c r="B64" s="10"/>
      <c r="C64" s="10"/>
      <c r="D64" s="10"/>
      <c r="E64" s="10">
        <f>+E62/100</f>
        <v>764.26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1:18" ht="15.6" x14ac:dyDescent="0.3">
      <c r="A65" s="10"/>
      <c r="B65" s="10"/>
      <c r="C65" s="10"/>
      <c r="D65" s="10"/>
      <c r="E65" s="10">
        <f>+E64/3600</f>
        <v>0.21229444444444445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</row>
    <row r="66" spans="1:18" ht="15.6" x14ac:dyDescent="0.3">
      <c r="A66" s="10"/>
      <c r="B66" s="10"/>
      <c r="C66" s="10"/>
      <c r="D66" s="10"/>
      <c r="E66" s="10">
        <f>+(E65-F122)*60</f>
        <v>12.737666666666668</v>
      </c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</row>
    <row r="67" spans="1:18" ht="15.6" x14ac:dyDescent="0.3">
      <c r="A67" s="10"/>
      <c r="B67" s="19"/>
      <c r="C67" s="19"/>
      <c r="D67" s="19"/>
      <c r="E67" s="19">
        <f>+(E66-F123)*60</f>
        <v>44.260000000000055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.6" x14ac:dyDescent="0.3">
      <c r="A68" s="10"/>
      <c r="B68" s="19"/>
      <c r="C68" s="19"/>
      <c r="D68" s="19"/>
      <c r="E68" s="19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.6" x14ac:dyDescent="0.3">
      <c r="A69" s="10"/>
      <c r="B69" s="19"/>
      <c r="C69" s="19"/>
      <c r="D69" s="19"/>
      <c r="E69" s="19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.6" x14ac:dyDescent="0.3">
      <c r="A70" s="10"/>
      <c r="B70" s="19"/>
      <c r="C70" s="19"/>
      <c r="D70" s="19"/>
      <c r="E70" s="19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.6" x14ac:dyDescent="0.3">
      <c r="A71" s="10"/>
      <c r="B71" s="19"/>
      <c r="C71" s="19"/>
      <c r="D71" s="19"/>
      <c r="E71" s="19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.6" x14ac:dyDescent="0.3">
      <c r="A72" s="10"/>
      <c r="B72" s="19"/>
      <c r="C72" s="19"/>
      <c r="D72" s="19"/>
      <c r="E72" s="19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</row>
    <row r="73" spans="1:18" ht="15.6" x14ac:dyDescent="0.3">
      <c r="A73" s="10"/>
      <c r="B73" s="19"/>
      <c r="C73" s="19"/>
      <c r="D73" s="19"/>
      <c r="E73" s="19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5.6" x14ac:dyDescent="0.3">
      <c r="A74" s="10"/>
      <c r="B74" s="19"/>
      <c r="C74" s="19"/>
      <c r="D74" s="19"/>
      <c r="E74" s="19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5.6" x14ac:dyDescent="0.3">
      <c r="A75" s="10"/>
      <c r="B75" s="19"/>
      <c r="C75" s="19"/>
      <c r="D75" s="19"/>
      <c r="E75" s="19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5.6" x14ac:dyDescent="0.3">
      <c r="A76" s="10"/>
      <c r="B76" s="19"/>
      <c r="C76" s="19"/>
      <c r="D76" s="19"/>
      <c r="E76" s="19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5.6" x14ac:dyDescent="0.3">
      <c r="A77" s="10"/>
      <c r="B77" s="19"/>
      <c r="C77" s="19"/>
      <c r="D77" s="19"/>
      <c r="E77" s="19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5.6" x14ac:dyDescent="0.3">
      <c r="A78" s="10"/>
      <c r="B78" s="19"/>
      <c r="C78" s="19"/>
      <c r="D78" s="19"/>
      <c r="E78" s="19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5.6" x14ac:dyDescent="0.3">
      <c r="A79" s="10"/>
      <c r="B79" s="19"/>
      <c r="C79" s="19"/>
      <c r="D79" s="19"/>
      <c r="E79" s="19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.6" x14ac:dyDescent="0.3">
      <c r="A80" s="10"/>
      <c r="B80" s="19"/>
      <c r="C80" s="19"/>
      <c r="D80" s="19"/>
      <c r="E80" s="19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.6" x14ac:dyDescent="0.3">
      <c r="A81" s="10"/>
      <c r="B81" s="19"/>
      <c r="C81" s="19"/>
      <c r="D81" s="19"/>
      <c r="E81" s="19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.6" x14ac:dyDescent="0.3">
      <c r="A82" s="10"/>
      <c r="B82" s="19"/>
      <c r="C82" s="19"/>
      <c r="D82" s="19"/>
      <c r="E82" s="19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.6" x14ac:dyDescent="0.3">
      <c r="A83" s="10"/>
      <c r="B83" s="19"/>
      <c r="C83" s="19"/>
      <c r="D83" s="19"/>
      <c r="E83" s="19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.6" x14ac:dyDescent="0.3">
      <c r="A84" s="10"/>
      <c r="B84" s="19"/>
      <c r="C84" s="19"/>
      <c r="D84" s="19"/>
      <c r="E84" s="19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.6" x14ac:dyDescent="0.3">
      <c r="A85" s="10"/>
      <c r="B85" s="19"/>
      <c r="C85" s="19"/>
      <c r="D85" s="19"/>
      <c r="E85" s="19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</row>
    <row r="86" spans="1:18" ht="15.6" x14ac:dyDescent="0.3">
      <c r="A86" s="10"/>
      <c r="B86" s="19"/>
      <c r="C86" s="19"/>
      <c r="D86" s="19"/>
      <c r="E86" s="19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</row>
    <row r="87" spans="1:18" ht="15.6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</row>
    <row r="88" spans="1:18" ht="15.6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</row>
    <row r="89" spans="1:18" ht="15.6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</row>
    <row r="90" spans="1:18" ht="15.6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</row>
    <row r="91" spans="1:18" ht="15.6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</row>
    <row r="92" spans="1:18" ht="15.6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</row>
    <row r="93" spans="1:18" ht="15.6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</row>
    <row r="94" spans="1:18" ht="15.6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</row>
    <row r="95" spans="1:18" ht="15.6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</row>
    <row r="96" spans="1:18" ht="15.6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</row>
    <row r="97" spans="1:18" ht="15.6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</row>
    <row r="98" spans="1:18" ht="15.6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</row>
    <row r="99" spans="1:18" ht="15.6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</row>
    <row r="100" spans="1:18" ht="15.6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</row>
    <row r="101" spans="1:18" ht="15.6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</row>
    <row r="102" spans="1:18" ht="15.6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</row>
    <row r="103" spans="1:18" ht="15.6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</row>
    <row r="104" spans="1:18" ht="15.6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</row>
    <row r="105" spans="1:18" ht="15.6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</row>
    <row r="106" spans="1:18" ht="15.6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</row>
    <row r="107" spans="1:18" ht="15.6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</row>
    <row r="108" spans="1:18" ht="15.6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</row>
    <row r="109" spans="1:18" ht="15.6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</row>
    <row r="110" spans="1:18" ht="15.6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</row>
    <row r="111" spans="1:18" ht="15.6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</row>
    <row r="112" spans="1:18" ht="15.6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</row>
    <row r="113" spans="1:18" ht="15.6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</row>
    <row r="114" spans="1:18" ht="15.6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</row>
    <row r="115" spans="1:18" ht="15.6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</row>
    <row r="116" spans="1:18" ht="15.6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</row>
    <row r="117" spans="1:18" ht="15.6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</row>
    <row r="118" spans="1:18" ht="15.6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</row>
    <row r="119" spans="1:18" ht="15.6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</row>
    <row r="120" spans="1:18" ht="15.6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</row>
    <row r="121" spans="1:18" ht="15.6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</row>
    <row r="122" spans="1:18" ht="15.6" x14ac:dyDescent="0.3">
      <c r="A122" s="10"/>
      <c r="B122" s="10"/>
      <c r="C122" s="10"/>
      <c r="D122" s="10"/>
      <c r="E122" s="10"/>
      <c r="F122" s="10">
        <f>+INT(E65)</f>
        <v>0</v>
      </c>
      <c r="G122" s="10" t="s">
        <v>80</v>
      </c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</row>
    <row r="123" spans="1:18" ht="15.6" x14ac:dyDescent="0.3">
      <c r="A123" s="10"/>
      <c r="B123" s="10"/>
      <c r="C123" s="10"/>
      <c r="D123" s="10"/>
      <c r="E123" s="10"/>
      <c r="F123" s="10">
        <f>+INT(E66)</f>
        <v>12</v>
      </c>
      <c r="G123" s="10" t="s">
        <v>81</v>
      </c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</row>
    <row r="124" spans="1:18" ht="15.6" x14ac:dyDescent="0.3">
      <c r="A124" s="10"/>
      <c r="B124" s="10"/>
      <c r="C124" s="10"/>
      <c r="D124" s="10"/>
      <c r="E124" s="10"/>
      <c r="F124" s="19">
        <f>+ROUND(E67,0)</f>
        <v>44</v>
      </c>
      <c r="G124" s="10" t="s">
        <v>82</v>
      </c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ht="15.6" x14ac:dyDescent="0.3">
      <c r="A125" s="10"/>
      <c r="B125" s="10"/>
      <c r="C125" s="10"/>
      <c r="D125" s="10"/>
      <c r="E125" s="10"/>
      <c r="F125" s="19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ht="15.6" x14ac:dyDescent="0.3">
      <c r="A126" s="10"/>
      <c r="B126" s="10"/>
      <c r="C126" s="10"/>
      <c r="D126" s="10"/>
      <c r="E126" s="10"/>
      <c r="F126" s="19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</row>
    <row r="127" spans="1:18" ht="15.6" x14ac:dyDescent="0.3">
      <c r="A127" s="10"/>
      <c r="B127" s="10"/>
      <c r="C127" s="10"/>
      <c r="D127" s="10"/>
      <c r="E127" s="10"/>
      <c r="F127" s="19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</row>
    <row r="128" spans="1:18" ht="15.6" x14ac:dyDescent="0.3">
      <c r="A128" s="10"/>
      <c r="B128" s="10"/>
      <c r="C128" s="10"/>
      <c r="D128" s="10"/>
      <c r="E128" s="10"/>
      <c r="F128" s="19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</row>
    <row r="129" spans="1:18" ht="15.6" x14ac:dyDescent="0.3">
      <c r="A129" s="10"/>
      <c r="B129" s="10"/>
      <c r="C129" s="10"/>
      <c r="D129" s="10"/>
      <c r="E129" s="10"/>
      <c r="F129" s="19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</row>
    <row r="130" spans="1:18" ht="15.6" x14ac:dyDescent="0.3">
      <c r="A130" s="10"/>
      <c r="B130" s="10"/>
      <c r="C130" s="10"/>
      <c r="D130" s="10"/>
      <c r="E130" s="10"/>
      <c r="F130" s="19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</row>
    <row r="131" spans="1:18" ht="15.6" x14ac:dyDescent="0.3">
      <c r="A131" s="10"/>
      <c r="B131" s="10"/>
      <c r="C131" s="10"/>
      <c r="D131" s="10"/>
      <c r="E131" s="10"/>
      <c r="F131" s="19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</row>
    <row r="132" spans="1:18" ht="15.6" x14ac:dyDescent="0.3">
      <c r="A132" s="10"/>
      <c r="B132" s="10"/>
      <c r="C132" s="10"/>
      <c r="D132" s="10"/>
      <c r="E132" s="10"/>
      <c r="F132" s="19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</row>
    <row r="133" spans="1:18" ht="15.6" x14ac:dyDescent="0.3">
      <c r="A133" s="10"/>
      <c r="B133" s="10"/>
      <c r="C133" s="10"/>
      <c r="D133" s="10"/>
      <c r="E133" s="10"/>
      <c r="F133" s="19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</row>
    <row r="134" spans="1:18" ht="15.6" x14ac:dyDescent="0.3">
      <c r="A134" s="10"/>
      <c r="B134" s="10"/>
      <c r="C134" s="10"/>
      <c r="D134" s="10"/>
      <c r="E134" s="10"/>
      <c r="F134" s="19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</row>
    <row r="135" spans="1:18" ht="15.6" x14ac:dyDescent="0.3">
      <c r="A135" s="10"/>
      <c r="B135" s="10"/>
      <c r="C135" s="10"/>
      <c r="D135" s="10"/>
      <c r="E135" s="10"/>
      <c r="F135" s="19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</row>
    <row r="136" spans="1:18" ht="15.6" x14ac:dyDescent="0.3">
      <c r="A136" s="10"/>
      <c r="B136" s="10"/>
      <c r="C136" s="10"/>
      <c r="D136" s="10"/>
      <c r="E136" s="10"/>
      <c r="F136" s="19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</row>
    <row r="137" spans="1:18" ht="15.6" x14ac:dyDescent="0.3">
      <c r="A137" s="10"/>
      <c r="B137" s="10"/>
      <c r="C137" s="10"/>
      <c r="D137" s="10"/>
      <c r="E137" s="10"/>
      <c r="F137" s="19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</row>
    <row r="138" spans="1:18" x14ac:dyDescent="0.3">
      <c r="A138" s="3"/>
      <c r="B138" s="3"/>
      <c r="C138" s="3"/>
      <c r="D138" s="3"/>
      <c r="E138" s="3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</row>
    <row r="139" spans="1:18" x14ac:dyDescent="0.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</row>
    <row r="140" spans="1:18" x14ac:dyDescent="0.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</row>
    <row r="141" spans="1:18" x14ac:dyDescent="0.3">
      <c r="A141" s="3"/>
      <c r="B141" s="3"/>
      <c r="C141" s="3"/>
      <c r="D141" s="3"/>
      <c r="E141" s="3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</row>
    <row r="142" spans="1:18" x14ac:dyDescent="0.3">
      <c r="A142" s="3"/>
      <c r="B142" s="3"/>
      <c r="C142" s="3"/>
      <c r="D142" s="3"/>
      <c r="E142" s="3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</row>
    <row r="143" spans="1:18" x14ac:dyDescent="0.3">
      <c r="A143" s="3"/>
      <c r="B143" s="3"/>
      <c r="C143" s="3"/>
      <c r="D143" s="3"/>
      <c r="E143" s="3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</row>
    <row r="144" spans="1:18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</row>
    <row r="145" spans="1:18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</row>
    <row r="146" spans="1:18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</row>
    <row r="147" spans="1:18" x14ac:dyDescent="0.3">
      <c r="F147" s="3"/>
      <c r="G147" s="3"/>
      <c r="H147" s="3"/>
    </row>
    <row r="148" spans="1:18" x14ac:dyDescent="0.3">
      <c r="F148" s="3"/>
      <c r="G148" s="3"/>
      <c r="H148" s="3"/>
    </row>
    <row r="149" spans="1:18" x14ac:dyDescent="0.3">
      <c r="F149" s="3"/>
      <c r="G149" s="3"/>
      <c r="H149" s="3"/>
    </row>
    <row r="178" spans="9:22" x14ac:dyDescent="0.3"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9:22" x14ac:dyDescent="0.3"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9:22" x14ac:dyDescent="0.3"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9:22" x14ac:dyDescent="0.3"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9:22" x14ac:dyDescent="0.3"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</sheetData>
  <mergeCells count="23">
    <mergeCell ref="K4:L4"/>
    <mergeCell ref="N4:O4"/>
    <mergeCell ref="B21:B22"/>
    <mergeCell ref="B23:B24"/>
    <mergeCell ref="B25:B26"/>
    <mergeCell ref="C15:F15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57:B58"/>
    <mergeCell ref="B59:B60"/>
    <mergeCell ref="B47:B48"/>
    <mergeCell ref="B49:B50"/>
    <mergeCell ref="B51:B52"/>
    <mergeCell ref="B53:B54"/>
    <mergeCell ref="B55:B56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R20"/>
  <sheetViews>
    <sheetView showGridLines="0" zoomScaleNormal="100" workbookViewId="0">
      <selection activeCell="S11" sqref="S11"/>
    </sheetView>
  </sheetViews>
  <sheetFormatPr baseColWidth="10" defaultRowHeight="14.4" x14ac:dyDescent="0.3"/>
  <cols>
    <col min="2" max="2" width="3" bestFit="1" customWidth="1"/>
    <col min="3" max="3" width="6.77734375" customWidth="1"/>
    <col min="4" max="4" width="8.33203125" bestFit="1" customWidth="1"/>
    <col min="5" max="5" width="9.5546875" bestFit="1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2.77734375" customWidth="1"/>
  </cols>
  <sheetData>
    <row r="1" spans="1:18" x14ac:dyDescent="0.3">
      <c r="A1" s="1"/>
    </row>
    <row r="2" spans="1:18" ht="16.2" thickBot="1" x14ac:dyDescent="0.35">
      <c r="A2" s="1"/>
      <c r="B2" s="7"/>
      <c r="C2" s="9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20"/>
      <c r="Q2" s="20"/>
      <c r="R2" s="7"/>
    </row>
    <row r="3" spans="1:18" ht="18" customHeight="1" thickBot="1" x14ac:dyDescent="0.35">
      <c r="A3" s="1"/>
      <c r="B3" s="21"/>
      <c r="C3" s="14" t="s">
        <v>0</v>
      </c>
      <c r="D3" s="14" t="s">
        <v>1</v>
      </c>
      <c r="E3" s="14" t="s">
        <v>2</v>
      </c>
      <c r="F3" s="7"/>
      <c r="G3" s="7"/>
      <c r="H3" s="7"/>
      <c r="I3" s="7"/>
      <c r="J3" s="22" t="s">
        <v>11</v>
      </c>
      <c r="K3" s="23" t="s">
        <v>4</v>
      </c>
      <c r="L3" s="24">
        <f>+'Hoja de cronometraje'!E20</f>
        <v>3123</v>
      </c>
      <c r="M3" s="25" t="s">
        <v>7</v>
      </c>
      <c r="N3" s="7"/>
      <c r="O3" s="7"/>
      <c r="P3" s="50" t="s">
        <v>83</v>
      </c>
      <c r="Q3" s="51" t="s">
        <v>84</v>
      </c>
      <c r="R3" s="7"/>
    </row>
    <row r="4" spans="1:18" ht="16.2" thickBot="1" x14ac:dyDescent="0.35">
      <c r="A4" s="1"/>
      <c r="B4" s="26" t="s">
        <v>3</v>
      </c>
      <c r="C4" s="15">
        <f>+'Hoja de cronometraje'!C9</f>
        <v>9</v>
      </c>
      <c r="D4" s="15">
        <f>+'Hoja de cronometraje'!D9</f>
        <v>53</v>
      </c>
      <c r="E4" s="15">
        <f>+'Hoja de cronometraje'!E9</f>
        <v>56</v>
      </c>
      <c r="F4" s="7" t="s">
        <v>4</v>
      </c>
      <c r="G4" s="27">
        <f>(C4*3600)+(D4*60)+E4</f>
        <v>35636</v>
      </c>
      <c r="H4" s="28" t="s">
        <v>5</v>
      </c>
      <c r="I4" s="7"/>
      <c r="J4" s="22" t="s">
        <v>12</v>
      </c>
      <c r="K4" s="23" t="s">
        <v>4</v>
      </c>
      <c r="L4" s="29">
        <f>+'Hoja de cronometraje'!E61</f>
        <v>1892</v>
      </c>
      <c r="M4" s="25" t="s">
        <v>7</v>
      </c>
      <c r="N4" s="7"/>
      <c r="O4" s="7"/>
      <c r="P4" s="45" t="s">
        <v>85</v>
      </c>
      <c r="Q4" s="46" t="str">
        <f>+CONCATENATE(C4,"h ",D4,"'",E4,"""")</f>
        <v>9h 53'56"</v>
      </c>
      <c r="R4" s="7"/>
    </row>
    <row r="5" spans="1:18" ht="16.2" thickBot="1" x14ac:dyDescent="0.35">
      <c r="A5" s="1"/>
      <c r="B5" s="30" t="s">
        <v>6</v>
      </c>
      <c r="C5" s="15">
        <f>+'Hoja de cronometraje'!C10</f>
        <v>9</v>
      </c>
      <c r="D5" s="15">
        <f>+'Hoja de cronometraje'!D10</f>
        <v>41</v>
      </c>
      <c r="E5" s="15">
        <f>+'Hoja de cronometraje'!E10</f>
        <v>12</v>
      </c>
      <c r="F5" s="7" t="s">
        <v>4</v>
      </c>
      <c r="G5" s="31">
        <f>(C5*3600)+(D5*60)+E5</f>
        <v>34872</v>
      </c>
      <c r="H5" s="25" t="s">
        <v>5</v>
      </c>
      <c r="I5" s="7"/>
      <c r="J5" s="22" t="s">
        <v>14</v>
      </c>
      <c r="K5" s="23" t="s">
        <v>4</v>
      </c>
      <c r="L5" s="32">
        <v>0</v>
      </c>
      <c r="M5" s="25" t="s">
        <v>7</v>
      </c>
      <c r="N5" s="7"/>
      <c r="O5" s="7"/>
      <c r="P5" s="45" t="s">
        <v>86</v>
      </c>
      <c r="Q5" s="46" t="str">
        <f>+CONCATENATE(C5,"h ",D5,"'",E5,"""")</f>
        <v>9h 41'12"</v>
      </c>
      <c r="R5" s="7"/>
    </row>
    <row r="6" spans="1:18" ht="15.6" x14ac:dyDescent="0.3">
      <c r="B6" s="7"/>
      <c r="C6" s="7"/>
      <c r="D6" s="7"/>
      <c r="E6" s="9"/>
      <c r="F6" s="7"/>
      <c r="G6" s="7"/>
      <c r="H6" s="7"/>
      <c r="I6" s="7"/>
      <c r="J6" s="9"/>
      <c r="K6" s="7"/>
      <c r="L6" s="7"/>
      <c r="M6" s="7"/>
      <c r="N6" s="7"/>
      <c r="O6" s="7"/>
      <c r="P6" s="47" t="s">
        <v>10</v>
      </c>
      <c r="Q6" s="48" t="str">
        <f>+CONCATENATE(G7," seg")</f>
        <v>764 seg</v>
      </c>
      <c r="R6" s="7"/>
    </row>
    <row r="7" spans="1:18" ht="16.2" thickBot="1" x14ac:dyDescent="0.35">
      <c r="B7" s="7"/>
      <c r="C7" s="7"/>
      <c r="D7" s="7"/>
      <c r="E7" s="22" t="s">
        <v>10</v>
      </c>
      <c r="F7" s="23" t="s">
        <v>4</v>
      </c>
      <c r="G7" s="23">
        <f>G4-G5</f>
        <v>764</v>
      </c>
      <c r="H7" s="25" t="s">
        <v>5</v>
      </c>
      <c r="I7" s="7"/>
      <c r="J7" s="9"/>
      <c r="K7" s="7"/>
      <c r="L7" s="7"/>
      <c r="M7" s="7"/>
      <c r="N7" s="7"/>
      <c r="O7" s="7"/>
      <c r="P7" s="47" t="s">
        <v>10</v>
      </c>
      <c r="Q7" s="48" t="str">
        <f>+CONCATENATE(G8," c.s.")</f>
        <v>76400 c.s.</v>
      </c>
      <c r="R7" s="7"/>
    </row>
    <row r="8" spans="1:18" ht="16.2" thickBot="1" x14ac:dyDescent="0.35">
      <c r="B8" s="7"/>
      <c r="C8" s="7"/>
      <c r="D8" s="7"/>
      <c r="E8" s="22" t="s">
        <v>10</v>
      </c>
      <c r="F8" s="23" t="s">
        <v>4</v>
      </c>
      <c r="G8" s="29">
        <f>G7*100</f>
        <v>76400</v>
      </c>
      <c r="H8" s="25" t="s">
        <v>7</v>
      </c>
      <c r="I8" s="7"/>
      <c r="J8" s="22" t="s">
        <v>13</v>
      </c>
      <c r="K8" s="23" t="s">
        <v>4</v>
      </c>
      <c r="L8" s="23">
        <f>G8-L3-L4</f>
        <v>71385</v>
      </c>
      <c r="M8" s="25" t="s">
        <v>7</v>
      </c>
      <c r="N8" s="7"/>
      <c r="O8" s="7"/>
      <c r="P8" s="45" t="s">
        <v>11</v>
      </c>
      <c r="Q8" s="46" t="str">
        <f>+CONCATENATE(L3," c.s.")</f>
        <v>3123 c.s.</v>
      </c>
      <c r="R8" s="7"/>
    </row>
    <row r="9" spans="1:18" ht="15.6" x14ac:dyDescent="0.3">
      <c r="B9" s="7"/>
      <c r="C9" s="7"/>
      <c r="D9" s="7"/>
      <c r="E9" s="7"/>
      <c r="F9" s="7"/>
      <c r="G9" s="7"/>
      <c r="H9" s="7"/>
      <c r="I9" s="7"/>
      <c r="J9" s="22" t="s">
        <v>15</v>
      </c>
      <c r="K9" s="23" t="s">
        <v>4</v>
      </c>
      <c r="L9" s="23">
        <f>L8-L5</f>
        <v>71385</v>
      </c>
      <c r="M9" s="25" t="s">
        <v>7</v>
      </c>
      <c r="N9" s="7"/>
      <c r="O9" s="7"/>
      <c r="P9" s="45" t="s">
        <v>12</v>
      </c>
      <c r="Q9" s="46" t="str">
        <f>+CONCATENATE(L4," c.s.")</f>
        <v>1892 c.s.</v>
      </c>
      <c r="R9" s="7"/>
    </row>
    <row r="10" spans="1:18" ht="15.6" x14ac:dyDescent="0.3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47" t="s">
        <v>13</v>
      </c>
      <c r="Q10" s="48" t="str">
        <f>+CONCATENATE(L8," c.s.")</f>
        <v>71385 c.s.</v>
      </c>
      <c r="R10" s="7"/>
    </row>
    <row r="11" spans="1:18" ht="15.6" x14ac:dyDescent="0.3">
      <c r="B11" s="7"/>
      <c r="C11" s="7"/>
      <c r="D11" s="7"/>
      <c r="E11" s="7"/>
      <c r="F11" s="7"/>
      <c r="G11" s="7"/>
      <c r="H11" s="7"/>
      <c r="I11" s="7"/>
      <c r="J11" s="9"/>
      <c r="K11" s="7"/>
      <c r="L11" s="7"/>
      <c r="M11" s="7"/>
      <c r="N11" s="7"/>
      <c r="O11" s="7"/>
      <c r="P11" s="47" t="s">
        <v>87</v>
      </c>
      <c r="Q11" s="48" t="str">
        <f>+CONCATENATE(L5," c.s.")</f>
        <v>0 c.s.</v>
      </c>
      <c r="R11" s="7"/>
    </row>
    <row r="12" spans="1:18" ht="15.6" x14ac:dyDescent="0.3">
      <c r="B12" s="7"/>
      <c r="C12" s="7"/>
      <c r="D12" s="7"/>
      <c r="E12" s="7"/>
      <c r="F12" s="7"/>
      <c r="G12" s="7"/>
      <c r="H12" s="7"/>
      <c r="I12" s="7"/>
      <c r="J12" s="33" t="s">
        <v>16</v>
      </c>
      <c r="K12" s="23" t="s">
        <v>4</v>
      </c>
      <c r="L12" s="23">
        <f>+'Hoja de cronometraje'!E62</f>
        <v>76426</v>
      </c>
      <c r="M12" s="25" t="s">
        <v>7</v>
      </c>
      <c r="N12" s="7"/>
      <c r="O12" s="7"/>
      <c r="P12" s="47" t="s">
        <v>15</v>
      </c>
      <c r="Q12" s="48" t="str">
        <f>+CONCATENATE(L9," c.s.")</f>
        <v>71385 c.s.</v>
      </c>
      <c r="R12" s="7"/>
    </row>
    <row r="13" spans="1:18" ht="15.6" x14ac:dyDescent="0.3">
      <c r="B13" s="7"/>
      <c r="C13" s="7"/>
      <c r="D13" s="7"/>
      <c r="E13" s="7"/>
      <c r="F13" s="7"/>
      <c r="G13" s="7"/>
      <c r="H13" s="7"/>
      <c r="I13" s="7"/>
      <c r="J13" s="33" t="s">
        <v>17</v>
      </c>
      <c r="K13" s="23" t="s">
        <v>4</v>
      </c>
      <c r="L13" s="23">
        <f>G8-L12</f>
        <v>-26</v>
      </c>
      <c r="M13" s="25" t="s">
        <v>7</v>
      </c>
      <c r="N13" s="7"/>
      <c r="O13" s="7"/>
      <c r="P13" s="45" t="s">
        <v>16</v>
      </c>
      <c r="Q13" s="46" t="str">
        <f>+CONCATENATE(L12," c.s.")</f>
        <v>76426 c.s.</v>
      </c>
      <c r="R13" s="7"/>
    </row>
    <row r="14" spans="1:18" ht="15.6" x14ac:dyDescent="0.3">
      <c r="B14" s="7"/>
      <c r="C14" s="7"/>
      <c r="D14" s="7"/>
      <c r="E14" s="7"/>
      <c r="F14" s="7"/>
      <c r="G14" s="7"/>
      <c r="H14" s="7"/>
      <c r="I14" s="7"/>
      <c r="J14" s="9"/>
      <c r="K14" s="7"/>
      <c r="L14" s="7"/>
      <c r="M14" s="7"/>
      <c r="N14" s="7"/>
      <c r="O14" s="7"/>
      <c r="P14" s="47" t="s">
        <v>88</v>
      </c>
      <c r="Q14" s="48" t="str">
        <f>+CONCATENATE(L13," c.s.")</f>
        <v>-26 c.s.</v>
      </c>
      <c r="R14" s="7"/>
    </row>
    <row r="15" spans="1:18" ht="15.6" x14ac:dyDescent="0.3">
      <c r="B15" s="7"/>
      <c r="C15" s="7"/>
      <c r="D15" s="7"/>
      <c r="E15" s="7"/>
      <c r="F15" s="7"/>
      <c r="G15" s="7"/>
      <c r="H15" s="7"/>
      <c r="I15" s="7"/>
      <c r="J15" s="22" t="s">
        <v>9</v>
      </c>
      <c r="K15" s="23" t="s">
        <v>4</v>
      </c>
      <c r="L15" s="34">
        <f>(L13/G8)*100</f>
        <v>-3.4031413612565446E-2</v>
      </c>
      <c r="M15" s="25" t="s">
        <v>8</v>
      </c>
      <c r="N15" s="7"/>
      <c r="O15" s="7"/>
      <c r="P15" s="47" t="s">
        <v>9</v>
      </c>
      <c r="Q15" s="49" t="str">
        <f>+CONCATENATE(ROUND(L15,2)," %")</f>
        <v>-0.03 %</v>
      </c>
      <c r="R15" s="7"/>
    </row>
    <row r="16" spans="1:18" ht="15.6" x14ac:dyDescent="0.3">
      <c r="B16" s="7"/>
      <c r="C16" s="7"/>
      <c r="D16" s="7"/>
      <c r="E16" s="7"/>
      <c r="F16" s="7"/>
      <c r="G16" s="35"/>
      <c r="H16" s="7"/>
      <c r="I16" s="7"/>
      <c r="J16" s="7"/>
      <c r="K16" s="7"/>
      <c r="L16" s="7"/>
      <c r="M16" s="7"/>
      <c r="N16" s="7"/>
      <c r="O16" s="7"/>
      <c r="P16" s="8"/>
      <c r="Q16" s="8"/>
      <c r="R16" s="7"/>
    </row>
    <row r="17" spans="2:18" ht="15.6" x14ac:dyDescent="0.3">
      <c r="B17" s="7"/>
      <c r="C17" s="7"/>
      <c r="D17" s="7"/>
      <c r="E17" s="7"/>
      <c r="F17" s="7"/>
      <c r="G17" s="7"/>
      <c r="H17" s="7"/>
      <c r="I17" s="108" t="str">
        <f>IF(ABS(L15)&lt;1,"Los tiempos son confiables","Los tiempos no son confiables")</f>
        <v>Los tiempos son confiables</v>
      </c>
      <c r="J17" s="109"/>
      <c r="K17" s="109"/>
      <c r="L17" s="109"/>
      <c r="M17" s="109"/>
      <c r="N17" s="110"/>
      <c r="O17" s="7"/>
      <c r="P17" s="10"/>
      <c r="Q17" s="10"/>
      <c r="R17" s="7"/>
    </row>
    <row r="18" spans="2:18" ht="15.6" x14ac:dyDescent="0.3">
      <c r="B18" s="7"/>
      <c r="C18" s="7"/>
      <c r="D18" s="7"/>
      <c r="E18" s="7"/>
      <c r="F18" s="7"/>
      <c r="G18" s="7"/>
      <c r="H18" s="7"/>
      <c r="I18" s="111"/>
      <c r="J18" s="112"/>
      <c r="K18" s="112"/>
      <c r="L18" s="112"/>
      <c r="M18" s="112"/>
      <c r="N18" s="113"/>
      <c r="O18" s="7"/>
      <c r="P18" s="10"/>
      <c r="Q18" s="10"/>
      <c r="R18" s="7"/>
    </row>
    <row r="19" spans="2:18" ht="15.6" x14ac:dyDescent="0.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ht="15.6" x14ac:dyDescent="0.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A1:U31"/>
  <sheetViews>
    <sheetView showGridLines="0" topLeftCell="A2" zoomScaleNormal="100" workbookViewId="0">
      <selection activeCell="A31" sqref="A31"/>
    </sheetView>
  </sheetViews>
  <sheetFormatPr baseColWidth="10" defaultRowHeight="14.4" x14ac:dyDescent="0.3"/>
  <cols>
    <col min="7" max="7" width="14.21875" bestFit="1" customWidth="1"/>
    <col min="16" max="16" width="14.21875" bestFit="1" customWidth="1"/>
  </cols>
  <sheetData>
    <row r="1" spans="1:21" ht="15.6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ht="15.6" x14ac:dyDescent="0.3">
      <c r="A2" s="7"/>
      <c r="B2" s="18"/>
      <c r="C2" s="7"/>
      <c r="D2" s="7"/>
      <c r="E2" s="15"/>
      <c r="F2" s="7"/>
      <c r="G2" s="116" t="str">
        <f>+'Hoja de cronometraje'!K4</f>
        <v>Elemento A</v>
      </c>
      <c r="H2" s="117"/>
      <c r="I2" s="7"/>
      <c r="J2" s="7"/>
      <c r="K2" s="7"/>
      <c r="L2" s="7"/>
      <c r="M2" s="7"/>
      <c r="N2" s="7"/>
      <c r="O2" s="7"/>
      <c r="P2" s="116" t="str">
        <f>+'Hoja de cronometraje'!N4</f>
        <v>Elemento R</v>
      </c>
      <c r="Q2" s="117"/>
      <c r="R2" s="7"/>
      <c r="S2" s="7"/>
      <c r="T2" s="7"/>
      <c r="U2" s="7"/>
    </row>
    <row r="3" spans="1:21" ht="15.6" x14ac:dyDescent="0.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ht="15.6" x14ac:dyDescent="0.3">
      <c r="B4" s="7"/>
      <c r="C4" s="10"/>
      <c r="D4" s="10"/>
      <c r="E4" s="10"/>
      <c r="F4" s="10"/>
      <c r="G4" s="10"/>
      <c r="H4" s="10"/>
      <c r="I4" s="7"/>
      <c r="J4" s="7"/>
      <c r="K4" s="7"/>
      <c r="L4" s="10"/>
      <c r="M4" s="10"/>
      <c r="N4" s="10"/>
      <c r="O4" s="10"/>
      <c r="P4" s="10"/>
      <c r="Q4" s="10"/>
      <c r="R4" s="7"/>
      <c r="S4" s="7"/>
      <c r="T4" s="7"/>
      <c r="U4" s="7"/>
    </row>
    <row r="5" spans="1:21" ht="15.6" x14ac:dyDescent="0.3">
      <c r="A5" s="7"/>
      <c r="B5" s="7"/>
      <c r="C5" s="10"/>
      <c r="D5" s="50" t="s">
        <v>18</v>
      </c>
      <c r="E5" s="50" t="s">
        <v>19</v>
      </c>
      <c r="F5" s="50" t="s">
        <v>20</v>
      </c>
      <c r="G5" s="50" t="s">
        <v>21</v>
      </c>
      <c r="H5" s="10"/>
      <c r="I5" s="7"/>
      <c r="J5" s="7"/>
      <c r="K5" s="7"/>
      <c r="L5" s="10"/>
      <c r="M5" s="50" t="s">
        <v>18</v>
      </c>
      <c r="N5" s="50" t="s">
        <v>19</v>
      </c>
      <c r="O5" s="50" t="s">
        <v>20</v>
      </c>
      <c r="P5" s="50" t="s">
        <v>21</v>
      </c>
      <c r="Q5" s="10"/>
      <c r="R5" s="7"/>
      <c r="S5" s="7"/>
      <c r="T5" s="7"/>
      <c r="U5" s="7"/>
    </row>
    <row r="6" spans="1:21" ht="15.6" x14ac:dyDescent="0.3">
      <c r="A6" s="7"/>
      <c r="B6" s="7"/>
      <c r="C6" s="10"/>
      <c r="D6" s="52">
        <f ca="1">+'Hoja de cronometraje'!K7</f>
        <v>95</v>
      </c>
      <c r="E6" s="52">
        <f ca="1">+'Hoja de cronometraje'!L7</f>
        <v>1202</v>
      </c>
      <c r="F6" s="52">
        <f ca="1">(D6*E6)/100</f>
        <v>1141.9000000000001</v>
      </c>
      <c r="G6" s="52">
        <f ca="1">POWER(F6,2)</f>
        <v>1303935.6100000001</v>
      </c>
      <c r="H6" s="10"/>
      <c r="I6" s="15"/>
      <c r="J6" s="7"/>
      <c r="K6" s="7"/>
      <c r="L6" s="10"/>
      <c r="M6" s="52">
        <f ca="1">+'Hoja de cronometraje'!N7</f>
        <v>90</v>
      </c>
      <c r="N6" s="52">
        <f ca="1">+'Hoja de cronometraje'!O7</f>
        <v>2327</v>
      </c>
      <c r="O6" s="52">
        <f ca="1">(M6*N6)/100</f>
        <v>2094.3000000000002</v>
      </c>
      <c r="P6" s="52">
        <f ca="1">POWER(O6,2)</f>
        <v>4386092.4900000012</v>
      </c>
      <c r="Q6" s="10"/>
      <c r="R6" s="7"/>
      <c r="S6" s="7"/>
      <c r="T6" s="7"/>
      <c r="U6" s="7"/>
    </row>
    <row r="7" spans="1:21" ht="15.6" x14ac:dyDescent="0.3">
      <c r="A7" s="7"/>
      <c r="B7" s="7"/>
      <c r="C7" s="10"/>
      <c r="D7" s="52">
        <f ca="1">+'Hoja de cronometraje'!K8</f>
        <v>100</v>
      </c>
      <c r="E7" s="52">
        <f ca="1">+'Hoja de cronometraje'!L8</f>
        <v>1126</v>
      </c>
      <c r="F7" s="52">
        <f t="shared" ref="F7:F25" ca="1" si="0">(D7*E7)/100</f>
        <v>1126</v>
      </c>
      <c r="G7" s="52">
        <f t="shared" ref="G7:G25" ca="1" si="1">POWER(F7,2)</f>
        <v>1267876</v>
      </c>
      <c r="H7" s="10"/>
      <c r="I7" s="30" t="s">
        <v>23</v>
      </c>
      <c r="J7" s="15">
        <f ca="1">COUNTA(E6:E25)</f>
        <v>20</v>
      </c>
      <c r="K7" s="7"/>
      <c r="L7" s="10"/>
      <c r="M7" s="52">
        <f ca="1">+'Hoja de cronometraje'!N8</f>
        <v>90</v>
      </c>
      <c r="N7" s="52">
        <f ca="1">+'Hoja de cronometraje'!O8</f>
        <v>2341</v>
      </c>
      <c r="O7" s="52">
        <f t="shared" ref="O7:O25" ca="1" si="2">(M7*N7)/100</f>
        <v>2106.9</v>
      </c>
      <c r="P7" s="52">
        <f t="shared" ref="P7:P25" ca="1" si="3">POWER(O7,2)</f>
        <v>4439027.6100000003</v>
      </c>
      <c r="Q7" s="10"/>
      <c r="R7" s="30" t="s">
        <v>23</v>
      </c>
      <c r="S7" s="15">
        <f ca="1">COUNTA(N6:N25)</f>
        <v>20</v>
      </c>
      <c r="T7" s="7"/>
      <c r="U7" s="7"/>
    </row>
    <row r="8" spans="1:21" ht="15.6" x14ac:dyDescent="0.3">
      <c r="A8" s="7"/>
      <c r="B8" s="7"/>
      <c r="C8" s="10"/>
      <c r="D8" s="52">
        <f ca="1">+'Hoja de cronometraje'!K9</f>
        <v>100</v>
      </c>
      <c r="E8" s="52">
        <f ca="1">+'Hoja de cronometraje'!L9</f>
        <v>1201</v>
      </c>
      <c r="F8" s="52">
        <f t="shared" ca="1" si="0"/>
        <v>1201</v>
      </c>
      <c r="G8" s="52">
        <f t="shared" ca="1" si="1"/>
        <v>1442401</v>
      </c>
      <c r="H8" s="10"/>
      <c r="I8" s="9"/>
      <c r="J8" s="7"/>
      <c r="K8" s="7"/>
      <c r="L8" s="10"/>
      <c r="M8" s="52">
        <f ca="1">+'Hoja de cronometraje'!N9</f>
        <v>85</v>
      </c>
      <c r="N8" s="52">
        <f ca="1">+'Hoja de cronometraje'!O9</f>
        <v>2484</v>
      </c>
      <c r="O8" s="52">
        <f t="shared" ca="1" si="2"/>
        <v>2111.4</v>
      </c>
      <c r="P8" s="52">
        <f t="shared" ca="1" si="3"/>
        <v>4458009.96</v>
      </c>
      <c r="Q8" s="10"/>
      <c r="R8" s="9"/>
      <c r="S8" s="7"/>
      <c r="T8" s="7"/>
      <c r="U8" s="7"/>
    </row>
    <row r="9" spans="1:21" ht="15.6" x14ac:dyDescent="0.3">
      <c r="A9" s="7"/>
      <c r="B9" s="7"/>
      <c r="C9" s="10"/>
      <c r="D9" s="52">
        <f ca="1">+'Hoja de cronometraje'!K10</f>
        <v>100</v>
      </c>
      <c r="E9" s="52">
        <f ca="1">+'Hoja de cronometraje'!L10</f>
        <v>1151</v>
      </c>
      <c r="F9" s="52">
        <f t="shared" ca="1" si="0"/>
        <v>1151</v>
      </c>
      <c r="G9" s="52">
        <f t="shared" ca="1" si="1"/>
        <v>1324801</v>
      </c>
      <c r="H9" s="10"/>
      <c r="I9" s="9"/>
      <c r="J9" s="7"/>
      <c r="K9" s="7"/>
      <c r="L9" s="10"/>
      <c r="M9" s="52">
        <f ca="1">+'Hoja de cronometraje'!N10</f>
        <v>95</v>
      </c>
      <c r="N9" s="52">
        <f ca="1">+'Hoja de cronometraje'!O10</f>
        <v>2344</v>
      </c>
      <c r="O9" s="52">
        <f t="shared" ca="1" si="2"/>
        <v>2226.8000000000002</v>
      </c>
      <c r="P9" s="52">
        <f t="shared" ca="1" si="3"/>
        <v>4958638.2400000012</v>
      </c>
      <c r="Q9" s="10"/>
      <c r="R9" s="9"/>
      <c r="S9" s="7"/>
      <c r="T9" s="7"/>
      <c r="U9" s="7"/>
    </row>
    <row r="10" spans="1:21" ht="15.6" x14ac:dyDescent="0.3">
      <c r="A10" s="7"/>
      <c r="B10" s="7"/>
      <c r="C10" s="10"/>
      <c r="D10" s="52">
        <f ca="1">+'Hoja de cronometraje'!K11</f>
        <v>105</v>
      </c>
      <c r="E10" s="52">
        <f ca="1">+'Hoja de cronometraje'!L11</f>
        <v>1204</v>
      </c>
      <c r="F10" s="52">
        <f t="shared" ca="1" si="0"/>
        <v>1264.2</v>
      </c>
      <c r="G10" s="52">
        <f t="shared" ca="1" si="1"/>
        <v>1598201.6400000001</v>
      </c>
      <c r="H10" s="10"/>
      <c r="I10" s="7"/>
      <c r="J10" s="7"/>
      <c r="K10" s="7"/>
      <c r="L10" s="10"/>
      <c r="M10" s="52">
        <f ca="1">+'Hoja de cronometraje'!N11</f>
        <v>85</v>
      </c>
      <c r="N10" s="52">
        <f ca="1">+'Hoja de cronometraje'!O11</f>
        <v>2486</v>
      </c>
      <c r="O10" s="52">
        <f t="shared" ca="1" si="2"/>
        <v>2113.1</v>
      </c>
      <c r="P10" s="52">
        <f t="shared" ca="1" si="3"/>
        <v>4465191.6099999994</v>
      </c>
      <c r="Q10" s="10"/>
      <c r="R10" s="7"/>
      <c r="S10" s="7"/>
      <c r="T10" s="7"/>
      <c r="U10" s="7"/>
    </row>
    <row r="11" spans="1:21" ht="15.6" x14ac:dyDescent="0.3">
      <c r="A11" s="7"/>
      <c r="B11" s="7"/>
      <c r="C11" s="10"/>
      <c r="D11" s="52">
        <f ca="1">+'Hoja de cronometraje'!K12</f>
        <v>95</v>
      </c>
      <c r="E11" s="52">
        <f ca="1">+'Hoja de cronometraje'!L12</f>
        <v>1191</v>
      </c>
      <c r="F11" s="52">
        <f t="shared" ca="1" si="0"/>
        <v>1131.45</v>
      </c>
      <c r="G11" s="52">
        <f t="shared" ca="1" si="1"/>
        <v>1280179.1025</v>
      </c>
      <c r="H11" s="10"/>
      <c r="I11" s="7"/>
      <c r="J11" s="7"/>
      <c r="K11" s="7"/>
      <c r="L11" s="10"/>
      <c r="M11" s="52">
        <f ca="1">+'Hoja de cronometraje'!N12</f>
        <v>85</v>
      </c>
      <c r="N11" s="52">
        <f ca="1">+'Hoja de cronometraje'!O12</f>
        <v>2386</v>
      </c>
      <c r="O11" s="52">
        <f t="shared" ca="1" si="2"/>
        <v>2028.1</v>
      </c>
      <c r="P11" s="52">
        <f t="shared" ca="1" si="3"/>
        <v>4113189.6099999994</v>
      </c>
      <c r="Q11" s="10"/>
      <c r="R11" s="7"/>
      <c r="S11" s="7"/>
      <c r="T11" s="7"/>
      <c r="U11" s="7"/>
    </row>
    <row r="12" spans="1:21" ht="15.6" x14ac:dyDescent="0.3">
      <c r="A12" s="7"/>
      <c r="B12" s="7"/>
      <c r="C12" s="10"/>
      <c r="D12" s="52">
        <f ca="1">+'Hoja de cronometraje'!K13</f>
        <v>100</v>
      </c>
      <c r="E12" s="52">
        <f ca="1">+'Hoja de cronometraje'!L13</f>
        <v>1263</v>
      </c>
      <c r="F12" s="52">
        <f t="shared" ca="1" si="0"/>
        <v>1263</v>
      </c>
      <c r="G12" s="52">
        <f t="shared" ca="1" si="1"/>
        <v>1595169</v>
      </c>
      <c r="H12" s="10"/>
      <c r="I12" s="30" t="s">
        <v>22</v>
      </c>
      <c r="J12" s="15">
        <f ca="1">ROUNDUP(POWER(((40*SQRT((J7*G26)-POWER(F26,2)))/F26),2),0)</f>
        <v>7</v>
      </c>
      <c r="K12" s="7"/>
      <c r="L12" s="10"/>
      <c r="M12" s="52">
        <f ca="1">+'Hoja de cronometraje'!N13</f>
        <v>95</v>
      </c>
      <c r="N12" s="52">
        <f ca="1">+'Hoja de cronometraje'!O13</f>
        <v>2437</v>
      </c>
      <c r="O12" s="52">
        <f t="shared" ca="1" si="2"/>
        <v>2315.15</v>
      </c>
      <c r="P12" s="52">
        <f t="shared" ca="1" si="3"/>
        <v>5359919.5225</v>
      </c>
      <c r="Q12" s="10"/>
      <c r="R12" s="30" t="s">
        <v>22</v>
      </c>
      <c r="S12" s="15">
        <f ca="1">ROUNDUP(POWER(((40*SQRT((S7*P26)-POWER(O26,2)))/O26),2),0)</f>
        <v>5</v>
      </c>
      <c r="T12" s="7"/>
      <c r="U12" s="7"/>
    </row>
    <row r="13" spans="1:21" ht="15.6" x14ac:dyDescent="0.3">
      <c r="A13" s="7"/>
      <c r="B13" s="7"/>
      <c r="C13" s="10"/>
      <c r="D13" s="52">
        <f ca="1">+'Hoja de cronometraje'!K14</f>
        <v>85</v>
      </c>
      <c r="E13" s="52">
        <f ca="1">+'Hoja de cronometraje'!L14</f>
        <v>1205</v>
      </c>
      <c r="F13" s="52">
        <f t="shared" ca="1" si="0"/>
        <v>1024.25</v>
      </c>
      <c r="G13" s="52">
        <f t="shared" ca="1" si="1"/>
        <v>1049088.0625</v>
      </c>
      <c r="H13" s="10"/>
      <c r="I13" s="7"/>
      <c r="J13" s="7"/>
      <c r="K13" s="7"/>
      <c r="L13" s="10"/>
      <c r="M13" s="52">
        <f ca="1">+'Hoja de cronometraje'!N14</f>
        <v>100</v>
      </c>
      <c r="N13" s="52">
        <f ca="1">+'Hoja de cronometraje'!O14</f>
        <v>2362</v>
      </c>
      <c r="O13" s="52">
        <f t="shared" ca="1" si="2"/>
        <v>2362</v>
      </c>
      <c r="P13" s="52">
        <f t="shared" ca="1" si="3"/>
        <v>5579044</v>
      </c>
      <c r="Q13" s="10"/>
      <c r="R13" s="7"/>
      <c r="S13" s="7"/>
      <c r="T13" s="7"/>
      <c r="U13" s="7"/>
    </row>
    <row r="14" spans="1:21" ht="15.6" x14ac:dyDescent="0.3">
      <c r="A14" s="7"/>
      <c r="B14" s="7"/>
      <c r="C14" s="10"/>
      <c r="D14" s="52">
        <f ca="1">+'Hoja de cronometraje'!K15</f>
        <v>100</v>
      </c>
      <c r="E14" s="52">
        <f ca="1">+'Hoja de cronometraje'!L15</f>
        <v>1248</v>
      </c>
      <c r="F14" s="52">
        <f t="shared" ca="1" si="0"/>
        <v>1248</v>
      </c>
      <c r="G14" s="52">
        <f t="shared" ca="1" si="1"/>
        <v>1557504</v>
      </c>
      <c r="H14" s="10"/>
      <c r="I14" s="7"/>
      <c r="J14" s="7"/>
      <c r="K14" s="7"/>
      <c r="L14" s="10"/>
      <c r="M14" s="52">
        <f ca="1">+'Hoja de cronometraje'!N15</f>
        <v>85</v>
      </c>
      <c r="N14" s="52">
        <f ca="1">+'Hoja de cronometraje'!O15</f>
        <v>2378</v>
      </c>
      <c r="O14" s="52">
        <f t="shared" ca="1" si="2"/>
        <v>2021.3</v>
      </c>
      <c r="P14" s="52">
        <f t="shared" ca="1" si="3"/>
        <v>4085653.69</v>
      </c>
      <c r="Q14" s="10"/>
      <c r="R14" s="7"/>
      <c r="S14" s="7"/>
      <c r="T14" s="7"/>
      <c r="U14" s="7"/>
    </row>
    <row r="15" spans="1:21" ht="15.6" x14ac:dyDescent="0.3">
      <c r="A15" s="7"/>
      <c r="B15" s="7"/>
      <c r="C15" s="10"/>
      <c r="D15" s="52">
        <f ca="1">+'Hoja de cronometraje'!K16</f>
        <v>100</v>
      </c>
      <c r="E15" s="52">
        <f ca="1">+'Hoja de cronometraje'!L16</f>
        <v>1174</v>
      </c>
      <c r="F15" s="52">
        <f t="shared" ca="1" si="0"/>
        <v>1174</v>
      </c>
      <c r="G15" s="52">
        <f t="shared" ca="1" si="1"/>
        <v>1378276</v>
      </c>
      <c r="H15" s="10"/>
      <c r="I15" s="7"/>
      <c r="J15" s="7"/>
      <c r="K15" s="7"/>
      <c r="L15" s="10"/>
      <c r="M15" s="52">
        <f ca="1">+'Hoja de cronometraje'!N16</f>
        <v>95</v>
      </c>
      <c r="N15" s="52">
        <f ca="1">+'Hoja de cronometraje'!O16</f>
        <v>2348</v>
      </c>
      <c r="O15" s="52">
        <f t="shared" ca="1" si="2"/>
        <v>2230.6</v>
      </c>
      <c r="P15" s="52">
        <f t="shared" ca="1" si="3"/>
        <v>4975576.3599999994</v>
      </c>
      <c r="Q15" s="10"/>
      <c r="R15" s="7"/>
      <c r="S15" s="7"/>
      <c r="T15" s="7"/>
      <c r="U15" s="7"/>
    </row>
    <row r="16" spans="1:21" ht="15.6" x14ac:dyDescent="0.3">
      <c r="A16" s="7"/>
      <c r="B16" s="7"/>
      <c r="C16" s="10"/>
      <c r="D16" s="52">
        <f ca="1">+'Hoja de cronometraje'!K17</f>
        <v>100</v>
      </c>
      <c r="E16" s="52">
        <f ca="1">+'Hoja de cronometraje'!L17</f>
        <v>1136</v>
      </c>
      <c r="F16" s="52">
        <f t="shared" ca="1" si="0"/>
        <v>1136</v>
      </c>
      <c r="G16" s="52">
        <f t="shared" ca="1" si="1"/>
        <v>1290496</v>
      </c>
      <c r="H16" s="10"/>
      <c r="I16" s="7"/>
      <c r="J16" s="7"/>
      <c r="K16" s="7"/>
      <c r="L16" s="10"/>
      <c r="M16" s="52">
        <f ca="1">+'Hoja de cronometraje'!N17</f>
        <v>100</v>
      </c>
      <c r="N16" s="52">
        <f ca="1">+'Hoja de cronometraje'!O17</f>
        <v>2430</v>
      </c>
      <c r="O16" s="52">
        <f t="shared" ca="1" si="2"/>
        <v>2430</v>
      </c>
      <c r="P16" s="52">
        <f t="shared" ca="1" si="3"/>
        <v>5904900</v>
      </c>
      <c r="Q16" s="10"/>
      <c r="R16" s="7"/>
      <c r="S16" s="7"/>
      <c r="T16" s="7"/>
      <c r="U16" s="7"/>
    </row>
    <row r="17" spans="1:21" ht="15.6" x14ac:dyDescent="0.3">
      <c r="A17" s="7"/>
      <c r="B17" s="7"/>
      <c r="C17" s="10"/>
      <c r="D17" s="52">
        <f ca="1">+'Hoja de cronometraje'!K18</f>
        <v>100</v>
      </c>
      <c r="E17" s="52">
        <f ca="1">+'Hoja de cronometraje'!L18</f>
        <v>1245</v>
      </c>
      <c r="F17" s="52">
        <f t="shared" ca="1" si="0"/>
        <v>1245</v>
      </c>
      <c r="G17" s="52">
        <f t="shared" ca="1" si="1"/>
        <v>1550025</v>
      </c>
      <c r="H17" s="10"/>
      <c r="I17" s="7"/>
      <c r="J17" s="7"/>
      <c r="K17" s="15"/>
      <c r="L17" s="10"/>
      <c r="M17" s="52">
        <f ca="1">+'Hoja de cronometraje'!N18</f>
        <v>90</v>
      </c>
      <c r="N17" s="52">
        <f ca="1">+'Hoja de cronometraje'!O18</f>
        <v>2494</v>
      </c>
      <c r="O17" s="52">
        <f t="shared" ca="1" si="2"/>
        <v>2244.6</v>
      </c>
      <c r="P17" s="52">
        <f t="shared" ca="1" si="3"/>
        <v>5038229.1599999992</v>
      </c>
      <c r="Q17" s="10"/>
      <c r="R17" s="7"/>
      <c r="S17" s="7"/>
      <c r="T17" s="7"/>
      <c r="U17" s="7"/>
    </row>
    <row r="18" spans="1:21" ht="15.6" x14ac:dyDescent="0.3">
      <c r="A18" s="7"/>
      <c r="B18" s="7"/>
      <c r="C18" s="10"/>
      <c r="D18" s="52">
        <f ca="1">+'Hoja de cronometraje'!K19</f>
        <v>105</v>
      </c>
      <c r="E18" s="52">
        <f ca="1">+'Hoja de cronometraje'!L19</f>
        <v>1146</v>
      </c>
      <c r="F18" s="52">
        <f t="shared" ca="1" si="0"/>
        <v>1203.3</v>
      </c>
      <c r="G18" s="52">
        <f t="shared" ca="1" si="1"/>
        <v>1447930.89</v>
      </c>
      <c r="H18" s="10"/>
      <c r="I18" s="7"/>
      <c r="J18" s="7"/>
      <c r="K18" s="7"/>
      <c r="L18" s="10"/>
      <c r="M18" s="52">
        <f ca="1">+'Hoja de cronometraje'!N19</f>
        <v>95</v>
      </c>
      <c r="N18" s="52">
        <f ca="1">+'Hoja de cronometraje'!O19</f>
        <v>2351</v>
      </c>
      <c r="O18" s="52">
        <f t="shared" ca="1" si="2"/>
        <v>2233.4499999999998</v>
      </c>
      <c r="P18" s="52">
        <f t="shared" ca="1" si="3"/>
        <v>4988298.9024999989</v>
      </c>
      <c r="Q18" s="10"/>
      <c r="R18" s="7"/>
      <c r="S18" s="7"/>
      <c r="T18" s="7"/>
      <c r="U18" s="7"/>
    </row>
    <row r="19" spans="1:21" ht="15.6" x14ac:dyDescent="0.3">
      <c r="A19" s="7"/>
      <c r="B19" s="7"/>
      <c r="C19" s="10"/>
      <c r="D19" s="52">
        <f ca="1">+'Hoja de cronometraje'!K20</f>
        <v>95</v>
      </c>
      <c r="E19" s="52">
        <f ca="1">+'Hoja de cronometraje'!L20</f>
        <v>1135</v>
      </c>
      <c r="F19" s="52">
        <f t="shared" ca="1" si="0"/>
        <v>1078.25</v>
      </c>
      <c r="G19" s="52">
        <f t="shared" ca="1" si="1"/>
        <v>1162623.0625</v>
      </c>
      <c r="H19" s="10"/>
      <c r="I19" s="7"/>
      <c r="J19" s="7"/>
      <c r="K19" s="7"/>
      <c r="L19" s="10"/>
      <c r="M19" s="52">
        <f ca="1">+'Hoja de cronometraje'!N20</f>
        <v>90</v>
      </c>
      <c r="N19" s="52">
        <f ca="1">+'Hoja de cronometraje'!O20</f>
        <v>2396</v>
      </c>
      <c r="O19" s="52">
        <f t="shared" ca="1" si="2"/>
        <v>2156.4</v>
      </c>
      <c r="P19" s="52">
        <f t="shared" ca="1" si="3"/>
        <v>4650060.96</v>
      </c>
      <c r="Q19" s="10"/>
      <c r="R19" s="7"/>
      <c r="S19" s="7"/>
      <c r="T19" s="7"/>
      <c r="U19" s="7"/>
    </row>
    <row r="20" spans="1:21" ht="15.6" x14ac:dyDescent="0.3">
      <c r="A20" s="7"/>
      <c r="B20" s="7"/>
      <c r="C20" s="10"/>
      <c r="D20" s="52">
        <f ca="1">+'Hoja de cronometraje'!K21</f>
        <v>85</v>
      </c>
      <c r="E20" s="52">
        <f ca="1">+'Hoja de cronometraje'!L21</f>
        <v>1205</v>
      </c>
      <c r="F20" s="52">
        <f t="shared" ca="1" si="0"/>
        <v>1024.25</v>
      </c>
      <c r="G20" s="52">
        <f t="shared" ca="1" si="1"/>
        <v>1049088.0625</v>
      </c>
      <c r="H20" s="10"/>
      <c r="I20" s="7"/>
      <c r="J20" s="7"/>
      <c r="K20" s="7"/>
      <c r="L20" s="10"/>
      <c r="M20" s="52">
        <f ca="1">+'Hoja de cronometraje'!N21</f>
        <v>95</v>
      </c>
      <c r="N20" s="52">
        <f ca="1">+'Hoja de cronometraje'!O21</f>
        <v>2343</v>
      </c>
      <c r="O20" s="52">
        <f t="shared" ca="1" si="2"/>
        <v>2225.85</v>
      </c>
      <c r="P20" s="52">
        <f t="shared" ca="1" si="3"/>
        <v>4954408.2224999992</v>
      </c>
      <c r="Q20" s="10"/>
      <c r="R20" s="7"/>
      <c r="S20" s="7"/>
      <c r="T20" s="7"/>
      <c r="U20" s="7"/>
    </row>
    <row r="21" spans="1:21" ht="15.6" x14ac:dyDescent="0.3">
      <c r="A21" s="7"/>
      <c r="B21" s="7"/>
      <c r="C21" s="10"/>
      <c r="D21" s="52">
        <f ca="1">+'Hoja de cronometraje'!K22</f>
        <v>90</v>
      </c>
      <c r="E21" s="52">
        <f ca="1">+'Hoja de cronometraje'!L22</f>
        <v>1207</v>
      </c>
      <c r="F21" s="52">
        <f t="shared" ca="1" si="0"/>
        <v>1086.3</v>
      </c>
      <c r="G21" s="52">
        <f t="shared" ca="1" si="1"/>
        <v>1180047.69</v>
      </c>
      <c r="H21" s="10"/>
      <c r="I21" s="7"/>
      <c r="J21" s="7"/>
      <c r="K21" s="7"/>
      <c r="L21" s="10"/>
      <c r="M21" s="52">
        <f ca="1">+'Hoja de cronometraje'!N22</f>
        <v>100</v>
      </c>
      <c r="N21" s="52">
        <f ca="1">+'Hoja de cronometraje'!O22</f>
        <v>2302</v>
      </c>
      <c r="O21" s="52">
        <f t="shared" ca="1" si="2"/>
        <v>2302</v>
      </c>
      <c r="P21" s="52">
        <f t="shared" ca="1" si="3"/>
        <v>5299204</v>
      </c>
      <c r="Q21" s="10"/>
      <c r="R21" s="7"/>
      <c r="S21" s="7"/>
      <c r="T21" s="7"/>
      <c r="U21" s="7"/>
    </row>
    <row r="22" spans="1:21" ht="15.6" x14ac:dyDescent="0.3">
      <c r="A22" s="7"/>
      <c r="B22" s="7"/>
      <c r="C22" s="10"/>
      <c r="D22" s="52">
        <f ca="1">+'Hoja de cronometraje'!K23</f>
        <v>105</v>
      </c>
      <c r="E22" s="52">
        <f ca="1">+'Hoja de cronometraje'!L23</f>
        <v>1108</v>
      </c>
      <c r="F22" s="52">
        <f t="shared" ca="1" si="0"/>
        <v>1163.4000000000001</v>
      </c>
      <c r="G22" s="52">
        <f t="shared" ca="1" si="1"/>
        <v>1353499.5600000003</v>
      </c>
      <c r="H22" s="10"/>
      <c r="I22" s="7"/>
      <c r="J22" s="7"/>
      <c r="K22" s="7"/>
      <c r="L22" s="10"/>
      <c r="M22" s="52">
        <f ca="1">+'Hoja de cronometraje'!N23</f>
        <v>90</v>
      </c>
      <c r="N22" s="52">
        <f ca="1">+'Hoja de cronometraje'!O23</f>
        <v>2322</v>
      </c>
      <c r="O22" s="52">
        <f t="shared" ca="1" si="2"/>
        <v>2089.8000000000002</v>
      </c>
      <c r="P22" s="52">
        <f t="shared" ca="1" si="3"/>
        <v>4367264.040000001</v>
      </c>
      <c r="Q22" s="10"/>
      <c r="R22" s="7"/>
      <c r="S22" s="7"/>
      <c r="T22" s="7"/>
      <c r="U22" s="7"/>
    </row>
    <row r="23" spans="1:21" ht="15.6" x14ac:dyDescent="0.3">
      <c r="A23" s="7"/>
      <c r="B23" s="7"/>
      <c r="C23" s="10"/>
      <c r="D23" s="52">
        <f ca="1">+'Hoja de cronometraje'!K24</f>
        <v>85</v>
      </c>
      <c r="E23" s="52">
        <f ca="1">+'Hoja de cronometraje'!L24</f>
        <v>1266</v>
      </c>
      <c r="F23" s="52">
        <f t="shared" ca="1" si="0"/>
        <v>1076.0999999999999</v>
      </c>
      <c r="G23" s="52">
        <f t="shared" ca="1" si="1"/>
        <v>1157991.2099999997</v>
      </c>
      <c r="H23" s="10"/>
      <c r="I23" s="7"/>
      <c r="J23" s="7"/>
      <c r="K23" s="7"/>
      <c r="L23" s="10"/>
      <c r="M23" s="52">
        <f ca="1">+'Hoja de cronometraje'!N24</f>
        <v>85</v>
      </c>
      <c r="N23" s="52">
        <f ca="1">+'Hoja de cronometraje'!O24</f>
        <v>2375</v>
      </c>
      <c r="O23" s="52">
        <f t="shared" ca="1" si="2"/>
        <v>2018.75</v>
      </c>
      <c r="P23" s="52">
        <f t="shared" ca="1" si="3"/>
        <v>4075351.5625</v>
      </c>
      <c r="Q23" s="10"/>
      <c r="R23" s="7"/>
      <c r="S23" s="7"/>
      <c r="T23" s="7"/>
      <c r="U23" s="7"/>
    </row>
    <row r="24" spans="1:21" ht="15.6" x14ac:dyDescent="0.3">
      <c r="A24" s="7"/>
      <c r="B24" s="7"/>
      <c r="C24" s="10"/>
      <c r="D24" s="52">
        <f ca="1">+'Hoja de cronometraje'!K25</f>
        <v>105</v>
      </c>
      <c r="E24" s="52">
        <f ca="1">+'Hoja de cronometraje'!L25</f>
        <v>1103</v>
      </c>
      <c r="F24" s="52">
        <f t="shared" ca="1" si="0"/>
        <v>1158.1500000000001</v>
      </c>
      <c r="G24" s="52">
        <f t="shared" ca="1" si="1"/>
        <v>1341311.4225000001</v>
      </c>
      <c r="H24" s="10"/>
      <c r="I24" s="7"/>
      <c r="J24" s="7"/>
      <c r="K24" s="7"/>
      <c r="L24" s="10"/>
      <c r="M24" s="52">
        <f ca="1">+'Hoja de cronometraje'!N25</f>
        <v>100</v>
      </c>
      <c r="N24" s="52">
        <f ca="1">+'Hoja de cronometraje'!O25</f>
        <v>2349</v>
      </c>
      <c r="O24" s="52">
        <f t="shared" ca="1" si="2"/>
        <v>2349</v>
      </c>
      <c r="P24" s="52">
        <f t="shared" ca="1" si="3"/>
        <v>5517801</v>
      </c>
      <c r="Q24" s="10"/>
      <c r="R24" s="7"/>
      <c r="S24" s="7"/>
      <c r="T24" s="7"/>
      <c r="U24" s="7"/>
    </row>
    <row r="25" spans="1:21" ht="15.6" x14ac:dyDescent="0.3">
      <c r="A25" s="7"/>
      <c r="B25" s="7"/>
      <c r="C25" s="10"/>
      <c r="D25" s="52">
        <f ca="1">+'Hoja de cronometraje'!K26</f>
        <v>105</v>
      </c>
      <c r="E25" s="52">
        <f ca="1">+'Hoja de cronometraje'!L26</f>
        <v>1211</v>
      </c>
      <c r="F25" s="53">
        <f t="shared" ca="1" si="0"/>
        <v>1271.55</v>
      </c>
      <c r="G25" s="53">
        <f t="shared" ca="1" si="1"/>
        <v>1616839.4024999999</v>
      </c>
      <c r="H25" s="10"/>
      <c r="I25" s="7"/>
      <c r="J25" s="7"/>
      <c r="K25" s="7"/>
      <c r="L25" s="10"/>
      <c r="M25" s="52">
        <f ca="1">+'Hoja de cronometraje'!N26</f>
        <v>90</v>
      </c>
      <c r="N25" s="52">
        <f ca="1">+'Hoja de cronometraje'!O26</f>
        <v>2429</v>
      </c>
      <c r="O25" s="53">
        <f t="shared" ca="1" si="2"/>
        <v>2186.1</v>
      </c>
      <c r="P25" s="53">
        <f t="shared" ca="1" si="3"/>
        <v>4779033.21</v>
      </c>
      <c r="Q25" s="10"/>
      <c r="R25" s="7"/>
      <c r="S25" s="7"/>
      <c r="T25" s="7"/>
      <c r="U25" s="7"/>
    </row>
    <row r="26" spans="1:21" ht="15.6" x14ac:dyDescent="0.3">
      <c r="A26" s="7"/>
      <c r="B26" s="7"/>
      <c r="C26" s="10"/>
      <c r="D26" s="114" t="s">
        <v>89</v>
      </c>
      <c r="E26" s="115"/>
      <c r="F26" s="55">
        <f ca="1">SUM(F6:F25)</f>
        <v>23167.1</v>
      </c>
      <c r="G26" s="58">
        <f ca="1">SUM(G6:G25)</f>
        <v>26947283.715</v>
      </c>
      <c r="H26" s="10"/>
      <c r="I26" s="7"/>
      <c r="J26" s="7"/>
      <c r="K26" s="7"/>
      <c r="L26" s="10"/>
      <c r="M26" s="114" t="s">
        <v>89</v>
      </c>
      <c r="N26" s="115"/>
      <c r="O26" s="55">
        <f ca="1">SUM(O6:O25)</f>
        <v>43845.599999999999</v>
      </c>
      <c r="P26" s="58">
        <f ca="1">SUM(P6:P25)</f>
        <v>96394894.149999991</v>
      </c>
      <c r="Q26" s="10"/>
      <c r="R26" s="7"/>
      <c r="S26" s="7"/>
      <c r="T26" s="7"/>
      <c r="U26" s="7"/>
    </row>
    <row r="27" spans="1:21" ht="15.6" x14ac:dyDescent="0.3">
      <c r="A27" s="7"/>
      <c r="B27" s="7"/>
      <c r="C27" s="10"/>
      <c r="D27" s="104" t="s">
        <v>90</v>
      </c>
      <c r="E27" s="105"/>
      <c r="F27" s="57">
        <f ca="1">+J12</f>
        <v>7</v>
      </c>
      <c r="G27" s="12" t="s">
        <v>140</v>
      </c>
      <c r="H27" s="10"/>
      <c r="I27" s="7"/>
      <c r="J27" s="7"/>
      <c r="K27" s="7"/>
      <c r="L27" s="10"/>
      <c r="M27" s="104" t="s">
        <v>90</v>
      </c>
      <c r="N27" s="105"/>
      <c r="O27" s="57">
        <f ca="1">+S12</f>
        <v>5</v>
      </c>
      <c r="P27" s="12" t="s">
        <v>140</v>
      </c>
      <c r="Q27" s="10"/>
      <c r="R27" s="7"/>
      <c r="S27" s="7"/>
      <c r="T27" s="7"/>
      <c r="U27" s="7"/>
    </row>
    <row r="28" spans="1:21" ht="15.6" x14ac:dyDescent="0.3">
      <c r="A28" s="7"/>
      <c r="B28" s="7"/>
      <c r="C28" s="10"/>
      <c r="D28" s="10"/>
      <c r="E28" s="10"/>
      <c r="F28" s="10"/>
      <c r="G28" s="10"/>
      <c r="H28" s="10"/>
      <c r="I28" s="7"/>
      <c r="J28" s="7"/>
      <c r="K28" s="7"/>
      <c r="L28" s="10"/>
      <c r="M28" s="10"/>
      <c r="N28" s="10"/>
      <c r="O28" s="10"/>
      <c r="P28" s="10"/>
      <c r="Q28" s="10"/>
      <c r="R28" s="7"/>
      <c r="S28" s="7"/>
      <c r="T28" s="7"/>
      <c r="U28" s="7"/>
    </row>
    <row r="29" spans="1:21" ht="15.6" x14ac:dyDescent="0.3">
      <c r="A29" s="7"/>
      <c r="B29" s="7"/>
      <c r="C29" s="10"/>
      <c r="D29" s="10"/>
      <c r="E29" s="10"/>
      <c r="F29" s="10"/>
      <c r="G29" s="10"/>
      <c r="H29" s="10"/>
      <c r="I29" s="7"/>
      <c r="J29" s="7"/>
      <c r="K29" s="7"/>
      <c r="L29" s="10"/>
      <c r="M29" s="10"/>
      <c r="N29" s="10"/>
      <c r="O29" s="10"/>
      <c r="P29" s="10"/>
      <c r="Q29" s="10"/>
      <c r="R29" s="7"/>
      <c r="S29" s="7"/>
      <c r="T29" s="7"/>
      <c r="U29" s="7"/>
    </row>
    <row r="30" spans="1:21" ht="15.6" x14ac:dyDescent="0.3">
      <c r="L30" s="10"/>
      <c r="M30" s="10"/>
      <c r="N30" s="10"/>
      <c r="O30" s="10"/>
      <c r="P30" s="10"/>
      <c r="Q30" s="10"/>
    </row>
    <row r="31" spans="1:21" ht="15.6" x14ac:dyDescent="0.3">
      <c r="L31" s="10"/>
      <c r="M31" s="10"/>
      <c r="N31" s="10"/>
      <c r="O31" s="10"/>
      <c r="P31" s="10"/>
      <c r="Q31" s="10"/>
    </row>
  </sheetData>
  <mergeCells count="6">
    <mergeCell ref="D26:E26"/>
    <mergeCell ref="D27:E27"/>
    <mergeCell ref="P2:Q2"/>
    <mergeCell ref="M26:N26"/>
    <mergeCell ref="M27:N27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S83"/>
  <sheetViews>
    <sheetView topLeftCell="A57" zoomScaleNormal="100" workbookViewId="0">
      <selection activeCell="H79" sqref="H79"/>
    </sheetView>
  </sheetViews>
  <sheetFormatPr baseColWidth="10" defaultRowHeight="14.4" x14ac:dyDescent="0.3"/>
  <cols>
    <col min="4" max="4" width="14.44140625" bestFit="1" customWidth="1"/>
  </cols>
  <sheetData>
    <row r="1" spans="1:19" x14ac:dyDescent="0.3">
      <c r="C1" s="3"/>
      <c r="D1" s="3"/>
      <c r="E1" s="3"/>
      <c r="F1" s="3"/>
      <c r="G1" s="3"/>
    </row>
    <row r="2" spans="1:19" x14ac:dyDescent="0.3">
      <c r="C2" s="3"/>
      <c r="D2" s="3"/>
      <c r="E2" s="3"/>
      <c r="F2" s="3"/>
      <c r="G2" s="3"/>
    </row>
    <row r="3" spans="1:19" x14ac:dyDescent="0.3">
      <c r="C3" s="3"/>
      <c r="D3" s="3"/>
      <c r="E3" s="119" t="str">
        <f>+'Hoja de cronometraje'!K4</f>
        <v>Elemento A</v>
      </c>
      <c r="F3" s="120"/>
      <c r="G3" s="3"/>
    </row>
    <row r="4" spans="1:19" ht="15.6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9" s="42" customFormat="1" ht="15.6" x14ac:dyDescent="0.3">
      <c r="B5" s="60"/>
      <c r="C5" s="60"/>
      <c r="D5" s="60"/>
      <c r="E5" s="60"/>
      <c r="F5" s="60"/>
    </row>
    <row r="6" spans="1:19" s="42" customFormat="1" ht="15.6" x14ac:dyDescent="0.3">
      <c r="B6" s="50" t="s">
        <v>26</v>
      </c>
      <c r="C6" s="50" t="s">
        <v>91</v>
      </c>
      <c r="D6" s="50" t="s">
        <v>92</v>
      </c>
      <c r="E6" s="136" t="s">
        <v>27</v>
      </c>
      <c r="F6" s="50" t="s">
        <v>93</v>
      </c>
    </row>
    <row r="7" spans="1:19" ht="15.6" x14ac:dyDescent="0.3">
      <c r="A7" s="42"/>
      <c r="B7" s="52">
        <f ca="1">+'N° de Obs.'!D6</f>
        <v>95</v>
      </c>
      <c r="C7" s="52">
        <f ca="1">+'N° de Obs.'!E6</f>
        <v>1202</v>
      </c>
      <c r="D7" s="68">
        <f ca="1">+ROUND($B$29*$C$29/C7,2)</f>
        <v>96.34</v>
      </c>
      <c r="E7" s="58">
        <f ca="1">+J7</f>
        <v>95</v>
      </c>
      <c r="F7" s="64">
        <f ca="1">+B7-E7</f>
        <v>0</v>
      </c>
      <c r="G7" s="42"/>
      <c r="H7" s="42">
        <f ca="1">+ROUND(D7,1)</f>
        <v>96.3</v>
      </c>
      <c r="I7" s="59" t="str">
        <f ca="1">+RIGHT(H7*10,2)</f>
        <v>63</v>
      </c>
      <c r="J7" s="42" cm="1">
        <f t="array" aca="1" ref="J7" ca="1">+_xlfn.IFS(AND(I7&gt;="0",I7&lt;"25"),H7-(I7/10),AND(I7&gt;="25",I7&lt;"50"),H7+(5-(I7/10)),AND(I7&gt;="50",I7&lt;"75"),H7-((I7-50)/10),I7&gt;="75",H7+(10-(I7/10)))</f>
        <v>95</v>
      </c>
      <c r="K7" s="42">
        <f ca="1">+ABS(F7)</f>
        <v>0</v>
      </c>
      <c r="L7" s="42"/>
      <c r="M7" s="42"/>
    </row>
    <row r="8" spans="1:19" ht="15.6" x14ac:dyDescent="0.3">
      <c r="A8" s="42"/>
      <c r="B8" s="52">
        <f ca="1">+'N° de Obs.'!D7</f>
        <v>100</v>
      </c>
      <c r="C8" s="52">
        <f ca="1">+'N° de Obs.'!E7</f>
        <v>1126</v>
      </c>
      <c r="D8" s="52">
        <f t="shared" ref="D8:D26" ca="1" si="0">+ROUND($B$29*$C$29/C8,2)</f>
        <v>102.84</v>
      </c>
      <c r="E8" s="52">
        <f t="shared" ref="E8:E26" ca="1" si="1">+J8</f>
        <v>105</v>
      </c>
      <c r="F8" s="52">
        <f t="shared" ref="F8:F26" ca="1" si="2">+B8-E8</f>
        <v>-5</v>
      </c>
      <c r="G8" s="42"/>
      <c r="H8" s="42">
        <f t="shared" ref="H8:H26" ca="1" si="3">+ROUND(D8,1)</f>
        <v>102.8</v>
      </c>
      <c r="I8" s="59" t="str">
        <f t="shared" ref="I8:I26" ca="1" si="4">+RIGHT(H8*10,2)</f>
        <v>28</v>
      </c>
      <c r="J8" s="42" cm="1">
        <f t="array" aca="1" ref="J8" ca="1">+_xlfn.IFS(AND(I8&gt;="0",I8&lt;"25"),H8-(I8/10),AND(I8&gt;="25",I8&lt;"50"),H8+(5-(I8/10)),AND(I8&gt;="50",I8&lt;"75"),H8-((I8-50)/10),I8&gt;="75",H8+(10-(I8/10)))</f>
        <v>105</v>
      </c>
      <c r="K8" s="42">
        <f t="shared" ref="K8:K26" ca="1" si="5">+ABS(F8)</f>
        <v>5</v>
      </c>
      <c r="L8" s="42"/>
      <c r="M8" s="42"/>
    </row>
    <row r="9" spans="1:19" ht="15.6" x14ac:dyDescent="0.3">
      <c r="A9" s="42"/>
      <c r="B9" s="52">
        <f ca="1">+'N° de Obs.'!D8</f>
        <v>100</v>
      </c>
      <c r="C9" s="52">
        <f ca="1">+'N° de Obs.'!E8</f>
        <v>1201</v>
      </c>
      <c r="D9" s="52">
        <f t="shared" ca="1" si="0"/>
        <v>96.42</v>
      </c>
      <c r="E9" s="52">
        <f t="shared" ca="1" si="1"/>
        <v>95</v>
      </c>
      <c r="F9" s="52">
        <f t="shared" ca="1" si="2"/>
        <v>5</v>
      </c>
      <c r="G9" s="42"/>
      <c r="H9" s="42">
        <f t="shared" ca="1" si="3"/>
        <v>96.4</v>
      </c>
      <c r="I9" s="59" t="str">
        <f t="shared" ca="1" si="4"/>
        <v>64</v>
      </c>
      <c r="J9" s="42" cm="1">
        <f t="array" aca="1" ref="J9" ca="1">+_xlfn.IFS(AND(I9&gt;="0",I9&lt;"25"),H9-(I9/10),AND(I9&gt;="25",I9&lt;"50"),H9+(5-(I9/10)),AND(I9&gt;="50",I9&lt;"75"),H9-((I9-50)/10),I9&gt;="75",H9+(10-(I9/10)))</f>
        <v>95</v>
      </c>
      <c r="K9" s="42">
        <f t="shared" ca="1" si="5"/>
        <v>5</v>
      </c>
      <c r="L9" s="42"/>
      <c r="M9" s="42"/>
    </row>
    <row r="10" spans="1:19" ht="15.6" x14ac:dyDescent="0.3">
      <c r="A10" s="42"/>
      <c r="B10" s="52">
        <f ca="1">+'N° de Obs.'!D9</f>
        <v>100</v>
      </c>
      <c r="C10" s="52">
        <f ca="1">+'N° de Obs.'!E9</f>
        <v>1151</v>
      </c>
      <c r="D10" s="52">
        <f t="shared" ca="1" si="0"/>
        <v>100.61</v>
      </c>
      <c r="E10" s="52">
        <f t="shared" ca="1" si="1"/>
        <v>100</v>
      </c>
      <c r="F10" s="52">
        <f t="shared" ca="1" si="2"/>
        <v>0</v>
      </c>
      <c r="G10" s="42"/>
      <c r="H10" s="42">
        <f t="shared" ca="1" si="3"/>
        <v>100.6</v>
      </c>
      <c r="I10" s="59" t="str">
        <f t="shared" ca="1" si="4"/>
        <v>06</v>
      </c>
      <c r="J10" s="42" cm="1">
        <f t="array" aca="1" ref="J10" ca="1">+_xlfn.IFS(AND(I10&gt;="0",I10&lt;"25"),H10-(I10/10),AND(I10&gt;="25",I10&lt;"50"),H10+(5-(I10/10)),AND(I10&gt;="50",I10&lt;"75"),H10-((I10-50)/10),I10&gt;="75",H10+(10-(I10/10)))</f>
        <v>100</v>
      </c>
      <c r="K10" s="42">
        <f t="shared" ca="1" si="5"/>
        <v>0</v>
      </c>
      <c r="L10" s="42"/>
      <c r="M10" s="42"/>
    </row>
    <row r="11" spans="1:19" ht="15.6" x14ac:dyDescent="0.3">
      <c r="A11" s="42"/>
      <c r="B11" s="52">
        <f ca="1">+'N° de Obs.'!D10</f>
        <v>105</v>
      </c>
      <c r="C11" s="52">
        <f ca="1">+'N° de Obs.'!E10</f>
        <v>1204</v>
      </c>
      <c r="D11" s="52">
        <f t="shared" ca="1" si="0"/>
        <v>96.18</v>
      </c>
      <c r="E11" s="52">
        <f t="shared" ca="1" si="1"/>
        <v>95</v>
      </c>
      <c r="F11" s="52">
        <f t="shared" ca="1" si="2"/>
        <v>10</v>
      </c>
      <c r="G11" s="42"/>
      <c r="H11" s="42">
        <f t="shared" ca="1" si="3"/>
        <v>96.2</v>
      </c>
      <c r="I11" s="59" t="str">
        <f t="shared" ca="1" si="4"/>
        <v>62</v>
      </c>
      <c r="J11" s="42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42">
        <f t="shared" ca="1" si="5"/>
        <v>10</v>
      </c>
      <c r="L11" s="42"/>
      <c r="M11" s="42"/>
    </row>
    <row r="12" spans="1:19" ht="15.6" x14ac:dyDescent="0.3">
      <c r="A12" s="42"/>
      <c r="B12" s="52">
        <f ca="1">+'N° de Obs.'!D11</f>
        <v>95</v>
      </c>
      <c r="C12" s="52">
        <f ca="1">+'N° de Obs.'!E11</f>
        <v>1191</v>
      </c>
      <c r="D12" s="52">
        <f t="shared" ca="1" si="0"/>
        <v>97.23</v>
      </c>
      <c r="E12" s="52">
        <f t="shared" ca="1" si="1"/>
        <v>95</v>
      </c>
      <c r="F12" s="52">
        <f t="shared" ca="1" si="2"/>
        <v>0</v>
      </c>
      <c r="G12" s="42"/>
      <c r="H12" s="42">
        <f t="shared" ca="1" si="3"/>
        <v>97.2</v>
      </c>
      <c r="I12" s="59" t="str">
        <f t="shared" ca="1" si="4"/>
        <v>72</v>
      </c>
      <c r="J12" s="42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42">
        <f t="shared" ca="1" si="5"/>
        <v>0</v>
      </c>
      <c r="L12" s="42"/>
      <c r="M12" s="42"/>
    </row>
    <row r="13" spans="1:19" ht="15.6" x14ac:dyDescent="0.3">
      <c r="A13" s="42"/>
      <c r="B13" s="52">
        <f ca="1">+'N° de Obs.'!D12</f>
        <v>100</v>
      </c>
      <c r="C13" s="52">
        <f ca="1">+'N° de Obs.'!E12</f>
        <v>1263</v>
      </c>
      <c r="D13" s="52">
        <f t="shared" ca="1" si="0"/>
        <v>91.69</v>
      </c>
      <c r="E13" s="52">
        <f t="shared" ca="1" si="1"/>
        <v>90</v>
      </c>
      <c r="F13" s="52">
        <f t="shared" ca="1" si="2"/>
        <v>10</v>
      </c>
      <c r="G13" s="42"/>
      <c r="H13" s="42">
        <f t="shared" ca="1" si="3"/>
        <v>91.7</v>
      </c>
      <c r="I13" s="59" t="str">
        <f t="shared" ca="1" si="4"/>
        <v>17</v>
      </c>
      <c r="J13" s="42" cm="1">
        <f t="array" aca="1" ref="J13" ca="1">+_xlfn.IFS(AND(I13&gt;="0",I13&lt;"25"),H13-(I13/10),AND(I13&gt;="25",I13&lt;"50"),H13+(5-(I13/10)),AND(I13&gt;="50",I13&lt;"75"),H13-((I13-50)/10),I13&gt;="75",H13+(10-(I13/10)))</f>
        <v>90</v>
      </c>
      <c r="K13" s="42">
        <f t="shared" ca="1" si="5"/>
        <v>10</v>
      </c>
      <c r="L13" s="42"/>
      <c r="M13" s="42"/>
      <c r="S13" s="42"/>
    </row>
    <row r="14" spans="1:19" ht="15.6" x14ac:dyDescent="0.3">
      <c r="A14" s="42"/>
      <c r="B14" s="52">
        <f ca="1">+'N° de Obs.'!D13</f>
        <v>85</v>
      </c>
      <c r="C14" s="52">
        <f ca="1">+'N° de Obs.'!E13</f>
        <v>1205</v>
      </c>
      <c r="D14" s="52">
        <f t="shared" ca="1" si="0"/>
        <v>96.1</v>
      </c>
      <c r="E14" s="52">
        <f t="shared" ca="1" si="1"/>
        <v>95</v>
      </c>
      <c r="F14" s="52">
        <f t="shared" ca="1" si="2"/>
        <v>-10</v>
      </c>
      <c r="G14" s="42"/>
      <c r="H14" s="42">
        <f t="shared" ca="1" si="3"/>
        <v>96.1</v>
      </c>
      <c r="I14" s="59" t="str">
        <f t="shared" ca="1" si="4"/>
        <v>61</v>
      </c>
      <c r="J14" s="42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42">
        <f t="shared" ca="1" si="5"/>
        <v>10</v>
      </c>
      <c r="L14" s="42"/>
      <c r="M14" s="42"/>
    </row>
    <row r="15" spans="1:19" ht="15.6" x14ac:dyDescent="0.3">
      <c r="A15" s="42"/>
      <c r="B15" s="52">
        <f ca="1">+'N° de Obs.'!D14</f>
        <v>100</v>
      </c>
      <c r="C15" s="52">
        <f ca="1">+'N° de Obs.'!E14</f>
        <v>1248</v>
      </c>
      <c r="D15" s="52">
        <f t="shared" ca="1" si="0"/>
        <v>92.79</v>
      </c>
      <c r="E15" s="52">
        <f t="shared" ca="1" si="1"/>
        <v>95</v>
      </c>
      <c r="F15" s="52">
        <f t="shared" ca="1" si="2"/>
        <v>5</v>
      </c>
      <c r="G15" s="42"/>
      <c r="H15" s="42">
        <f t="shared" ca="1" si="3"/>
        <v>92.8</v>
      </c>
      <c r="I15" s="59" t="str">
        <f t="shared" ca="1" si="4"/>
        <v>28</v>
      </c>
      <c r="J15" s="42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42">
        <f t="shared" ca="1" si="5"/>
        <v>5</v>
      </c>
      <c r="L15" s="42"/>
      <c r="M15" s="42"/>
    </row>
    <row r="16" spans="1:19" ht="15.6" x14ac:dyDescent="0.3">
      <c r="A16" s="42"/>
      <c r="B16" s="52">
        <f ca="1">+'N° de Obs.'!D15</f>
        <v>100</v>
      </c>
      <c r="C16" s="52">
        <f ca="1">+'N° de Obs.'!E15</f>
        <v>1174</v>
      </c>
      <c r="D16" s="52">
        <f t="shared" ca="1" si="0"/>
        <v>98.64</v>
      </c>
      <c r="E16" s="52">
        <f t="shared" ca="1" si="1"/>
        <v>100</v>
      </c>
      <c r="F16" s="52">
        <f t="shared" ca="1" si="2"/>
        <v>0</v>
      </c>
      <c r="G16" s="42"/>
      <c r="H16" s="42">
        <f t="shared" ca="1" si="3"/>
        <v>98.6</v>
      </c>
      <c r="I16" s="59" t="str">
        <f t="shared" ca="1" si="4"/>
        <v>86</v>
      </c>
      <c r="J16" s="42" cm="1">
        <f t="array" aca="1" ref="J16" ca="1">+_xlfn.IFS(AND(I16&gt;="0",I16&lt;"25"),H16-(I16/10),AND(I16&gt;="25",I16&lt;"50"),H16+(5-(I16/10)),AND(I16&gt;="50",I16&lt;"75"),H16-((I16-50)/10),I16&gt;="75",H16+(10-(I16/10)))</f>
        <v>100</v>
      </c>
      <c r="K16" s="42">
        <f t="shared" ca="1" si="5"/>
        <v>0</v>
      </c>
      <c r="L16" s="42"/>
      <c r="M16" s="42"/>
    </row>
    <row r="17" spans="1:15" ht="15.6" x14ac:dyDescent="0.3">
      <c r="A17" s="42"/>
      <c r="B17" s="52">
        <f ca="1">+'N° de Obs.'!D16</f>
        <v>100</v>
      </c>
      <c r="C17" s="52">
        <f ca="1">+'N° de Obs.'!E16</f>
        <v>1136</v>
      </c>
      <c r="D17" s="52">
        <f t="shared" ca="1" si="0"/>
        <v>101.94</v>
      </c>
      <c r="E17" s="52">
        <f t="shared" ca="1" si="1"/>
        <v>100</v>
      </c>
      <c r="F17" s="52">
        <f t="shared" ca="1" si="2"/>
        <v>0</v>
      </c>
      <c r="G17" s="42"/>
      <c r="H17" s="42">
        <f t="shared" ca="1" si="3"/>
        <v>101.9</v>
      </c>
      <c r="I17" s="59" t="str">
        <f t="shared" ca="1" si="4"/>
        <v>19</v>
      </c>
      <c r="J17" s="42" cm="1">
        <f t="array" aca="1" ref="J17" ca="1">+_xlfn.IFS(AND(I17&gt;="0",I17&lt;"25"),H17-(I17/10),AND(I17&gt;="25",I17&lt;"50"),H17+(5-(I17/10)),AND(I17&gt;="50",I17&lt;"75"),H17-((I17-50)/10),I17&gt;="75",H17+(10-(I17/10)))</f>
        <v>100</v>
      </c>
      <c r="K17" s="42">
        <f t="shared" ca="1" si="5"/>
        <v>0</v>
      </c>
      <c r="L17" s="42"/>
      <c r="M17" s="42"/>
    </row>
    <row r="18" spans="1:15" ht="15.6" x14ac:dyDescent="0.3">
      <c r="A18" s="42"/>
      <c r="B18" s="52">
        <f ca="1">+'N° de Obs.'!D17</f>
        <v>100</v>
      </c>
      <c r="C18" s="52">
        <f ca="1">+'N° de Obs.'!E17</f>
        <v>1245</v>
      </c>
      <c r="D18" s="52">
        <f t="shared" ca="1" si="0"/>
        <v>93.01</v>
      </c>
      <c r="E18" s="52">
        <f t="shared" ca="1" si="1"/>
        <v>95</v>
      </c>
      <c r="F18" s="52">
        <f t="shared" ca="1" si="2"/>
        <v>5</v>
      </c>
      <c r="G18" s="42"/>
      <c r="H18" s="42">
        <f t="shared" ca="1" si="3"/>
        <v>93</v>
      </c>
      <c r="I18" s="59" t="str">
        <f t="shared" ca="1" si="4"/>
        <v>30</v>
      </c>
      <c r="J18" s="42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42">
        <f t="shared" ca="1" si="5"/>
        <v>5</v>
      </c>
      <c r="L18" s="42"/>
      <c r="M18" s="42"/>
    </row>
    <row r="19" spans="1:15" ht="15.6" x14ac:dyDescent="0.3">
      <c r="A19" s="42"/>
      <c r="B19" s="52">
        <f ca="1">+'N° de Obs.'!D18</f>
        <v>105</v>
      </c>
      <c r="C19" s="52">
        <f ca="1">+'N° de Obs.'!E18</f>
        <v>1146</v>
      </c>
      <c r="D19" s="52">
        <f t="shared" ca="1" si="0"/>
        <v>101.05</v>
      </c>
      <c r="E19" s="52">
        <f t="shared" ca="1" si="1"/>
        <v>100</v>
      </c>
      <c r="F19" s="52">
        <f t="shared" ca="1" si="2"/>
        <v>5</v>
      </c>
      <c r="G19" s="42"/>
      <c r="H19" s="42">
        <f t="shared" ca="1" si="3"/>
        <v>101.1</v>
      </c>
      <c r="I19" s="59" t="str">
        <f t="shared" ca="1" si="4"/>
        <v>11</v>
      </c>
      <c r="J19" s="42" cm="1">
        <f t="array" aca="1" ref="J19" ca="1">+_xlfn.IFS(AND(I19&gt;="0",I19&lt;"25"),H19-(I19/10),AND(I19&gt;="25",I19&lt;"50"),H19+(5-(I19/10)),AND(I19&gt;="50",I19&lt;"75"),H19-((I19-50)/10),I19&gt;="75",H19+(10-(I19/10)))</f>
        <v>100</v>
      </c>
      <c r="K19" s="42">
        <f t="shared" ca="1" si="5"/>
        <v>5</v>
      </c>
      <c r="L19" s="42"/>
      <c r="M19" s="42"/>
    </row>
    <row r="20" spans="1:15" ht="15.6" x14ac:dyDescent="0.3">
      <c r="A20" s="42"/>
      <c r="B20" s="52">
        <f ca="1">+'N° de Obs.'!D19</f>
        <v>95</v>
      </c>
      <c r="C20" s="52">
        <f ca="1">+'N° de Obs.'!E19</f>
        <v>1135</v>
      </c>
      <c r="D20" s="52">
        <f t="shared" ca="1" si="0"/>
        <v>102.03</v>
      </c>
      <c r="E20" s="52">
        <f t="shared" ca="1" si="1"/>
        <v>100</v>
      </c>
      <c r="F20" s="52">
        <f t="shared" ca="1" si="2"/>
        <v>-5</v>
      </c>
      <c r="G20" s="42"/>
      <c r="H20" s="42">
        <f t="shared" ca="1" si="3"/>
        <v>102</v>
      </c>
      <c r="I20" s="59" t="str">
        <f t="shared" ca="1" si="4"/>
        <v>20</v>
      </c>
      <c r="J20" s="42" cm="1">
        <f t="array" aca="1" ref="J20" ca="1">+_xlfn.IFS(AND(I20&gt;="0",I20&lt;"25"),H20-(I20/10),AND(I20&gt;="25",I20&lt;"50"),H20+(5-(I20/10)),AND(I20&gt;="50",I20&lt;"75"),H20-((I20-50)/10),I20&gt;="75",H20+(10-(I20/10)))</f>
        <v>100</v>
      </c>
      <c r="K20" s="42">
        <f t="shared" ca="1" si="5"/>
        <v>5</v>
      </c>
      <c r="L20" s="42"/>
      <c r="M20" s="42"/>
    </row>
    <row r="21" spans="1:15" ht="15.6" x14ac:dyDescent="0.3">
      <c r="A21" s="42"/>
      <c r="B21" s="52">
        <f ca="1">+'N° de Obs.'!D20</f>
        <v>85</v>
      </c>
      <c r="C21" s="52">
        <f ca="1">+'N° de Obs.'!E20</f>
        <v>1205</v>
      </c>
      <c r="D21" s="52">
        <f t="shared" ca="1" si="0"/>
        <v>96.1</v>
      </c>
      <c r="E21" s="52">
        <f t="shared" ca="1" si="1"/>
        <v>95</v>
      </c>
      <c r="F21" s="52">
        <f t="shared" ca="1" si="2"/>
        <v>-10</v>
      </c>
      <c r="G21" s="42"/>
      <c r="H21" s="42">
        <f t="shared" ca="1" si="3"/>
        <v>96.1</v>
      </c>
      <c r="I21" s="59" t="str">
        <f t="shared" ca="1" si="4"/>
        <v>61</v>
      </c>
      <c r="J21" s="42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42">
        <f t="shared" ca="1" si="5"/>
        <v>10</v>
      </c>
      <c r="L21" s="42"/>
      <c r="M21" s="42"/>
    </row>
    <row r="22" spans="1:15" ht="15.6" x14ac:dyDescent="0.3">
      <c r="A22" s="42"/>
      <c r="B22" s="52">
        <f ca="1">+'N° de Obs.'!D21</f>
        <v>90</v>
      </c>
      <c r="C22" s="52">
        <f ca="1">+'N° de Obs.'!E21</f>
        <v>1207</v>
      </c>
      <c r="D22" s="52">
        <f t="shared" ca="1" si="0"/>
        <v>95.94</v>
      </c>
      <c r="E22" s="52">
        <f t="shared" ca="1" si="1"/>
        <v>95</v>
      </c>
      <c r="F22" s="52">
        <f t="shared" ca="1" si="2"/>
        <v>-5</v>
      </c>
      <c r="G22" s="42"/>
      <c r="H22" s="42">
        <f t="shared" ca="1" si="3"/>
        <v>95.9</v>
      </c>
      <c r="I22" s="59" t="str">
        <f t="shared" ca="1" si="4"/>
        <v>59</v>
      </c>
      <c r="J22" s="42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42">
        <f t="shared" ca="1" si="5"/>
        <v>5</v>
      </c>
      <c r="L22" s="42"/>
      <c r="M22" s="42"/>
    </row>
    <row r="23" spans="1:15" ht="15.6" x14ac:dyDescent="0.3">
      <c r="A23" s="42"/>
      <c r="B23" s="52">
        <f ca="1">+'N° de Obs.'!D22</f>
        <v>105</v>
      </c>
      <c r="C23" s="52">
        <f ca="1">+'N° de Obs.'!E22</f>
        <v>1108</v>
      </c>
      <c r="D23" s="52">
        <f t="shared" ca="1" si="0"/>
        <v>104.51</v>
      </c>
      <c r="E23" s="52">
        <f t="shared" ca="1" si="1"/>
        <v>105</v>
      </c>
      <c r="F23" s="52">
        <f t="shared" ca="1" si="2"/>
        <v>0</v>
      </c>
      <c r="G23" s="42"/>
      <c r="H23" s="42">
        <f t="shared" ca="1" si="3"/>
        <v>104.5</v>
      </c>
      <c r="I23" s="59" t="str">
        <f t="shared" ca="1" si="4"/>
        <v>45</v>
      </c>
      <c r="J23" s="42" cm="1">
        <f t="array" aca="1" ref="J23" ca="1">+_xlfn.IFS(AND(I23&gt;="0",I23&lt;"25"),H23-(I23/10),AND(I23&gt;="25",I23&lt;"50"),H23+(5-(I23/10)),AND(I23&gt;="50",I23&lt;"75"),H23-((I23-50)/10),I23&gt;="75",H23+(10-(I23/10)))</f>
        <v>105</v>
      </c>
      <c r="K23" s="42">
        <f t="shared" ca="1" si="5"/>
        <v>0</v>
      </c>
      <c r="L23" s="42"/>
      <c r="M23" s="42"/>
    </row>
    <row r="24" spans="1:15" ht="15.6" x14ac:dyDescent="0.3">
      <c r="A24" s="42"/>
      <c r="B24" s="52">
        <f ca="1">+'N° de Obs.'!D23</f>
        <v>85</v>
      </c>
      <c r="C24" s="52">
        <f ca="1">+'N° de Obs.'!E23</f>
        <v>1266</v>
      </c>
      <c r="D24" s="52">
        <f t="shared" ca="1" si="0"/>
        <v>91.47</v>
      </c>
      <c r="E24" s="52">
        <f t="shared" ca="1" si="1"/>
        <v>90</v>
      </c>
      <c r="F24" s="52">
        <f t="shared" ca="1" si="2"/>
        <v>-5</v>
      </c>
      <c r="G24" s="42"/>
      <c r="H24" s="42">
        <f t="shared" ca="1" si="3"/>
        <v>91.5</v>
      </c>
      <c r="I24" s="59" t="str">
        <f t="shared" ca="1" si="4"/>
        <v>15</v>
      </c>
      <c r="J24" s="42" cm="1">
        <f t="array" aca="1" ref="J24" ca="1">+_xlfn.IFS(AND(I24&gt;="0",I24&lt;"25"),H24-(I24/10),AND(I24&gt;="25",I24&lt;"50"),H24+(5-(I24/10)),AND(I24&gt;="50",I24&lt;"75"),H24-((I24-50)/10),I24&gt;="75",H24+(10-(I24/10)))</f>
        <v>90</v>
      </c>
      <c r="K24" s="42">
        <f t="shared" ca="1" si="5"/>
        <v>5</v>
      </c>
      <c r="L24" s="42"/>
      <c r="M24" s="42"/>
    </row>
    <row r="25" spans="1:15" ht="15.6" x14ac:dyDescent="0.3">
      <c r="A25" s="42"/>
      <c r="B25" s="52">
        <f ca="1">+'N° de Obs.'!D24</f>
        <v>105</v>
      </c>
      <c r="C25" s="52">
        <f ca="1">+'N° de Obs.'!E24</f>
        <v>1103</v>
      </c>
      <c r="D25" s="52">
        <f t="shared" ca="1" si="0"/>
        <v>104.99</v>
      </c>
      <c r="E25" s="52">
        <f t="shared" ca="1" si="1"/>
        <v>105</v>
      </c>
      <c r="F25" s="52">
        <f t="shared" ca="1" si="2"/>
        <v>0</v>
      </c>
      <c r="G25" s="42"/>
      <c r="H25" s="42">
        <f t="shared" ca="1" si="3"/>
        <v>105</v>
      </c>
      <c r="I25" s="59" t="str">
        <f t="shared" ca="1" si="4"/>
        <v>50</v>
      </c>
      <c r="J25" s="42" cm="1">
        <f t="array" aca="1" ref="J25" ca="1">+_xlfn.IFS(AND(I25&gt;="0",I25&lt;"25"),H25-(I25/10),AND(I25&gt;="25",I25&lt;"50"),H25+(5-(I25/10)),AND(I25&gt;="50",I25&lt;"75"),H25-((I25-50)/10),I25&gt;="75",H25+(10-(I25/10)))</f>
        <v>105</v>
      </c>
      <c r="K25" s="42">
        <f t="shared" ca="1" si="5"/>
        <v>0</v>
      </c>
      <c r="L25" s="42"/>
      <c r="M25" s="42"/>
    </row>
    <row r="26" spans="1:15" ht="15.6" x14ac:dyDescent="0.3">
      <c r="A26" s="42"/>
      <c r="B26" s="53">
        <f ca="1">+'N° de Obs.'!D25</f>
        <v>105</v>
      </c>
      <c r="C26" s="53">
        <f ca="1">+'N° de Obs.'!E25</f>
        <v>1211</v>
      </c>
      <c r="D26" s="53">
        <f t="shared" ca="1" si="0"/>
        <v>95.62</v>
      </c>
      <c r="E26" s="53">
        <f t="shared" ca="1" si="1"/>
        <v>95</v>
      </c>
      <c r="F26" s="53">
        <f t="shared" ca="1" si="2"/>
        <v>10</v>
      </c>
      <c r="G26" s="42"/>
      <c r="H26" s="42">
        <f t="shared" ca="1" si="3"/>
        <v>95.6</v>
      </c>
      <c r="I26" s="59" t="str">
        <f t="shared" ca="1" si="4"/>
        <v>56</v>
      </c>
      <c r="J26" s="42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42">
        <f t="shared" ca="1" si="5"/>
        <v>10</v>
      </c>
      <c r="L26" s="42"/>
      <c r="M26" s="42"/>
    </row>
    <row r="27" spans="1:15" ht="15.6" x14ac:dyDescent="0.3">
      <c r="A27" s="42"/>
      <c r="B27" s="114" t="s">
        <v>89</v>
      </c>
      <c r="C27" s="121"/>
      <c r="D27" s="121"/>
      <c r="E27" s="115"/>
      <c r="F27" s="56">
        <f ca="1">+SUMIF(K7:K26,"&lt;=10",F7:F26)</f>
        <v>10</v>
      </c>
      <c r="G27" s="42"/>
      <c r="H27" s="42"/>
      <c r="I27" s="42"/>
      <c r="J27" s="42"/>
      <c r="K27" s="42">
        <f ca="1">+COUNTIF(K7:K26,"&lt;=10")</f>
        <v>20</v>
      </c>
      <c r="L27" s="42"/>
      <c r="M27" s="42"/>
    </row>
    <row r="28" spans="1:15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</row>
    <row r="29" spans="1:15" ht="15.6" x14ac:dyDescent="0.3">
      <c r="A29" s="42"/>
      <c r="B29" s="67">
        <v>100</v>
      </c>
      <c r="C29" s="42">
        <f ca="1">+ROUND(AVERAGE('N° de Obs.'!F6:F25),0)</f>
        <v>1158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</row>
    <row r="30" spans="1:15" ht="15.6" x14ac:dyDescent="0.3">
      <c r="A30" s="42"/>
      <c r="B30" s="42"/>
      <c r="C30" s="42"/>
      <c r="D30" s="60"/>
      <c r="E30" s="60"/>
      <c r="F30" s="42"/>
      <c r="G30" s="42"/>
      <c r="H30" s="42"/>
      <c r="I30" s="42"/>
      <c r="J30" s="42"/>
      <c r="K30" s="42"/>
      <c r="L30" s="42"/>
      <c r="M30" s="42"/>
    </row>
    <row r="31" spans="1:15" ht="15.6" x14ac:dyDescent="0.3">
      <c r="A31" s="42"/>
      <c r="B31" s="42"/>
      <c r="C31" s="42"/>
      <c r="D31" s="50" t="s">
        <v>83</v>
      </c>
      <c r="E31" s="51" t="s">
        <v>84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</row>
    <row r="32" spans="1:15" ht="15.6" x14ac:dyDescent="0.3">
      <c r="A32" s="42"/>
      <c r="B32" s="42"/>
      <c r="C32" s="42"/>
      <c r="D32" s="52" t="s">
        <v>86</v>
      </c>
      <c r="E32" s="64" t="s">
        <v>25</v>
      </c>
      <c r="F32" s="42"/>
      <c r="G32" s="42"/>
      <c r="H32" s="42"/>
      <c r="I32" s="42"/>
      <c r="J32" s="42"/>
      <c r="K32" s="118" t="s">
        <v>97</v>
      </c>
      <c r="L32" s="118"/>
      <c r="M32" s="118"/>
      <c r="N32" s="42"/>
    </row>
    <row r="33" spans="1:14" ht="15.6" x14ac:dyDescent="0.3">
      <c r="A33" s="42"/>
      <c r="B33" s="42"/>
      <c r="C33" s="42"/>
      <c r="D33" s="52" t="s">
        <v>94</v>
      </c>
      <c r="E33" s="65">
        <f>+B29</f>
        <v>100</v>
      </c>
      <c r="F33" s="42"/>
      <c r="G33" s="42"/>
      <c r="H33" s="42"/>
      <c r="I33" s="42"/>
      <c r="J33" s="42"/>
      <c r="K33" s="118"/>
      <c r="L33" s="118"/>
      <c r="M33" s="118"/>
      <c r="N33" s="42"/>
    </row>
    <row r="34" spans="1:14" ht="15.6" x14ac:dyDescent="0.3">
      <c r="A34" s="42"/>
      <c r="B34" s="42"/>
      <c r="C34" s="42"/>
      <c r="D34" s="52" t="s">
        <v>20</v>
      </c>
      <c r="E34" s="64">
        <f ca="1">+C29</f>
        <v>1158</v>
      </c>
      <c r="F34" s="42"/>
      <c r="G34" s="42"/>
      <c r="H34" s="42"/>
      <c r="I34" s="42"/>
      <c r="J34" s="42"/>
      <c r="K34" s="118"/>
      <c r="L34" s="118"/>
      <c r="M34" s="118"/>
      <c r="N34" s="42"/>
    </row>
    <row r="35" spans="1:14" ht="31.2" x14ac:dyDescent="0.3">
      <c r="A35" s="42"/>
      <c r="B35" s="42"/>
      <c r="C35" s="42"/>
      <c r="D35" s="62" t="s">
        <v>96</v>
      </c>
      <c r="E35" s="64">
        <f ca="1">+K27</f>
        <v>20</v>
      </c>
      <c r="F35" s="42"/>
      <c r="G35" s="56"/>
      <c r="H35" s="42"/>
      <c r="I35" s="42"/>
      <c r="J35" s="42"/>
      <c r="K35" s="118"/>
      <c r="L35" s="118"/>
      <c r="M35" s="118"/>
      <c r="N35" s="42"/>
    </row>
    <row r="36" spans="1:14" ht="15.6" x14ac:dyDescent="0.3">
      <c r="A36" s="42"/>
      <c r="B36" s="42"/>
      <c r="C36" s="42"/>
      <c r="D36" s="63" t="s">
        <v>93</v>
      </c>
      <c r="E36" s="66">
        <f ca="1">+F27</f>
        <v>10</v>
      </c>
      <c r="F36" s="42"/>
      <c r="G36" s="42"/>
      <c r="H36" s="42"/>
      <c r="I36" s="42"/>
      <c r="J36" s="42"/>
      <c r="K36" s="42"/>
      <c r="L36" s="42"/>
      <c r="M36" s="42"/>
      <c r="N36" s="42"/>
    </row>
    <row r="37" spans="1:14" ht="31.2" x14ac:dyDescent="0.3">
      <c r="A37" s="42"/>
      <c r="B37" s="42"/>
      <c r="C37" s="42"/>
      <c r="D37" s="44" t="s">
        <v>95</v>
      </c>
      <c r="E37" s="55" t="str">
        <f ca="1">+CONCATENATE(ROUND((F27/K27*5)/5,2)," %")</f>
        <v>0.5 %</v>
      </c>
      <c r="F37" s="42"/>
      <c r="G37" s="42"/>
      <c r="H37" s="42"/>
      <c r="I37" s="42"/>
      <c r="J37" s="42"/>
      <c r="K37" s="42"/>
      <c r="L37" s="42"/>
      <c r="M37" s="42"/>
      <c r="N37" s="42"/>
    </row>
    <row r="38" spans="1:14" ht="15.6" x14ac:dyDescent="0.3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</row>
    <row r="39" spans="1:14" ht="15.6" x14ac:dyDescent="0.3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</row>
    <row r="40" spans="1:14" ht="15.6" x14ac:dyDescent="0.3">
      <c r="A40" s="42"/>
      <c r="B40" s="67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</row>
    <row r="41" spans="1:14" ht="15.6" x14ac:dyDescent="0.3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</row>
    <row r="42" spans="1:14" ht="15.6" x14ac:dyDescent="0.3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</row>
    <row r="43" spans="1:14" ht="15.6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</row>
    <row r="44" spans="1:14" ht="15.6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4" ht="15.6" x14ac:dyDescent="0.3">
      <c r="A45" s="42"/>
      <c r="B45" s="10"/>
      <c r="C45" s="10"/>
      <c r="D45" s="10"/>
      <c r="E45" s="116" t="str">
        <f>+'Hoja de cronometraje'!N4</f>
        <v>Elemento R</v>
      </c>
      <c r="F45" s="117"/>
      <c r="G45" s="10"/>
      <c r="H45" s="10"/>
      <c r="I45" s="10"/>
      <c r="J45" s="10"/>
      <c r="K45" s="10"/>
      <c r="L45" s="10"/>
      <c r="M45" s="10"/>
    </row>
    <row r="46" spans="1:14" ht="15.6" x14ac:dyDescent="0.3">
      <c r="A46" s="4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4" s="42" customFormat="1" ht="15.6" x14ac:dyDescent="0.3"/>
    <row r="48" spans="1:14" ht="15.6" x14ac:dyDescent="0.3">
      <c r="A48" s="42"/>
      <c r="B48" s="50" t="s">
        <v>26</v>
      </c>
      <c r="C48" s="50" t="s">
        <v>91</v>
      </c>
      <c r="D48" s="50" t="s">
        <v>92</v>
      </c>
      <c r="E48" s="50" t="s">
        <v>27</v>
      </c>
      <c r="F48" s="50" t="s">
        <v>93</v>
      </c>
      <c r="G48" s="42"/>
      <c r="H48" s="42"/>
      <c r="I48" s="42"/>
      <c r="J48" s="42"/>
      <c r="K48" s="42"/>
      <c r="L48" s="42"/>
      <c r="M48" s="42"/>
      <c r="N48" s="42"/>
    </row>
    <row r="49" spans="1:14" ht="15.6" x14ac:dyDescent="0.3">
      <c r="A49" s="42"/>
      <c r="B49" s="52">
        <f ca="1">+'N° de Obs.'!M6</f>
        <v>90</v>
      </c>
      <c r="C49" s="52">
        <f ca="1">+'N° de Obs.'!N6</f>
        <v>2327</v>
      </c>
      <c r="D49" s="52">
        <f ca="1">+ROUND($B$71*$C$71/C49,2)</f>
        <v>94.2</v>
      </c>
      <c r="E49" s="52">
        <f ca="1">+J49</f>
        <v>95</v>
      </c>
      <c r="F49" s="52">
        <f ca="1">+B49-E49</f>
        <v>-5</v>
      </c>
      <c r="G49" s="42"/>
      <c r="H49" s="42">
        <f ca="1">+ROUND(D49,1)</f>
        <v>94.2</v>
      </c>
      <c r="I49" s="59" t="str">
        <f ca="1">+RIGHT(H49*10,2)</f>
        <v>42</v>
      </c>
      <c r="J49" s="42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42">
        <f ca="1">+ABS(F49)</f>
        <v>5</v>
      </c>
      <c r="L49" s="42"/>
      <c r="M49" s="42"/>
      <c r="N49" s="42"/>
    </row>
    <row r="50" spans="1:14" ht="15.6" x14ac:dyDescent="0.3">
      <c r="A50" s="42"/>
      <c r="B50" s="52">
        <f ca="1">+'N° de Obs.'!M7</f>
        <v>90</v>
      </c>
      <c r="C50" s="52">
        <f ca="1">+'N° de Obs.'!N7</f>
        <v>2341</v>
      </c>
      <c r="D50" s="52">
        <f t="shared" ref="D50:D68" ca="1" si="6">+ROUND($B$71*$C$71/C50,2)</f>
        <v>93.64</v>
      </c>
      <c r="E50" s="52">
        <f t="shared" ref="E50:E68" ca="1" si="7">+J50</f>
        <v>95</v>
      </c>
      <c r="F50" s="52">
        <f t="shared" ref="F50:F68" ca="1" si="8">+B50-E50</f>
        <v>-5</v>
      </c>
      <c r="G50" s="42"/>
      <c r="H50" s="42">
        <f t="shared" ref="H50:H68" ca="1" si="9">+ROUND(D50,1)</f>
        <v>93.6</v>
      </c>
      <c r="I50" s="59" t="str">
        <f t="shared" ref="I50:I68" ca="1" si="10">+RIGHT(H50*10,2)</f>
        <v>36</v>
      </c>
      <c r="J50" s="42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42">
        <f t="shared" ref="K50:K68" ca="1" si="11">+ABS(F50)</f>
        <v>5</v>
      </c>
      <c r="L50" s="42"/>
      <c r="M50" s="42"/>
      <c r="N50" s="42"/>
    </row>
    <row r="51" spans="1:14" ht="15.6" x14ac:dyDescent="0.3">
      <c r="A51" s="42"/>
      <c r="B51" s="52">
        <f ca="1">+'N° de Obs.'!M8</f>
        <v>85</v>
      </c>
      <c r="C51" s="52">
        <f ca="1">+'N° de Obs.'!N8</f>
        <v>2484</v>
      </c>
      <c r="D51" s="52">
        <f t="shared" ca="1" si="6"/>
        <v>88.24</v>
      </c>
      <c r="E51" s="52">
        <f t="shared" ca="1" si="7"/>
        <v>90</v>
      </c>
      <c r="F51" s="52">
        <f t="shared" ca="1" si="8"/>
        <v>-5</v>
      </c>
      <c r="G51" s="42"/>
      <c r="H51" s="42">
        <f t="shared" ca="1" si="9"/>
        <v>88.2</v>
      </c>
      <c r="I51" s="59" t="str">
        <f t="shared" ca="1" si="10"/>
        <v>82</v>
      </c>
      <c r="J51" s="42" cm="1">
        <f t="array" aca="1" ref="J51" ca="1">+_xlfn.IFS(AND(I51&gt;="0",I51&lt;"25"),H51-(I51/10),AND(I51&gt;="25",I51&lt;"50"),H51+(5-(I51/10)),AND(I51&gt;="50",I51&lt;"75"),H51-((I51-50)/10),I51&gt;="75",H51+(10-(I51/10)))</f>
        <v>90</v>
      </c>
      <c r="K51" s="42">
        <f t="shared" ca="1" si="11"/>
        <v>5</v>
      </c>
      <c r="L51" s="42"/>
      <c r="M51" s="42"/>
      <c r="N51" s="42"/>
    </row>
    <row r="52" spans="1:14" ht="15.6" x14ac:dyDescent="0.3">
      <c r="A52" s="42"/>
      <c r="B52" s="52">
        <f ca="1">+'N° de Obs.'!M9</f>
        <v>95</v>
      </c>
      <c r="C52" s="52">
        <f ca="1">+'N° de Obs.'!N9</f>
        <v>2344</v>
      </c>
      <c r="D52" s="52">
        <f t="shared" ca="1" si="6"/>
        <v>93.52</v>
      </c>
      <c r="E52" s="52">
        <f t="shared" ca="1" si="7"/>
        <v>95</v>
      </c>
      <c r="F52" s="52">
        <f t="shared" ca="1" si="8"/>
        <v>0</v>
      </c>
      <c r="G52" s="42"/>
      <c r="H52" s="42">
        <f t="shared" ca="1" si="9"/>
        <v>93.5</v>
      </c>
      <c r="I52" s="59" t="str">
        <f t="shared" ca="1" si="10"/>
        <v>35</v>
      </c>
      <c r="J52" s="42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42">
        <f t="shared" ca="1" si="11"/>
        <v>0</v>
      </c>
      <c r="L52" s="42"/>
      <c r="M52" s="42"/>
      <c r="N52" s="42"/>
    </row>
    <row r="53" spans="1:14" ht="15.6" x14ac:dyDescent="0.3">
      <c r="A53" s="42"/>
      <c r="B53" s="52">
        <f ca="1">+'N° de Obs.'!M10</f>
        <v>85</v>
      </c>
      <c r="C53" s="52">
        <f ca="1">+'N° de Obs.'!N10</f>
        <v>2486</v>
      </c>
      <c r="D53" s="52">
        <f t="shared" ca="1" si="6"/>
        <v>88.17</v>
      </c>
      <c r="E53" s="52">
        <f t="shared" ca="1" si="7"/>
        <v>90</v>
      </c>
      <c r="F53" s="52">
        <f t="shared" ca="1" si="8"/>
        <v>-5</v>
      </c>
      <c r="G53" s="42"/>
      <c r="H53" s="42">
        <f t="shared" ca="1" si="9"/>
        <v>88.2</v>
      </c>
      <c r="I53" s="59" t="str">
        <f t="shared" ca="1" si="10"/>
        <v>82</v>
      </c>
      <c r="J53" s="42" cm="1">
        <f t="array" aca="1" ref="J53" ca="1">+_xlfn.IFS(AND(I53&gt;="0",I53&lt;"25"),H53-(I53/10),AND(I53&gt;="25",I53&lt;"50"),H53+(5-(I53/10)),AND(I53&gt;="50",I53&lt;"75"),H53-((I53-50)/10),I53&gt;="75",H53+(10-(I53/10)))</f>
        <v>90</v>
      </c>
      <c r="K53" s="42">
        <f t="shared" ca="1" si="11"/>
        <v>5</v>
      </c>
      <c r="L53" s="42"/>
      <c r="M53" s="42"/>
      <c r="N53" s="42"/>
    </row>
    <row r="54" spans="1:14" ht="15.6" x14ac:dyDescent="0.3">
      <c r="A54" s="42"/>
      <c r="B54" s="52">
        <f ca="1">+'N° de Obs.'!M11</f>
        <v>85</v>
      </c>
      <c r="C54" s="52">
        <f ca="1">+'N° de Obs.'!N11</f>
        <v>2386</v>
      </c>
      <c r="D54" s="52">
        <f t="shared" ca="1" si="6"/>
        <v>91.87</v>
      </c>
      <c r="E54" s="52">
        <f t="shared" ca="1" si="7"/>
        <v>90</v>
      </c>
      <c r="F54" s="52">
        <f t="shared" ca="1" si="8"/>
        <v>-5</v>
      </c>
      <c r="G54" s="42"/>
      <c r="H54" s="42">
        <f t="shared" ca="1" si="9"/>
        <v>91.9</v>
      </c>
      <c r="I54" s="59" t="str">
        <f t="shared" ca="1" si="10"/>
        <v>19</v>
      </c>
      <c r="J54" s="42" cm="1">
        <f t="array" aca="1" ref="J54" ca="1">+_xlfn.IFS(AND(I54&gt;="0",I54&lt;"25"),H54-(I54/10),AND(I54&gt;="25",I54&lt;"50"),H54+(5-(I54/10)),AND(I54&gt;="50",I54&lt;"75"),H54-((I54-50)/10),I54&gt;="75",H54+(10-(I54/10)))</f>
        <v>90</v>
      </c>
      <c r="K54" s="42">
        <f t="shared" ca="1" si="11"/>
        <v>5</v>
      </c>
      <c r="L54" s="42"/>
      <c r="M54" s="42"/>
      <c r="N54" s="42"/>
    </row>
    <row r="55" spans="1:14" ht="15.6" x14ac:dyDescent="0.3">
      <c r="A55" s="42"/>
      <c r="B55" s="52">
        <f ca="1">+'N° de Obs.'!M12</f>
        <v>95</v>
      </c>
      <c r="C55" s="52">
        <f ca="1">+'N° de Obs.'!N12</f>
        <v>2437</v>
      </c>
      <c r="D55" s="52">
        <f t="shared" ca="1" si="6"/>
        <v>89.95</v>
      </c>
      <c r="E55" s="52">
        <f t="shared" ca="1" si="7"/>
        <v>90</v>
      </c>
      <c r="F55" s="52">
        <f t="shared" ca="1" si="8"/>
        <v>5</v>
      </c>
      <c r="G55" s="42"/>
      <c r="H55" s="42">
        <f t="shared" ca="1" si="9"/>
        <v>90</v>
      </c>
      <c r="I55" s="59" t="str">
        <f t="shared" ca="1" si="10"/>
        <v>00</v>
      </c>
      <c r="J55" s="42" cm="1">
        <f t="array" aca="1" ref="J55" ca="1">+_xlfn.IFS(AND(I55&gt;="0",I55&lt;"25"),H55-(I55/10),AND(I55&gt;="25",I55&lt;"50"),H55+(5-(I55/10)),AND(I55&gt;="50",I55&lt;"75"),H55-((I55-50)/10),I55&gt;="75",H55+(10-(I55/10)))</f>
        <v>90</v>
      </c>
      <c r="K55" s="42">
        <f t="shared" ca="1" si="11"/>
        <v>5</v>
      </c>
      <c r="L55" s="42"/>
      <c r="M55" s="42"/>
      <c r="N55" s="42"/>
    </row>
    <row r="56" spans="1:14" ht="15.6" x14ac:dyDescent="0.3">
      <c r="A56" s="42"/>
      <c r="B56" s="52">
        <f ca="1">+'N° de Obs.'!M13</f>
        <v>100</v>
      </c>
      <c r="C56" s="52">
        <f ca="1">+'N° de Obs.'!N13</f>
        <v>2362</v>
      </c>
      <c r="D56" s="52">
        <f t="shared" ca="1" si="6"/>
        <v>92.8</v>
      </c>
      <c r="E56" s="52">
        <f t="shared" ca="1" si="7"/>
        <v>95</v>
      </c>
      <c r="F56" s="52">
        <f t="shared" ca="1" si="8"/>
        <v>5</v>
      </c>
      <c r="G56" s="42"/>
      <c r="H56" s="42">
        <f t="shared" ca="1" si="9"/>
        <v>92.8</v>
      </c>
      <c r="I56" s="59" t="str">
        <f t="shared" ca="1" si="10"/>
        <v>28</v>
      </c>
      <c r="J56" s="42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42">
        <f t="shared" ca="1" si="11"/>
        <v>5</v>
      </c>
      <c r="L56" s="42"/>
      <c r="M56" s="42"/>
      <c r="N56" s="42"/>
    </row>
    <row r="57" spans="1:14" ht="15.6" x14ac:dyDescent="0.3">
      <c r="A57" s="42"/>
      <c r="B57" s="52">
        <f ca="1">+'N° de Obs.'!M14</f>
        <v>85</v>
      </c>
      <c r="C57" s="52">
        <f ca="1">+'N° de Obs.'!N14</f>
        <v>2378</v>
      </c>
      <c r="D57" s="52">
        <f t="shared" ca="1" si="6"/>
        <v>92.18</v>
      </c>
      <c r="E57" s="52">
        <f t="shared" ca="1" si="7"/>
        <v>90</v>
      </c>
      <c r="F57" s="52">
        <f t="shared" ca="1" si="8"/>
        <v>-5</v>
      </c>
      <c r="G57" s="42"/>
      <c r="H57" s="42">
        <f t="shared" ca="1" si="9"/>
        <v>92.2</v>
      </c>
      <c r="I57" s="59" t="str">
        <f t="shared" ca="1" si="10"/>
        <v>22</v>
      </c>
      <c r="J57" s="42" cm="1">
        <f t="array" aca="1" ref="J57" ca="1">+_xlfn.IFS(AND(I57&gt;="0",I57&lt;"25"),H57-(I57/10),AND(I57&gt;="25",I57&lt;"50"),H57+(5-(I57/10)),AND(I57&gt;="50",I57&lt;"75"),H57-((I57-50)/10),I57&gt;="75",H57+(10-(I57/10)))</f>
        <v>90</v>
      </c>
      <c r="K57" s="42">
        <f t="shared" ca="1" si="11"/>
        <v>5</v>
      </c>
      <c r="L57" s="42"/>
      <c r="M57" s="42"/>
      <c r="N57" s="42"/>
    </row>
    <row r="58" spans="1:14" ht="15.6" x14ac:dyDescent="0.3">
      <c r="A58" s="42"/>
      <c r="B58" s="52">
        <f ca="1">+'N° de Obs.'!M15</f>
        <v>95</v>
      </c>
      <c r="C58" s="52">
        <f ca="1">+'N° de Obs.'!N15</f>
        <v>2348</v>
      </c>
      <c r="D58" s="52">
        <f t="shared" ca="1" si="6"/>
        <v>93.36</v>
      </c>
      <c r="E58" s="52">
        <f t="shared" ca="1" si="7"/>
        <v>95</v>
      </c>
      <c r="F58" s="52">
        <f t="shared" ca="1" si="8"/>
        <v>0</v>
      </c>
      <c r="G58" s="42"/>
      <c r="H58" s="42">
        <f t="shared" ca="1" si="9"/>
        <v>93.4</v>
      </c>
      <c r="I58" s="59" t="str">
        <f t="shared" ca="1" si="10"/>
        <v>34</v>
      </c>
      <c r="J58" s="42" cm="1">
        <f t="array" aca="1" ref="J58" ca="1">+_xlfn.IFS(AND(I58&gt;="0",I58&lt;"25"),H58-(I58/10),AND(I58&gt;="25",I58&lt;"50"),H58+(5-(I58/10)),AND(I58&gt;="50",I58&lt;"75"),H58-((I58-50)/10),I58&gt;="75",H58+(10-(I58/10)))</f>
        <v>95</v>
      </c>
      <c r="K58" s="42">
        <f t="shared" ca="1" si="11"/>
        <v>0</v>
      </c>
      <c r="L58" s="42"/>
      <c r="M58" s="42"/>
      <c r="N58" s="42"/>
    </row>
    <row r="59" spans="1:14" ht="15.6" x14ac:dyDescent="0.3">
      <c r="A59" s="42"/>
      <c r="B59" s="52">
        <f ca="1">+'N° de Obs.'!M16</f>
        <v>100</v>
      </c>
      <c r="C59" s="52">
        <f ca="1">+'N° de Obs.'!N16</f>
        <v>2430</v>
      </c>
      <c r="D59" s="52">
        <f t="shared" ca="1" si="6"/>
        <v>90.21</v>
      </c>
      <c r="E59" s="52">
        <f t="shared" ca="1" si="7"/>
        <v>90</v>
      </c>
      <c r="F59" s="52">
        <f t="shared" ca="1" si="8"/>
        <v>10</v>
      </c>
      <c r="G59" s="42"/>
      <c r="H59" s="42">
        <f t="shared" ca="1" si="9"/>
        <v>90.2</v>
      </c>
      <c r="I59" s="59" t="str">
        <f t="shared" ca="1" si="10"/>
        <v>02</v>
      </c>
      <c r="J59" s="42" cm="1">
        <f t="array" aca="1" ref="J59" ca="1">+_xlfn.IFS(AND(I59&gt;="0",I59&lt;"25"),H59-(I59/10),AND(I59&gt;="25",I59&lt;"50"),H59+(5-(I59/10)),AND(I59&gt;="50",I59&lt;"75"),H59-((I59-50)/10),I59&gt;="75",H59+(10-(I59/10)))</f>
        <v>90</v>
      </c>
      <c r="K59" s="42">
        <f t="shared" ca="1" si="11"/>
        <v>10</v>
      </c>
      <c r="L59" s="42"/>
      <c r="M59" s="42"/>
      <c r="N59" s="42"/>
    </row>
    <row r="60" spans="1:14" ht="15.6" x14ac:dyDescent="0.3">
      <c r="A60" s="42"/>
      <c r="B60" s="52">
        <f ca="1">+'N° de Obs.'!M17</f>
        <v>90</v>
      </c>
      <c r="C60" s="52">
        <f ca="1">+'N° de Obs.'!N17</f>
        <v>2494</v>
      </c>
      <c r="D60" s="52">
        <f t="shared" ca="1" si="6"/>
        <v>87.89</v>
      </c>
      <c r="E60" s="52">
        <f t="shared" ca="1" si="7"/>
        <v>90</v>
      </c>
      <c r="F60" s="52">
        <f t="shared" ca="1" si="8"/>
        <v>0</v>
      </c>
      <c r="G60" s="42"/>
      <c r="H60" s="42">
        <f t="shared" ca="1" si="9"/>
        <v>87.9</v>
      </c>
      <c r="I60" s="59" t="str">
        <f t="shared" ca="1" si="10"/>
        <v>79</v>
      </c>
      <c r="J60" s="42" cm="1">
        <f t="array" aca="1" ref="J60" ca="1">+_xlfn.IFS(AND(I60&gt;="0",I60&lt;"25"),H60-(I60/10),AND(I60&gt;="25",I60&lt;"50"),H60+(5-(I60/10)),AND(I60&gt;="50",I60&lt;"75"),H60-((I60-50)/10),I60&gt;="75",H60+(10-(I60/10)))</f>
        <v>90</v>
      </c>
      <c r="K60" s="42">
        <f t="shared" ca="1" si="11"/>
        <v>0</v>
      </c>
      <c r="L60" s="42"/>
      <c r="M60" s="42"/>
      <c r="N60" s="42"/>
    </row>
    <row r="61" spans="1:14" ht="15.6" x14ac:dyDescent="0.3">
      <c r="A61" s="42"/>
      <c r="B61" s="52">
        <f ca="1">+'N° de Obs.'!M18</f>
        <v>95</v>
      </c>
      <c r="C61" s="52">
        <f ca="1">+'N° de Obs.'!N18</f>
        <v>2351</v>
      </c>
      <c r="D61" s="52">
        <f t="shared" ca="1" si="6"/>
        <v>93.24</v>
      </c>
      <c r="E61" s="52">
        <f t="shared" ca="1" si="7"/>
        <v>95</v>
      </c>
      <c r="F61" s="52">
        <f t="shared" ca="1" si="8"/>
        <v>0</v>
      </c>
      <c r="G61" s="42"/>
      <c r="H61" s="42">
        <f t="shared" ca="1" si="9"/>
        <v>93.2</v>
      </c>
      <c r="I61" s="59" t="str">
        <f t="shared" ca="1" si="10"/>
        <v>32</v>
      </c>
      <c r="J61" s="42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42">
        <f t="shared" ca="1" si="11"/>
        <v>0</v>
      </c>
      <c r="L61" s="42"/>
      <c r="M61" s="42"/>
      <c r="N61" s="42"/>
    </row>
    <row r="62" spans="1:14" ht="15.6" x14ac:dyDescent="0.3">
      <c r="A62" s="42"/>
      <c r="B62" s="52">
        <f ca="1">+'N° de Obs.'!M19</f>
        <v>90</v>
      </c>
      <c r="C62" s="52">
        <f ca="1">+'N° de Obs.'!N19</f>
        <v>2396</v>
      </c>
      <c r="D62" s="52">
        <f t="shared" ca="1" si="6"/>
        <v>91.49</v>
      </c>
      <c r="E62" s="52">
        <f t="shared" ca="1" si="7"/>
        <v>90</v>
      </c>
      <c r="F62" s="52">
        <f t="shared" ca="1" si="8"/>
        <v>0</v>
      </c>
      <c r="G62" s="42"/>
      <c r="H62" s="42">
        <f t="shared" ca="1" si="9"/>
        <v>91.5</v>
      </c>
      <c r="I62" s="59" t="str">
        <f t="shared" ca="1" si="10"/>
        <v>15</v>
      </c>
      <c r="J62" s="42" cm="1">
        <f t="array" aca="1" ref="J62" ca="1">+_xlfn.IFS(AND(I62&gt;="0",I62&lt;"25"),H62-(I62/10),AND(I62&gt;="25",I62&lt;"50"),H62+(5-(I62/10)),AND(I62&gt;="50",I62&lt;"75"),H62-((I62-50)/10),I62&gt;="75",H62+(10-(I62/10)))</f>
        <v>90</v>
      </c>
      <c r="K62" s="42">
        <f t="shared" ca="1" si="11"/>
        <v>0</v>
      </c>
      <c r="L62" s="42"/>
      <c r="M62" s="42"/>
      <c r="N62" s="42"/>
    </row>
    <row r="63" spans="1:14" ht="15.6" x14ac:dyDescent="0.3">
      <c r="A63" s="42"/>
      <c r="B63" s="52">
        <f ca="1">+'N° de Obs.'!M20</f>
        <v>95</v>
      </c>
      <c r="C63" s="52">
        <f ca="1">+'N° de Obs.'!N20</f>
        <v>2343</v>
      </c>
      <c r="D63" s="52">
        <f t="shared" ca="1" si="6"/>
        <v>93.56</v>
      </c>
      <c r="E63" s="52">
        <f t="shared" ca="1" si="7"/>
        <v>95</v>
      </c>
      <c r="F63" s="52">
        <f t="shared" ca="1" si="8"/>
        <v>0</v>
      </c>
      <c r="G63" s="42"/>
      <c r="H63" s="42">
        <f t="shared" ca="1" si="9"/>
        <v>93.6</v>
      </c>
      <c r="I63" s="59" t="str">
        <f t="shared" ca="1" si="10"/>
        <v>36</v>
      </c>
      <c r="J63" s="42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42">
        <f t="shared" ca="1" si="11"/>
        <v>0</v>
      </c>
      <c r="L63" s="42"/>
      <c r="M63" s="42"/>
      <c r="N63" s="42"/>
    </row>
    <row r="64" spans="1:14" ht="15.6" x14ac:dyDescent="0.3">
      <c r="A64" s="42"/>
      <c r="B64" s="52">
        <f ca="1">+'N° de Obs.'!M21</f>
        <v>100</v>
      </c>
      <c r="C64" s="52">
        <f ca="1">+'N° de Obs.'!N21</f>
        <v>2302</v>
      </c>
      <c r="D64" s="52">
        <f t="shared" ca="1" si="6"/>
        <v>95.22</v>
      </c>
      <c r="E64" s="52">
        <f t="shared" ca="1" si="7"/>
        <v>95</v>
      </c>
      <c r="F64" s="52">
        <f t="shared" ca="1" si="8"/>
        <v>5</v>
      </c>
      <c r="G64" s="42"/>
      <c r="H64" s="42">
        <f t="shared" ca="1" si="9"/>
        <v>95.2</v>
      </c>
      <c r="I64" s="59" t="str">
        <f t="shared" ca="1" si="10"/>
        <v>52</v>
      </c>
      <c r="J64" s="42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42">
        <f t="shared" ca="1" si="11"/>
        <v>5</v>
      </c>
      <c r="L64" s="42"/>
      <c r="M64" s="42"/>
      <c r="N64" s="42"/>
    </row>
    <row r="65" spans="1:14" ht="15.6" x14ac:dyDescent="0.3">
      <c r="A65" s="42"/>
      <c r="B65" s="52">
        <f ca="1">+'N° de Obs.'!M22</f>
        <v>90</v>
      </c>
      <c r="C65" s="52">
        <f ca="1">+'N° de Obs.'!N22</f>
        <v>2322</v>
      </c>
      <c r="D65" s="52">
        <f t="shared" ca="1" si="6"/>
        <v>94.4</v>
      </c>
      <c r="E65" s="52">
        <f t="shared" ca="1" si="7"/>
        <v>95</v>
      </c>
      <c r="F65" s="52">
        <f t="shared" ca="1" si="8"/>
        <v>-5</v>
      </c>
      <c r="G65" s="42"/>
      <c r="H65" s="42">
        <f t="shared" ca="1" si="9"/>
        <v>94.4</v>
      </c>
      <c r="I65" s="59" t="str">
        <f t="shared" ca="1" si="10"/>
        <v>44</v>
      </c>
      <c r="J65" s="42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42">
        <f t="shared" ca="1" si="11"/>
        <v>5</v>
      </c>
      <c r="L65" s="42"/>
      <c r="M65" s="42"/>
      <c r="N65" s="42"/>
    </row>
    <row r="66" spans="1:14" ht="15.6" x14ac:dyDescent="0.3">
      <c r="A66" s="42"/>
      <c r="B66" s="52">
        <f ca="1">+'N° de Obs.'!M23</f>
        <v>85</v>
      </c>
      <c r="C66" s="52">
        <f ca="1">+'N° de Obs.'!N23</f>
        <v>2375</v>
      </c>
      <c r="D66" s="52">
        <f t="shared" ca="1" si="6"/>
        <v>92.29</v>
      </c>
      <c r="E66" s="52">
        <f t="shared" ca="1" si="7"/>
        <v>90</v>
      </c>
      <c r="F66" s="52">
        <f t="shared" ca="1" si="8"/>
        <v>-5</v>
      </c>
      <c r="G66" s="42"/>
      <c r="H66" s="42">
        <f t="shared" ca="1" si="9"/>
        <v>92.3</v>
      </c>
      <c r="I66" s="59" t="str">
        <f t="shared" ca="1" si="10"/>
        <v>23</v>
      </c>
      <c r="J66" s="42" cm="1">
        <f t="array" aca="1" ref="J66" ca="1">+_xlfn.IFS(AND(I66&gt;="0",I66&lt;"25"),H66-(I66/10),AND(I66&gt;="25",I66&lt;"50"),H66+(5-(I66/10)),AND(I66&gt;="50",I66&lt;"75"),H66-((I66-50)/10),I66&gt;="75",H66+(10-(I66/10)))</f>
        <v>90</v>
      </c>
      <c r="K66" s="42">
        <f t="shared" ca="1" si="11"/>
        <v>5</v>
      </c>
      <c r="L66" s="42"/>
      <c r="M66" s="42"/>
      <c r="N66" s="42"/>
    </row>
    <row r="67" spans="1:14" ht="15.6" x14ac:dyDescent="0.3">
      <c r="A67" s="42"/>
      <c r="B67" s="52">
        <f ca="1">+'N° de Obs.'!M24</f>
        <v>100</v>
      </c>
      <c r="C67" s="52">
        <f ca="1">+'N° de Obs.'!N24</f>
        <v>2349</v>
      </c>
      <c r="D67" s="52">
        <f t="shared" ca="1" si="6"/>
        <v>93.32</v>
      </c>
      <c r="E67" s="52">
        <f t="shared" ca="1" si="7"/>
        <v>95</v>
      </c>
      <c r="F67" s="52">
        <f t="shared" ca="1" si="8"/>
        <v>5</v>
      </c>
      <c r="G67" s="42"/>
      <c r="H67" s="42">
        <f t="shared" ca="1" si="9"/>
        <v>93.3</v>
      </c>
      <c r="I67" s="59" t="str">
        <f t="shared" ca="1" si="10"/>
        <v>33</v>
      </c>
      <c r="J67" s="42" cm="1">
        <f t="array" aca="1" ref="J67" ca="1">+_xlfn.IFS(AND(I67&gt;="0",I67&lt;"25"),H67-(I67/10),AND(I67&gt;="25",I67&lt;"50"),H67+(5-(I67/10)),AND(I67&gt;="50",I67&lt;"75"),H67-((I67-50)/10),I67&gt;="75",H67+(10-(I67/10)))</f>
        <v>95</v>
      </c>
      <c r="K67" s="42">
        <f t="shared" ca="1" si="11"/>
        <v>5</v>
      </c>
      <c r="L67" s="42"/>
      <c r="M67" s="42"/>
      <c r="N67" s="42"/>
    </row>
    <row r="68" spans="1:14" ht="15.6" x14ac:dyDescent="0.3">
      <c r="A68" s="42"/>
      <c r="B68" s="53">
        <f ca="1">+'N° de Obs.'!M25</f>
        <v>90</v>
      </c>
      <c r="C68" s="53">
        <f ca="1">+'N° de Obs.'!N25</f>
        <v>2429</v>
      </c>
      <c r="D68" s="53">
        <f t="shared" ca="1" si="6"/>
        <v>90.24</v>
      </c>
      <c r="E68" s="53">
        <f t="shared" ca="1" si="7"/>
        <v>90</v>
      </c>
      <c r="F68" s="53">
        <f t="shared" ca="1" si="8"/>
        <v>0</v>
      </c>
      <c r="G68" s="42"/>
      <c r="H68" s="42">
        <f t="shared" ca="1" si="9"/>
        <v>90.2</v>
      </c>
      <c r="I68" s="59" t="str">
        <f t="shared" ca="1" si="10"/>
        <v>02</v>
      </c>
      <c r="J68" s="42" cm="1">
        <f t="array" aca="1" ref="J68" ca="1">+_xlfn.IFS(AND(I68&gt;="0",I68&lt;"25"),H68-(I68/10),AND(I68&gt;="25",I68&lt;"50"),H68+(5-(I68/10)),AND(I68&gt;="50",I68&lt;"75"),H68-((I68-50)/10),I68&gt;="75",H68+(10-(I68/10)))</f>
        <v>90</v>
      </c>
      <c r="K68" s="42">
        <f t="shared" ca="1" si="11"/>
        <v>0</v>
      </c>
      <c r="L68" s="42"/>
      <c r="M68" s="42"/>
      <c r="N68" s="42"/>
    </row>
    <row r="69" spans="1:14" ht="15.6" x14ac:dyDescent="0.3">
      <c r="A69" s="42"/>
      <c r="B69" s="114" t="s">
        <v>89</v>
      </c>
      <c r="C69" s="121"/>
      <c r="D69" s="121"/>
      <c r="E69" s="121"/>
      <c r="F69" s="55">
        <f ca="1">+SUMIF(K49:K68,"&lt;=10",F49:F68)</f>
        <v>-10</v>
      </c>
      <c r="G69" s="42"/>
      <c r="H69" s="42"/>
      <c r="I69" s="42"/>
      <c r="J69" s="42"/>
      <c r="K69" s="42">
        <f ca="1">+COUNTIF(K49:K68,"&lt;=10")</f>
        <v>20</v>
      </c>
      <c r="L69" s="42"/>
      <c r="M69" s="42"/>
      <c r="N69" s="42"/>
    </row>
    <row r="70" spans="1:14" ht="15.6" x14ac:dyDescent="0.3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</row>
    <row r="71" spans="1:14" ht="15.6" x14ac:dyDescent="0.3">
      <c r="A71" s="42"/>
      <c r="B71" s="42">
        <v>100</v>
      </c>
      <c r="C71" s="42">
        <f ca="1">+ROUND(AVERAGE('N° de Obs.'!O6:O25),0)</f>
        <v>2192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</row>
    <row r="72" spans="1:14" ht="15.6" x14ac:dyDescent="0.3">
      <c r="A72" s="42"/>
      <c r="B72" s="42"/>
      <c r="C72" s="42"/>
      <c r="D72" s="60"/>
      <c r="E72" s="60"/>
      <c r="F72" s="42"/>
      <c r="G72" s="42"/>
      <c r="H72" s="42"/>
      <c r="I72" s="42"/>
      <c r="J72" s="42"/>
      <c r="K72" s="42"/>
      <c r="L72" s="42"/>
      <c r="M72" s="42"/>
      <c r="N72" s="42"/>
    </row>
    <row r="73" spans="1:14" ht="15.6" x14ac:dyDescent="0.3">
      <c r="A73" s="42"/>
      <c r="B73" s="42"/>
      <c r="C73" s="42"/>
      <c r="D73" s="50" t="s">
        <v>83</v>
      </c>
      <c r="E73" s="50" t="s">
        <v>84</v>
      </c>
      <c r="F73" s="42"/>
      <c r="G73" s="42"/>
      <c r="H73" s="42"/>
      <c r="I73" s="42"/>
      <c r="J73" s="42"/>
      <c r="K73" s="42"/>
      <c r="L73" s="42"/>
      <c r="M73" s="42"/>
      <c r="N73" s="42"/>
    </row>
    <row r="74" spans="1:14" ht="15.6" x14ac:dyDescent="0.3">
      <c r="A74" s="42"/>
      <c r="B74" s="42"/>
      <c r="C74" s="42"/>
      <c r="D74" s="52" t="s">
        <v>86</v>
      </c>
      <c r="E74" s="52" t="s">
        <v>25</v>
      </c>
      <c r="F74" s="42"/>
      <c r="G74" s="42"/>
      <c r="H74" s="42"/>
      <c r="I74" s="42"/>
      <c r="J74" s="42"/>
      <c r="K74" s="42"/>
      <c r="L74" s="42"/>
      <c r="M74" s="42"/>
      <c r="N74" s="42"/>
    </row>
    <row r="75" spans="1:14" ht="15.6" x14ac:dyDescent="0.3">
      <c r="A75" s="42"/>
      <c r="B75" s="42"/>
      <c r="C75" s="42"/>
      <c r="D75" s="52" t="s">
        <v>94</v>
      </c>
      <c r="E75" s="61">
        <v>100</v>
      </c>
      <c r="F75" s="42"/>
      <c r="G75" s="42"/>
      <c r="H75" s="42"/>
      <c r="I75" s="42"/>
      <c r="J75" s="42"/>
      <c r="K75" s="42"/>
      <c r="L75" s="42"/>
      <c r="M75" s="42"/>
      <c r="N75" s="42"/>
    </row>
    <row r="76" spans="1:14" ht="15.6" x14ac:dyDescent="0.3">
      <c r="A76" s="42"/>
      <c r="B76" s="42"/>
      <c r="C76" s="42"/>
      <c r="D76" s="52" t="s">
        <v>20</v>
      </c>
      <c r="E76" s="52">
        <f ca="1">+C71</f>
        <v>2192</v>
      </c>
      <c r="F76" s="42"/>
      <c r="G76" s="42"/>
      <c r="H76" s="42"/>
      <c r="I76" s="42"/>
      <c r="J76" s="42"/>
      <c r="K76" s="42"/>
      <c r="L76" s="42"/>
      <c r="M76" s="42"/>
      <c r="N76" s="42"/>
    </row>
    <row r="77" spans="1:14" ht="31.2" x14ac:dyDescent="0.3">
      <c r="A77" s="42"/>
      <c r="B77" s="42"/>
      <c r="C77" s="42"/>
      <c r="D77" s="62" t="s">
        <v>96</v>
      </c>
      <c r="E77" s="52">
        <f ca="1">+K69</f>
        <v>20</v>
      </c>
      <c r="F77" s="42"/>
      <c r="G77" s="42"/>
      <c r="H77" s="42"/>
      <c r="I77" s="42"/>
      <c r="J77" s="42"/>
      <c r="K77" s="42"/>
      <c r="L77" s="42"/>
      <c r="M77" s="42"/>
      <c r="N77" s="42"/>
    </row>
    <row r="78" spans="1:14" ht="15.6" x14ac:dyDescent="0.3">
      <c r="A78" s="42"/>
      <c r="B78" s="42"/>
      <c r="C78" s="42"/>
      <c r="D78" s="63" t="s">
        <v>93</v>
      </c>
      <c r="E78" s="53">
        <f ca="1">+F69</f>
        <v>-10</v>
      </c>
      <c r="F78" s="42"/>
      <c r="G78" s="42"/>
      <c r="H78" s="42"/>
      <c r="I78" s="42"/>
      <c r="J78" s="42"/>
      <c r="K78" s="42"/>
      <c r="L78" s="42"/>
      <c r="M78" s="42"/>
      <c r="N78" s="42"/>
    </row>
    <row r="79" spans="1:14" ht="31.2" x14ac:dyDescent="0.3">
      <c r="A79" s="42"/>
      <c r="B79" s="42"/>
      <c r="C79" s="42"/>
      <c r="D79" s="44" t="s">
        <v>95</v>
      </c>
      <c r="E79" s="56" t="str">
        <f ca="1">+CONCATENATE(ROUND((F69/K69*5)/5,2)," %")</f>
        <v>-0.5 %</v>
      </c>
      <c r="F79" s="42"/>
      <c r="G79" s="42"/>
      <c r="H79" s="42"/>
      <c r="I79" s="42"/>
      <c r="J79" s="42"/>
      <c r="K79" s="42"/>
      <c r="L79" s="42"/>
      <c r="M79" s="42"/>
      <c r="N79" s="42"/>
    </row>
    <row r="80" spans="1:14" ht="15.6" x14ac:dyDescent="0.3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</row>
    <row r="81" spans="1:14" ht="15.6" x14ac:dyDescent="0.3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</row>
    <row r="82" spans="1:14" ht="15.6" x14ac:dyDescent="0.3">
      <c r="A82" s="10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</row>
    <row r="83" spans="1:14" ht="15.6" x14ac:dyDescent="0.3">
      <c r="A83" s="10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U70"/>
  <sheetViews>
    <sheetView zoomScaleNormal="100" workbookViewId="0">
      <selection activeCell="T50" sqref="T50"/>
    </sheetView>
  </sheetViews>
  <sheetFormatPr baseColWidth="10" defaultRowHeight="14.4" x14ac:dyDescent="0.3"/>
  <cols>
    <col min="10" max="10" width="3.109375" customWidth="1"/>
    <col min="16" max="16" width="2.5546875" bestFit="1" customWidth="1"/>
  </cols>
  <sheetData>
    <row r="1" spans="1:21" ht="15.6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42"/>
      <c r="M1" s="42"/>
      <c r="N1" s="42"/>
      <c r="O1" s="42"/>
      <c r="P1" s="42"/>
      <c r="Q1" s="122" t="s">
        <v>119</v>
      </c>
      <c r="R1" s="122"/>
      <c r="S1" s="122"/>
      <c r="T1" s="42"/>
      <c r="U1" s="42"/>
    </row>
    <row r="2" spans="1:21" ht="15.6" x14ac:dyDescent="0.3">
      <c r="A2" s="42"/>
      <c r="B2" s="7"/>
      <c r="C2" s="7"/>
      <c r="D2" s="116" t="str">
        <f>+'Hoja de cronometraje'!K4</f>
        <v>Elemento A</v>
      </c>
      <c r="E2" s="117"/>
      <c r="F2" s="7"/>
      <c r="G2" s="7"/>
      <c r="H2" s="7"/>
      <c r="I2" s="7"/>
      <c r="J2" s="7"/>
      <c r="K2" s="7"/>
      <c r="L2" s="42"/>
      <c r="M2" s="42"/>
      <c r="N2" s="42"/>
      <c r="O2" s="42"/>
      <c r="P2" s="42"/>
      <c r="Q2" s="122"/>
      <c r="R2" s="122"/>
      <c r="S2" s="122"/>
      <c r="T2" s="42"/>
      <c r="U2" s="42"/>
    </row>
    <row r="3" spans="1:21" s="42" customFormat="1" ht="15.6" x14ac:dyDescent="0.3">
      <c r="Q3" s="122"/>
      <c r="R3" s="122"/>
      <c r="S3" s="122"/>
    </row>
    <row r="4" spans="1:21" ht="15.6" x14ac:dyDescent="0.3">
      <c r="A4" s="42"/>
      <c r="B4" s="37" t="s">
        <v>18</v>
      </c>
      <c r="C4" s="37" t="s">
        <v>19</v>
      </c>
      <c r="D4" s="37" t="s">
        <v>20</v>
      </c>
      <c r="E4" s="38" t="s">
        <v>118</v>
      </c>
      <c r="F4" s="38" t="s">
        <v>117</v>
      </c>
      <c r="G4" s="38" t="s">
        <v>116</v>
      </c>
      <c r="H4" s="38" t="s">
        <v>115</v>
      </c>
      <c r="I4" s="39" t="s">
        <v>85</v>
      </c>
      <c r="J4" s="39" t="s">
        <v>114</v>
      </c>
      <c r="K4" s="40">
        <f ca="1">ROUNDDOWN(H28,0)</f>
        <v>51</v>
      </c>
      <c r="L4" s="42"/>
      <c r="M4" s="42"/>
      <c r="N4" s="42"/>
      <c r="O4" s="42"/>
      <c r="P4" s="42"/>
      <c r="Q4" s="122"/>
      <c r="R4" s="122"/>
      <c r="S4" s="122"/>
      <c r="T4" s="42"/>
      <c r="U4" s="42"/>
    </row>
    <row r="5" spans="1:21" ht="15.6" x14ac:dyDescent="0.3">
      <c r="A5" s="42"/>
      <c r="B5" s="56">
        <f ca="1">+'N° de Obs.'!D6</f>
        <v>95</v>
      </c>
      <c r="C5" s="56">
        <f ca="1">+'N° de Obs.'!E6</f>
        <v>1202</v>
      </c>
      <c r="D5" s="56">
        <f ca="1">+'N° de Obs.'!F6</f>
        <v>1141.9000000000001</v>
      </c>
      <c r="E5" s="56">
        <f ca="1">IF(I5="","",IFERROR(F5*G5,""))</f>
        <v>0</v>
      </c>
      <c r="F5" s="56">
        <f ca="1">IF(I5="","",IFERROR(G5*H5,""))</f>
        <v>0</v>
      </c>
      <c r="G5" s="56">
        <f ca="1">IF(I5="","",ROW($V1)-1)</f>
        <v>0</v>
      </c>
      <c r="H5" s="56">
        <f ca="1">IF(I5="","",COUNTIF($D$5:$D$24,"&lt;="&amp;$J6))</f>
        <v>2</v>
      </c>
      <c r="I5" s="56">
        <f ca="1">ROUND(H27,0)</f>
        <v>1024</v>
      </c>
      <c r="J5" s="71"/>
      <c r="K5" s="55" t="s">
        <v>128</v>
      </c>
      <c r="L5" s="42"/>
      <c r="M5" s="42"/>
      <c r="N5" s="56" t="s">
        <v>113</v>
      </c>
      <c r="O5" s="56">
        <f ca="1">F10/H10</f>
        <v>2.4500000000000002</v>
      </c>
      <c r="P5" s="42"/>
      <c r="Q5" s="42"/>
      <c r="R5" s="42"/>
      <c r="S5" s="42"/>
    </row>
    <row r="6" spans="1:21" ht="15.6" x14ac:dyDescent="0.3">
      <c r="A6" s="42"/>
      <c r="B6" s="56">
        <f ca="1">+'N° de Obs.'!D7</f>
        <v>100</v>
      </c>
      <c r="C6" s="56">
        <f ca="1">+'N° de Obs.'!E7</f>
        <v>1126</v>
      </c>
      <c r="D6" s="56">
        <f ca="1">+'N° de Obs.'!F7</f>
        <v>1126</v>
      </c>
      <c r="E6" s="56">
        <f t="shared" ref="E6:E9" ca="1" si="0">IF(I6="","",IFERROR(F6*G6,""))</f>
        <v>3</v>
      </c>
      <c r="F6" s="56">
        <f t="shared" ref="F6:F9" ca="1" si="1">IF(I6="","",IFERROR(G6*H6,""))</f>
        <v>3</v>
      </c>
      <c r="G6" s="56">
        <f t="shared" ref="G6:G9" ca="1" si="2">IF(I6="","",ROW($V2)-1)</f>
        <v>1</v>
      </c>
      <c r="H6" s="56">
        <f ca="1">IF(I6="","",COUNTIFS($D$5:$D$24,"&lt;="&amp;$J7,$D$5:$D$24,"&gt;"&amp;$J6))</f>
        <v>3</v>
      </c>
      <c r="I6" s="56">
        <f ca="1">IFERROR(IF($I5+$K$4&lt;=$M$28,$I5+$K$4,""),"")</f>
        <v>1075</v>
      </c>
      <c r="J6" s="72">
        <f ca="1">IF(I5="","",IFERROR(($I5+$I6)/2,MAX($D$5:$D$24)))</f>
        <v>1049.5</v>
      </c>
      <c r="K6" s="55" t="s">
        <v>129</v>
      </c>
      <c r="L6" s="42"/>
      <c r="M6" s="42"/>
      <c r="N6" s="56" t="s">
        <v>112</v>
      </c>
      <c r="O6" s="56">
        <f ca="1">E10/H10</f>
        <v>7.75</v>
      </c>
      <c r="P6" s="42"/>
      <c r="Q6" s="42"/>
      <c r="R6" s="42"/>
      <c r="S6" s="42"/>
    </row>
    <row r="7" spans="1:21" ht="15.6" x14ac:dyDescent="0.3">
      <c r="A7" s="42"/>
      <c r="B7" s="56">
        <f ca="1">+'N° de Obs.'!D8</f>
        <v>100</v>
      </c>
      <c r="C7" s="56">
        <f ca="1">+'N° de Obs.'!E8</f>
        <v>1201</v>
      </c>
      <c r="D7" s="56">
        <f ca="1">+'N° de Obs.'!F8</f>
        <v>1201</v>
      </c>
      <c r="E7" s="56">
        <f t="shared" ca="1" si="0"/>
        <v>20</v>
      </c>
      <c r="F7" s="56">
        <f t="shared" ca="1" si="1"/>
        <v>10</v>
      </c>
      <c r="G7" s="56">
        <f t="shared" ca="1" si="2"/>
        <v>2</v>
      </c>
      <c r="H7" s="56">
        <f t="shared" ref="H7:H9" ca="1" si="3">IF(I7="","",COUNTIFS($D$5:$D$24,"&lt;="&amp;$J8,$D$5:$D$24,"&gt;"&amp;$J7))</f>
        <v>5</v>
      </c>
      <c r="I7" s="56">
        <f ca="1">IFERROR(IF($I6+$K$4&lt;=$M$28,$I6+$K$4,""),"")</f>
        <v>1126</v>
      </c>
      <c r="J7" s="72">
        <f t="shared" ref="J7:J10" ca="1" si="4">IF(I6="","",IFERROR(($I6+$I7)/2,MAX($D$5:$D$24)))</f>
        <v>1100.5</v>
      </c>
      <c r="K7" s="55" t="s">
        <v>130</v>
      </c>
      <c r="L7" s="42"/>
      <c r="M7" s="42"/>
      <c r="N7" s="42"/>
      <c r="O7" s="42"/>
      <c r="P7" s="42"/>
      <c r="Q7" s="42"/>
      <c r="R7" s="42"/>
      <c r="S7" s="42"/>
    </row>
    <row r="8" spans="1:21" ht="15.6" x14ac:dyDescent="0.3">
      <c r="A8" s="42"/>
      <c r="B8" s="56">
        <f ca="1">+'N° de Obs.'!D9</f>
        <v>100</v>
      </c>
      <c r="C8" s="56">
        <f ca="1">+'N° de Obs.'!E9</f>
        <v>1151</v>
      </c>
      <c r="D8" s="56">
        <f ca="1">+'N° de Obs.'!F9</f>
        <v>1151</v>
      </c>
      <c r="E8" s="56">
        <f t="shared" ca="1" si="0"/>
        <v>36</v>
      </c>
      <c r="F8" s="56">
        <f t="shared" ca="1" si="1"/>
        <v>12</v>
      </c>
      <c r="G8" s="56">
        <f t="shared" ca="1" si="2"/>
        <v>3</v>
      </c>
      <c r="H8" s="56">
        <f t="shared" ca="1" si="3"/>
        <v>4</v>
      </c>
      <c r="I8" s="56">
        <f ca="1">IFERROR(IF($I7+$K$4&lt;=$M$28,$I7+$K$4,""),"")</f>
        <v>1177</v>
      </c>
      <c r="J8" s="72">
        <f t="shared" ca="1" si="4"/>
        <v>1151.5</v>
      </c>
      <c r="K8" s="55" t="s">
        <v>131</v>
      </c>
      <c r="L8" s="42"/>
      <c r="M8" s="42"/>
      <c r="N8" s="56" t="s">
        <v>111</v>
      </c>
      <c r="O8" s="56">
        <f ca="1">H27+(K4*O5)</f>
        <v>1149.2</v>
      </c>
      <c r="P8" s="42"/>
      <c r="Q8" s="42"/>
      <c r="R8" s="42"/>
      <c r="S8" s="42"/>
    </row>
    <row r="9" spans="1:21" ht="16.2" thickBot="1" x14ac:dyDescent="0.35">
      <c r="A9" s="42"/>
      <c r="B9" s="56">
        <f ca="1">+'N° de Obs.'!D10</f>
        <v>105</v>
      </c>
      <c r="C9" s="56">
        <f ca="1">+'N° de Obs.'!E10</f>
        <v>1204</v>
      </c>
      <c r="D9" s="56">
        <f ca="1">+'N° de Obs.'!F10</f>
        <v>1264.2</v>
      </c>
      <c r="E9" s="56">
        <f t="shared" ca="1" si="0"/>
        <v>96</v>
      </c>
      <c r="F9" s="56">
        <f t="shared" ca="1" si="1"/>
        <v>24</v>
      </c>
      <c r="G9" s="56">
        <f t="shared" ca="1" si="2"/>
        <v>4</v>
      </c>
      <c r="H9" s="56">
        <f t="shared" ca="1" si="3"/>
        <v>6</v>
      </c>
      <c r="I9" s="56">
        <f ca="1">IFERROR(IF($I8+$K$4&lt;=$M$28,$I8+$K$4,""),"")</f>
        <v>1228</v>
      </c>
      <c r="J9" s="72">
        <f t="shared" ca="1" si="4"/>
        <v>1202.5</v>
      </c>
      <c r="K9" s="55" t="s">
        <v>132</v>
      </c>
      <c r="L9" s="42"/>
      <c r="M9" s="42"/>
      <c r="N9" s="56" t="s">
        <v>110</v>
      </c>
      <c r="O9" s="73">
        <f ca="1">K4*(SQRT(O6-POWER(O5,2)))</f>
        <v>67.418450738651629</v>
      </c>
      <c r="P9" s="42"/>
      <c r="Q9" s="42"/>
      <c r="R9" s="42"/>
      <c r="S9" s="42"/>
    </row>
    <row r="10" spans="1:21" ht="16.2" thickBot="1" x14ac:dyDescent="0.35">
      <c r="A10" s="42"/>
      <c r="B10" s="56">
        <f ca="1">+'N° de Obs.'!D11</f>
        <v>95</v>
      </c>
      <c r="C10" s="56">
        <f ca="1">+'N° de Obs.'!E11</f>
        <v>1191</v>
      </c>
      <c r="D10" s="56">
        <f ca="1">+'N° de Obs.'!F11</f>
        <v>1131.45</v>
      </c>
      <c r="E10" s="69">
        <f ca="1">SUM(E5:E17)</f>
        <v>155</v>
      </c>
      <c r="F10" s="70">
        <f ca="1">SUM(F5:F17)</f>
        <v>49</v>
      </c>
      <c r="G10" s="42"/>
      <c r="H10" s="70">
        <f ca="1">SUM(H5:H17)</f>
        <v>20</v>
      </c>
      <c r="I10" s="74" t="str">
        <f ca="1">IFERROR(IF($I9+$K$4&lt;=$M$28,$I9+$K$4,""),"")</f>
        <v/>
      </c>
      <c r="J10" s="75">
        <f t="shared" ca="1" si="4"/>
        <v>1271.55</v>
      </c>
      <c r="K10" s="42"/>
      <c r="L10" s="42"/>
      <c r="M10" s="42"/>
      <c r="N10" s="42"/>
      <c r="O10" s="42"/>
      <c r="P10" s="42"/>
      <c r="Q10" s="122"/>
      <c r="R10" s="42"/>
      <c r="S10" s="42"/>
    </row>
    <row r="11" spans="1:21" ht="15.6" x14ac:dyDescent="0.3">
      <c r="A11" s="42"/>
      <c r="B11" s="56">
        <f ca="1">+'N° de Obs.'!D12</f>
        <v>100</v>
      </c>
      <c r="C11" s="56">
        <f ca="1">+'N° de Obs.'!E12</f>
        <v>1263</v>
      </c>
      <c r="D11" s="56">
        <f ca="1">+'N° de Obs.'!F12</f>
        <v>1263</v>
      </c>
      <c r="E11" s="42"/>
      <c r="F11" s="42"/>
      <c r="G11" s="42"/>
      <c r="H11" s="42"/>
      <c r="I11" s="42"/>
      <c r="J11" s="42"/>
      <c r="K11" s="42"/>
      <c r="L11" s="42"/>
      <c r="M11" s="42"/>
      <c r="N11" s="56" t="s">
        <v>109</v>
      </c>
      <c r="O11" s="56">
        <f ca="1">(O9*100)/O8</f>
        <v>5.8665550590542663</v>
      </c>
      <c r="P11" s="56" t="s">
        <v>8</v>
      </c>
      <c r="Q11" s="122"/>
      <c r="R11" s="42"/>
      <c r="S11" s="42"/>
    </row>
    <row r="12" spans="1:21" ht="15.6" x14ac:dyDescent="0.3">
      <c r="A12" s="42"/>
      <c r="B12" s="56">
        <f ca="1">+'N° de Obs.'!D13</f>
        <v>85</v>
      </c>
      <c r="C12" s="56">
        <f ca="1">+'N° de Obs.'!E13</f>
        <v>1205</v>
      </c>
      <c r="D12" s="56">
        <f ca="1">+'N° de Obs.'!F13</f>
        <v>1024.25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118"/>
      <c r="S12" s="118"/>
    </row>
    <row r="13" spans="1:21" ht="15.6" x14ac:dyDescent="0.3">
      <c r="A13" s="42"/>
      <c r="B13" s="56">
        <f ca="1">+'N° de Obs.'!D14</f>
        <v>100</v>
      </c>
      <c r="C13" s="56">
        <f ca="1">+'N° de Obs.'!E14</f>
        <v>1248</v>
      </c>
      <c r="D13" s="56">
        <f ca="1">+'N° de Obs.'!F14</f>
        <v>1248</v>
      </c>
      <c r="E13" s="42"/>
      <c r="F13" s="42"/>
      <c r="G13" s="42"/>
      <c r="H13" s="42"/>
      <c r="I13" s="42"/>
      <c r="J13" s="42"/>
      <c r="K13" s="42"/>
      <c r="L13" s="42"/>
      <c r="M13" s="42"/>
      <c r="N13" s="123" t="str">
        <f ca="1">IF(O11&lt;6,"Se puede continuar con el estudio","No se puede continuar con el estudio")</f>
        <v>Se puede continuar con el estudio</v>
      </c>
      <c r="O13" s="123"/>
      <c r="P13" s="42"/>
      <c r="Q13" s="42"/>
      <c r="R13" s="118"/>
      <c r="S13" s="118"/>
    </row>
    <row r="14" spans="1:21" ht="15.6" x14ac:dyDescent="0.3">
      <c r="A14" s="42"/>
      <c r="B14" s="56">
        <f ca="1">+'N° de Obs.'!D15</f>
        <v>100</v>
      </c>
      <c r="C14" s="56">
        <f ca="1">+'N° de Obs.'!E15</f>
        <v>1174</v>
      </c>
      <c r="D14" s="56">
        <f ca="1">+'N° de Obs.'!F15</f>
        <v>1174</v>
      </c>
      <c r="E14" s="42"/>
      <c r="F14" s="42"/>
      <c r="G14" s="42"/>
      <c r="H14" s="42"/>
      <c r="I14" s="42"/>
      <c r="J14" s="42"/>
      <c r="K14" s="42"/>
      <c r="L14" s="42"/>
      <c r="M14" s="42"/>
      <c r="N14" s="123"/>
      <c r="O14" s="123"/>
      <c r="P14" s="42"/>
      <c r="Q14" s="42"/>
      <c r="R14" s="42"/>
      <c r="S14" s="42"/>
    </row>
    <row r="15" spans="1:21" ht="15.6" x14ac:dyDescent="0.3">
      <c r="A15" s="42"/>
      <c r="B15" s="56">
        <f ca="1">+'N° de Obs.'!D16</f>
        <v>100</v>
      </c>
      <c r="C15" s="56">
        <f ca="1">+'N° de Obs.'!E16</f>
        <v>1136</v>
      </c>
      <c r="D15" s="56">
        <f ca="1">+'N° de Obs.'!F16</f>
        <v>1136</v>
      </c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</row>
    <row r="16" spans="1:21" ht="15.6" x14ac:dyDescent="0.3">
      <c r="A16" s="42"/>
      <c r="B16" s="56">
        <f ca="1">+'N° de Obs.'!D17</f>
        <v>100</v>
      </c>
      <c r="C16" s="56">
        <f ca="1">+'N° de Obs.'!E17</f>
        <v>1245</v>
      </c>
      <c r="D16" s="56">
        <f ca="1">+'N° de Obs.'!F17</f>
        <v>1245</v>
      </c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</row>
    <row r="17" spans="1:19" ht="15.6" x14ac:dyDescent="0.3">
      <c r="A17" s="42"/>
      <c r="B17" s="56">
        <f ca="1">+'N° de Obs.'!D18</f>
        <v>105</v>
      </c>
      <c r="C17" s="56">
        <f ca="1">+'N° de Obs.'!E18</f>
        <v>1146</v>
      </c>
      <c r="D17" s="56">
        <f ca="1">+'N° de Obs.'!F18</f>
        <v>1203.3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</row>
    <row r="18" spans="1:19" ht="15.6" x14ac:dyDescent="0.3">
      <c r="A18" s="42"/>
      <c r="B18" s="56">
        <f ca="1">+'N° de Obs.'!D19</f>
        <v>95</v>
      </c>
      <c r="C18" s="56">
        <f ca="1">+'N° de Obs.'!E19</f>
        <v>1135</v>
      </c>
      <c r="D18" s="56">
        <f ca="1">+'N° de Obs.'!F19</f>
        <v>1078.25</v>
      </c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</row>
    <row r="19" spans="1:19" ht="15.6" x14ac:dyDescent="0.3">
      <c r="A19" s="42"/>
      <c r="B19" s="56">
        <f ca="1">+'N° de Obs.'!D20</f>
        <v>85</v>
      </c>
      <c r="C19" s="56">
        <f ca="1">+'N° de Obs.'!E20</f>
        <v>1205</v>
      </c>
      <c r="D19" s="56">
        <f ca="1">+'N° de Obs.'!F20</f>
        <v>1024.25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</row>
    <row r="20" spans="1:19" ht="15.6" x14ac:dyDescent="0.3">
      <c r="A20" s="42"/>
      <c r="B20" s="56">
        <f ca="1">+'N° de Obs.'!D21</f>
        <v>90</v>
      </c>
      <c r="C20" s="56">
        <f ca="1">+'N° de Obs.'!E21</f>
        <v>1207</v>
      </c>
      <c r="D20" s="56">
        <f ca="1">+'N° de Obs.'!F21</f>
        <v>1086.3</v>
      </c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ht="15.6" x14ac:dyDescent="0.3">
      <c r="A21" s="42"/>
      <c r="B21" s="56">
        <f ca="1">+'N° de Obs.'!D22</f>
        <v>105</v>
      </c>
      <c r="C21" s="56">
        <f ca="1">+'N° de Obs.'!E22</f>
        <v>1108</v>
      </c>
      <c r="D21" s="56">
        <f ca="1">+'N° de Obs.'!F22</f>
        <v>1163.4000000000001</v>
      </c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ht="15.6" x14ac:dyDescent="0.3">
      <c r="A22" s="42"/>
      <c r="B22" s="56">
        <f ca="1">+'N° de Obs.'!D23</f>
        <v>85</v>
      </c>
      <c r="C22" s="56">
        <f ca="1">+'N° de Obs.'!E23</f>
        <v>1266</v>
      </c>
      <c r="D22" s="56">
        <f ca="1">+'N° de Obs.'!F23</f>
        <v>1076.0999999999999</v>
      </c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</row>
    <row r="23" spans="1:19" ht="15.6" x14ac:dyDescent="0.3">
      <c r="A23" s="42"/>
      <c r="B23" s="56">
        <f ca="1">+'N° de Obs.'!D24</f>
        <v>105</v>
      </c>
      <c r="C23" s="56">
        <f ca="1">+'N° de Obs.'!E24</f>
        <v>1103</v>
      </c>
      <c r="D23" s="56">
        <f ca="1">+'N° de Obs.'!F24</f>
        <v>1158.1500000000001</v>
      </c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</row>
    <row r="24" spans="1:19" ht="15.6" x14ac:dyDescent="0.3">
      <c r="A24" s="42"/>
      <c r="B24" s="56">
        <f ca="1">+'N° de Obs.'!D25</f>
        <v>105</v>
      </c>
      <c r="C24" s="56">
        <f ca="1">+'N° de Obs.'!E25</f>
        <v>1211</v>
      </c>
      <c r="D24" s="56">
        <f ca="1">+'N° de Obs.'!F25</f>
        <v>1271.55</v>
      </c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</row>
    <row r="25" spans="1:19" ht="15.6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</row>
    <row r="26" spans="1:19" ht="15.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</row>
    <row r="27" spans="1:19" ht="15.6" x14ac:dyDescent="0.3">
      <c r="A27" s="42"/>
      <c r="B27" s="42"/>
      <c r="C27" s="42"/>
      <c r="D27" s="56" t="s">
        <v>23</v>
      </c>
      <c r="E27" s="56">
        <f ca="1">COUNTA(C5:C24)</f>
        <v>20</v>
      </c>
      <c r="F27" s="42"/>
      <c r="G27" s="42"/>
      <c r="H27" s="56">
        <f ca="1">MIN(D5:D24)</f>
        <v>1024.25</v>
      </c>
      <c r="I27" s="54">
        <v>100</v>
      </c>
      <c r="J27" s="55" t="s">
        <v>8</v>
      </c>
      <c r="K27" s="42"/>
      <c r="L27" s="56" t="s">
        <v>108</v>
      </c>
      <c r="M27" s="56">
        <f ca="1">ROUND(MIN(D5:D24),0)</f>
        <v>1024</v>
      </c>
      <c r="N27" s="42"/>
      <c r="O27" s="42"/>
      <c r="P27" s="42"/>
      <c r="Q27" s="42"/>
      <c r="R27" s="42"/>
      <c r="S27" s="42"/>
    </row>
    <row r="28" spans="1:19" ht="15.6" x14ac:dyDescent="0.3">
      <c r="A28" s="42"/>
      <c r="B28" s="42"/>
      <c r="C28" s="42"/>
      <c r="D28" s="42"/>
      <c r="E28" s="42"/>
      <c r="F28" s="42"/>
      <c r="G28" s="42"/>
      <c r="H28" s="53">
        <f ca="1">(I28*H27)/I27</f>
        <v>51.212499999999999</v>
      </c>
      <c r="I28" s="71">
        <v>5</v>
      </c>
      <c r="J28" s="66" t="s">
        <v>8</v>
      </c>
      <c r="K28" s="42"/>
      <c r="L28" s="56" t="s">
        <v>107</v>
      </c>
      <c r="M28" s="56">
        <f ca="1">ROUND(MAX(D5:D24),0)</f>
        <v>1272</v>
      </c>
      <c r="N28" s="42"/>
      <c r="O28" s="42"/>
      <c r="P28" s="42"/>
      <c r="Q28" s="42"/>
      <c r="R28" s="42"/>
      <c r="S28" s="42"/>
    </row>
    <row r="29" spans="1:19" ht="15.6" x14ac:dyDescent="0.3">
      <c r="A29" s="42"/>
      <c r="B29" s="124" t="s">
        <v>24</v>
      </c>
      <c r="C29" s="124"/>
      <c r="D29" s="124"/>
      <c r="E29" s="56">
        <f ca="1">ROUND(SUM(D5:D24)/E27,0)</f>
        <v>1158</v>
      </c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</row>
    <row r="30" spans="1:19" ht="15.6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1:19" ht="15.6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1:19" ht="15.6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1:21" ht="15.6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21" ht="15.6" x14ac:dyDescent="0.3">
      <c r="A34" s="4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21" ht="15.6" x14ac:dyDescent="0.3">
      <c r="A35" s="4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21" ht="15.6" x14ac:dyDescent="0.3">
      <c r="A36" s="42"/>
      <c r="B36" s="7"/>
      <c r="C36" s="7"/>
      <c r="D36" s="116" t="str">
        <f>+'Hoja de cronometraje'!N4</f>
        <v>Elemento R</v>
      </c>
      <c r="E36" s="11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21" s="42" customFormat="1" ht="15.6" x14ac:dyDescent="0.3"/>
    <row r="38" spans="1:21" ht="15.6" x14ac:dyDescent="0.3">
      <c r="A38" s="42"/>
      <c r="B38" s="37" t="s">
        <v>18</v>
      </c>
      <c r="C38" s="37" t="s">
        <v>19</v>
      </c>
      <c r="D38" s="37" t="s">
        <v>20</v>
      </c>
      <c r="E38" s="38" t="s">
        <v>118</v>
      </c>
      <c r="F38" s="38" t="s">
        <v>117</v>
      </c>
      <c r="G38" s="38" t="s">
        <v>116</v>
      </c>
      <c r="H38" s="38" t="s">
        <v>115</v>
      </c>
      <c r="I38" s="39" t="s">
        <v>85</v>
      </c>
      <c r="J38" s="39" t="s">
        <v>114</v>
      </c>
      <c r="K38" s="40">
        <f ca="1">ROUNDDOWN(H62,0)</f>
        <v>100</v>
      </c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ht="15.6" x14ac:dyDescent="0.3">
      <c r="A39" s="42"/>
      <c r="B39" s="56">
        <f ca="1">+'N° de Obs.'!M6</f>
        <v>90</v>
      </c>
      <c r="C39" s="56">
        <f ca="1">+'N° de Obs.'!N6</f>
        <v>2327</v>
      </c>
      <c r="D39" s="56">
        <f ca="1">+'N° de Obs.'!O6</f>
        <v>2094.3000000000002</v>
      </c>
      <c r="E39" s="56">
        <f ca="1">IF(I39="","",IFERROR(F39*G39,""))</f>
        <v>0</v>
      </c>
      <c r="F39" s="56">
        <f ca="1">IF(I39="","",IFERROR(G39*H39,""))</f>
        <v>0</v>
      </c>
      <c r="G39" s="56">
        <f ca="1">IF(I39="","",ROW($V1)-1)</f>
        <v>0</v>
      </c>
      <c r="H39" s="56">
        <f ca="1">IF(I39="","",COUNTIF($D$39:$D$58,"&lt;="&amp;$J40))</f>
        <v>3</v>
      </c>
      <c r="I39" s="56">
        <f ca="1">ROUND(H61,0)</f>
        <v>2019</v>
      </c>
      <c r="J39" s="71"/>
      <c r="K39" s="55" t="s">
        <v>129</v>
      </c>
      <c r="L39" s="42"/>
      <c r="M39" s="42"/>
      <c r="N39" s="56" t="s">
        <v>113</v>
      </c>
      <c r="O39" s="56">
        <f ca="1">F44/H44</f>
        <v>1.7</v>
      </c>
      <c r="P39" s="42"/>
      <c r="Q39" s="42"/>
      <c r="R39" s="42"/>
      <c r="S39" s="42"/>
    </row>
    <row r="40" spans="1:21" ht="15.6" x14ac:dyDescent="0.3">
      <c r="A40" s="42"/>
      <c r="B40" s="56">
        <f ca="1">+'N° de Obs.'!M7</f>
        <v>90</v>
      </c>
      <c r="C40" s="56">
        <f ca="1">+'N° de Obs.'!N7</f>
        <v>2341</v>
      </c>
      <c r="D40" s="56">
        <f ca="1">+'N° de Obs.'!O7</f>
        <v>2106.9</v>
      </c>
      <c r="E40" s="56">
        <f t="shared" ref="E40:E43" ca="1" si="5">IF(I40="","",IFERROR(F40*G40,""))</f>
        <v>6</v>
      </c>
      <c r="F40" s="56">
        <f t="shared" ref="F40:F43" ca="1" si="6">IF(I40="","",IFERROR(G40*H40,""))</f>
        <v>6</v>
      </c>
      <c r="G40" s="56">
        <f t="shared" ref="G40:G43" ca="1" si="7">IF(I40="","",ROW($V2)-1)</f>
        <v>1</v>
      </c>
      <c r="H40" s="56">
        <f ca="1">IF(I40="","",COUNTIFS($D$39:$D$58,"&lt;="&amp;$J41,$D$39:$D$58,"&gt;"&amp;$J40))</f>
        <v>6</v>
      </c>
      <c r="I40" s="56">
        <f ca="1">IFERROR(IF($I39+$K$38&lt;=$M$62,$I39+$K$38,""),"")</f>
        <v>2119</v>
      </c>
      <c r="J40" s="72">
        <f ca="1">IF(I39="","",IFERROR(($I39+$I40)/2,MAX($D$39:$D$58)))</f>
        <v>2069</v>
      </c>
      <c r="K40" s="55" t="s">
        <v>132</v>
      </c>
      <c r="L40" s="42"/>
      <c r="M40" s="42"/>
      <c r="N40" s="56" t="s">
        <v>112</v>
      </c>
      <c r="O40" s="56">
        <f ca="1">E44/H44</f>
        <v>4.0999999999999996</v>
      </c>
      <c r="P40" s="42"/>
      <c r="Q40" s="42"/>
      <c r="R40" s="42"/>
      <c r="S40" s="42"/>
    </row>
    <row r="41" spans="1:21" ht="15.6" x14ac:dyDescent="0.3">
      <c r="A41" s="42"/>
      <c r="B41" s="56">
        <f ca="1">+'N° de Obs.'!M8</f>
        <v>85</v>
      </c>
      <c r="C41" s="56">
        <f ca="1">+'N° de Obs.'!N8</f>
        <v>2484</v>
      </c>
      <c r="D41" s="56">
        <f ca="1">+'N° de Obs.'!O8</f>
        <v>2111.4</v>
      </c>
      <c r="E41" s="56">
        <f t="shared" ca="1" si="5"/>
        <v>24</v>
      </c>
      <c r="F41" s="56">
        <f t="shared" ca="1" si="6"/>
        <v>12</v>
      </c>
      <c r="G41" s="56">
        <f t="shared" ca="1" si="7"/>
        <v>2</v>
      </c>
      <c r="H41" s="56">
        <f t="shared" ref="H41:H42" ca="1" si="8">IF(I41="","",COUNTIFS($D$39:$D$58,"&lt;="&amp;$J42,$D$39:$D$58,"&gt;"&amp;$J41))</f>
        <v>6</v>
      </c>
      <c r="I41" s="56">
        <f t="shared" ref="I41:I44" ca="1" si="9">IFERROR(IF($I40+$K$38&lt;=$M$62,$I40+$K$38,""),"")</f>
        <v>2219</v>
      </c>
      <c r="J41" s="72">
        <f t="shared" ref="J41:J44" ca="1" si="10">IF(I40="","",IFERROR(($I40+$I41)/2,MAX($D$39:$D$58)))</f>
        <v>2169</v>
      </c>
      <c r="K41" s="55" t="s">
        <v>132</v>
      </c>
      <c r="L41" s="42"/>
      <c r="M41" s="42"/>
      <c r="N41" s="42"/>
      <c r="O41" s="42"/>
      <c r="P41" s="42"/>
      <c r="Q41" s="42"/>
      <c r="R41" s="42"/>
      <c r="S41" s="42"/>
    </row>
    <row r="42" spans="1:21" ht="15.6" x14ac:dyDescent="0.3">
      <c r="A42" s="42"/>
      <c r="B42" s="56">
        <f ca="1">+'N° de Obs.'!M9</f>
        <v>95</v>
      </c>
      <c r="C42" s="56">
        <f ca="1">+'N° de Obs.'!N9</f>
        <v>2344</v>
      </c>
      <c r="D42" s="56">
        <f ca="1">+'N° de Obs.'!O9</f>
        <v>2226.8000000000002</v>
      </c>
      <c r="E42" s="56">
        <f t="shared" ca="1" si="5"/>
        <v>36</v>
      </c>
      <c r="F42" s="56">
        <f t="shared" ca="1" si="6"/>
        <v>12</v>
      </c>
      <c r="G42" s="56">
        <f t="shared" ca="1" si="7"/>
        <v>3</v>
      </c>
      <c r="H42" s="56">
        <f t="shared" ca="1" si="8"/>
        <v>4</v>
      </c>
      <c r="I42" s="56">
        <f t="shared" ca="1" si="9"/>
        <v>2319</v>
      </c>
      <c r="J42" s="72">
        <f t="shared" ca="1" si="10"/>
        <v>2269</v>
      </c>
      <c r="K42" s="55" t="s">
        <v>131</v>
      </c>
      <c r="L42" s="42"/>
      <c r="M42" s="42"/>
      <c r="N42" s="56" t="s">
        <v>111</v>
      </c>
      <c r="O42" s="56">
        <f ca="1">H61+(K38*O39)</f>
        <v>2188.75</v>
      </c>
      <c r="P42" s="42"/>
      <c r="Q42" s="42"/>
      <c r="R42" s="42"/>
      <c r="S42" s="42"/>
    </row>
    <row r="43" spans="1:21" ht="16.2" thickBot="1" x14ac:dyDescent="0.35">
      <c r="A43" s="42"/>
      <c r="B43" s="56">
        <f ca="1">+'N° de Obs.'!M10</f>
        <v>85</v>
      </c>
      <c r="C43" s="56">
        <f ca="1">+'N° de Obs.'!N10</f>
        <v>2486</v>
      </c>
      <c r="D43" s="56">
        <f ca="1">+'N° de Obs.'!O10</f>
        <v>2113.1</v>
      </c>
      <c r="E43" s="56">
        <f t="shared" ca="1" si="5"/>
        <v>16</v>
      </c>
      <c r="F43" s="56">
        <f t="shared" ca="1" si="6"/>
        <v>4</v>
      </c>
      <c r="G43" s="56">
        <f t="shared" ca="1" si="7"/>
        <v>4</v>
      </c>
      <c r="H43" s="56">
        <f ca="1">IF(I43="","",COUNTIFS($D$39:$D$58,"&lt;="&amp;$J44,$D$39:$D$58,"&gt;"&amp;$J43))</f>
        <v>1</v>
      </c>
      <c r="I43" s="56">
        <f t="shared" ca="1" si="9"/>
        <v>2419</v>
      </c>
      <c r="J43" s="72">
        <f t="shared" ca="1" si="10"/>
        <v>2369</v>
      </c>
      <c r="K43" s="55" t="s">
        <v>29</v>
      </c>
      <c r="L43" s="42"/>
      <c r="M43" s="42"/>
      <c r="N43" s="56" t="s">
        <v>110</v>
      </c>
      <c r="O43" s="73">
        <f ca="1">K38*(SQRT(O40-POWER(O39,2)))</f>
        <v>110.00000000000001</v>
      </c>
      <c r="P43" s="42"/>
      <c r="Q43" s="42"/>
      <c r="R43" s="42"/>
      <c r="S43" s="42"/>
    </row>
    <row r="44" spans="1:21" ht="16.2" thickBot="1" x14ac:dyDescent="0.35">
      <c r="A44" s="42"/>
      <c r="B44" s="56">
        <f ca="1">+'N° de Obs.'!M11</f>
        <v>85</v>
      </c>
      <c r="C44" s="56">
        <f ca="1">+'N° de Obs.'!N11</f>
        <v>2386</v>
      </c>
      <c r="D44" s="56">
        <f ca="1">+'N° de Obs.'!O11</f>
        <v>2028.1</v>
      </c>
      <c r="E44" s="69">
        <f ca="1">SUM(E39:E51)</f>
        <v>82</v>
      </c>
      <c r="F44" s="70">
        <f ca="1">SUM(F39:F51)</f>
        <v>34</v>
      </c>
      <c r="G44" s="42"/>
      <c r="H44" s="70">
        <f ca="1">SUM(H39:H51)</f>
        <v>20</v>
      </c>
      <c r="I44" s="74" t="str">
        <f t="shared" ca="1" si="9"/>
        <v/>
      </c>
      <c r="J44" s="75">
        <f t="shared" ca="1" si="10"/>
        <v>2430</v>
      </c>
      <c r="K44" s="42"/>
      <c r="L44" s="42"/>
      <c r="M44" s="42"/>
      <c r="N44" s="42"/>
      <c r="O44" s="42"/>
      <c r="P44" s="42"/>
      <c r="Q44" s="42"/>
      <c r="R44" s="42"/>
      <c r="S44" s="42"/>
    </row>
    <row r="45" spans="1:21" ht="15.6" x14ac:dyDescent="0.3">
      <c r="A45" s="42"/>
      <c r="B45" s="56">
        <f ca="1">+'N° de Obs.'!M12</f>
        <v>95</v>
      </c>
      <c r="C45" s="56">
        <f ca="1">+'N° de Obs.'!N12</f>
        <v>2437</v>
      </c>
      <c r="D45" s="56">
        <f ca="1">+'N° de Obs.'!O12</f>
        <v>2315.15</v>
      </c>
      <c r="E45" s="42"/>
      <c r="F45" s="42"/>
      <c r="G45" s="42"/>
      <c r="H45" s="42"/>
      <c r="I45" s="42"/>
      <c r="J45" s="42"/>
      <c r="K45" s="42"/>
      <c r="L45" s="42"/>
      <c r="M45" s="42"/>
      <c r="N45" s="56" t="s">
        <v>109</v>
      </c>
      <c r="O45" s="56">
        <f ca="1">(O43*100)/O42</f>
        <v>5.0256996002284415</v>
      </c>
      <c r="P45" s="56" t="s">
        <v>8</v>
      </c>
      <c r="Q45" s="42"/>
      <c r="R45" s="42"/>
      <c r="S45" s="42"/>
    </row>
    <row r="46" spans="1:21" ht="15.6" x14ac:dyDescent="0.3">
      <c r="A46" s="42"/>
      <c r="B46" s="56">
        <f ca="1">+'N° de Obs.'!M13</f>
        <v>100</v>
      </c>
      <c r="C46" s="56">
        <f ca="1">+'N° de Obs.'!N13</f>
        <v>2362</v>
      </c>
      <c r="D46" s="56">
        <f ca="1">+'N° de Obs.'!O13</f>
        <v>2362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</row>
    <row r="47" spans="1:21" ht="15.6" x14ac:dyDescent="0.3">
      <c r="A47" s="42"/>
      <c r="B47" s="56">
        <f ca="1">+'N° de Obs.'!M14</f>
        <v>85</v>
      </c>
      <c r="C47" s="56">
        <f ca="1">+'N° de Obs.'!N14</f>
        <v>2378</v>
      </c>
      <c r="D47" s="56">
        <f ca="1">+'N° de Obs.'!O14</f>
        <v>2021.3</v>
      </c>
      <c r="E47" s="42"/>
      <c r="F47" s="42"/>
      <c r="G47" s="42"/>
      <c r="H47" s="42"/>
      <c r="I47" s="42"/>
      <c r="J47" s="42"/>
      <c r="K47" s="42"/>
      <c r="L47" s="42"/>
      <c r="M47" s="42"/>
      <c r="N47" s="123" t="str">
        <f ca="1">IF(O45&lt;6,"Se puede continuar con el estudio","No se puede continuar con el estudio")</f>
        <v>Se puede continuar con el estudio</v>
      </c>
      <c r="O47" s="123"/>
      <c r="P47" s="42"/>
      <c r="Q47" s="42"/>
      <c r="R47" s="42"/>
      <c r="S47" s="42"/>
    </row>
    <row r="48" spans="1:21" ht="15.6" x14ac:dyDescent="0.3">
      <c r="A48" s="42"/>
      <c r="B48" s="56">
        <f ca="1">+'N° de Obs.'!M15</f>
        <v>95</v>
      </c>
      <c r="C48" s="56">
        <f ca="1">+'N° de Obs.'!N15</f>
        <v>2348</v>
      </c>
      <c r="D48" s="56">
        <f ca="1">+'N° de Obs.'!O15</f>
        <v>2230.6</v>
      </c>
      <c r="E48" s="42"/>
      <c r="F48" s="42"/>
      <c r="G48" s="42"/>
      <c r="H48" s="42"/>
      <c r="I48" s="42"/>
      <c r="J48" s="42"/>
      <c r="K48" s="42"/>
      <c r="L48" s="42"/>
      <c r="M48" s="42"/>
      <c r="N48" s="123"/>
      <c r="O48" s="123"/>
      <c r="P48" s="42"/>
      <c r="Q48" s="42"/>
      <c r="R48" s="42"/>
      <c r="S48" s="42"/>
    </row>
    <row r="49" spans="1:19" ht="15.6" x14ac:dyDescent="0.3">
      <c r="A49" s="42"/>
      <c r="B49" s="56">
        <f ca="1">+'N° de Obs.'!M16</f>
        <v>100</v>
      </c>
      <c r="C49" s="56">
        <f ca="1">+'N° de Obs.'!N16</f>
        <v>2430</v>
      </c>
      <c r="D49" s="56">
        <f ca="1">+'N° de Obs.'!O16</f>
        <v>2430</v>
      </c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</row>
    <row r="50" spans="1:19" ht="15.6" x14ac:dyDescent="0.3">
      <c r="A50" s="42"/>
      <c r="B50" s="56">
        <f ca="1">+'N° de Obs.'!M17</f>
        <v>90</v>
      </c>
      <c r="C50" s="56">
        <f ca="1">+'N° de Obs.'!N17</f>
        <v>2494</v>
      </c>
      <c r="D50" s="56">
        <f ca="1">+'N° de Obs.'!O17</f>
        <v>2244.6</v>
      </c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</row>
    <row r="51" spans="1:19" ht="15.6" x14ac:dyDescent="0.3">
      <c r="A51" s="42"/>
      <c r="B51" s="56">
        <f ca="1">+'N° de Obs.'!M18</f>
        <v>95</v>
      </c>
      <c r="C51" s="56">
        <f ca="1">+'N° de Obs.'!N18</f>
        <v>2351</v>
      </c>
      <c r="D51" s="56">
        <f ca="1">+'N° de Obs.'!O18</f>
        <v>2233.4499999999998</v>
      </c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</row>
    <row r="52" spans="1:19" ht="15.6" x14ac:dyDescent="0.3">
      <c r="A52" s="42"/>
      <c r="B52" s="56">
        <f ca="1">+'N° de Obs.'!M19</f>
        <v>90</v>
      </c>
      <c r="C52" s="56">
        <f ca="1">+'N° de Obs.'!N19</f>
        <v>2396</v>
      </c>
      <c r="D52" s="56">
        <f ca="1">+'N° de Obs.'!O19</f>
        <v>2156.4</v>
      </c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</row>
    <row r="53" spans="1:19" ht="15.6" x14ac:dyDescent="0.3">
      <c r="A53" s="42"/>
      <c r="B53" s="56">
        <f ca="1">+'N° de Obs.'!M20</f>
        <v>95</v>
      </c>
      <c r="C53" s="56">
        <f ca="1">+'N° de Obs.'!N20</f>
        <v>2343</v>
      </c>
      <c r="D53" s="56">
        <f ca="1">+'N° de Obs.'!O20</f>
        <v>2225.85</v>
      </c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</row>
    <row r="54" spans="1:19" ht="15.6" x14ac:dyDescent="0.3">
      <c r="A54" s="42"/>
      <c r="B54" s="56">
        <f ca="1">+'N° de Obs.'!M21</f>
        <v>100</v>
      </c>
      <c r="C54" s="56">
        <f ca="1">+'N° de Obs.'!N21</f>
        <v>2302</v>
      </c>
      <c r="D54" s="56">
        <f ca="1">+'N° de Obs.'!O21</f>
        <v>2302</v>
      </c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</row>
    <row r="55" spans="1:19" ht="15.6" x14ac:dyDescent="0.3">
      <c r="A55" s="42"/>
      <c r="B55" s="56">
        <f ca="1">+'N° de Obs.'!M22</f>
        <v>90</v>
      </c>
      <c r="C55" s="56">
        <f ca="1">+'N° de Obs.'!N22</f>
        <v>2322</v>
      </c>
      <c r="D55" s="56">
        <f ca="1">+'N° de Obs.'!O22</f>
        <v>2089.8000000000002</v>
      </c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</row>
    <row r="56" spans="1:19" ht="15.6" x14ac:dyDescent="0.3">
      <c r="A56" s="42"/>
      <c r="B56" s="56">
        <f ca="1">+'N° de Obs.'!M23</f>
        <v>85</v>
      </c>
      <c r="C56" s="56">
        <f ca="1">+'N° de Obs.'!N23</f>
        <v>2375</v>
      </c>
      <c r="D56" s="56">
        <f ca="1">+'N° de Obs.'!O23</f>
        <v>2018.75</v>
      </c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</row>
    <row r="57" spans="1:19" ht="15.6" x14ac:dyDescent="0.3">
      <c r="A57" s="42"/>
      <c r="B57" s="56">
        <f ca="1">+'N° de Obs.'!M24</f>
        <v>100</v>
      </c>
      <c r="C57" s="56">
        <f ca="1">+'N° de Obs.'!N24</f>
        <v>2349</v>
      </c>
      <c r="D57" s="56">
        <f ca="1">+'N° de Obs.'!O24</f>
        <v>2349</v>
      </c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</row>
    <row r="58" spans="1:19" ht="15.6" x14ac:dyDescent="0.3">
      <c r="A58" s="42"/>
      <c r="B58" s="56">
        <f ca="1">+'N° de Obs.'!M25</f>
        <v>90</v>
      </c>
      <c r="C58" s="56">
        <f ca="1">+'N° de Obs.'!N25</f>
        <v>2429</v>
      </c>
      <c r="D58" s="56">
        <f ca="1">+'N° de Obs.'!O25</f>
        <v>2186.1</v>
      </c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</row>
    <row r="59" spans="1:19" ht="15.6" x14ac:dyDescent="0.3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</row>
    <row r="60" spans="1:19" ht="15.6" x14ac:dyDescent="0.3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</row>
    <row r="61" spans="1:19" ht="15.6" x14ac:dyDescent="0.3">
      <c r="A61" s="42"/>
      <c r="B61" s="42"/>
      <c r="C61" s="42"/>
      <c r="D61" s="56" t="s">
        <v>23</v>
      </c>
      <c r="E61" s="56">
        <f ca="1">COUNTA(C39:C58)</f>
        <v>20</v>
      </c>
      <c r="F61" s="42"/>
      <c r="G61" s="42"/>
      <c r="H61" s="56">
        <f ca="1">MIN(D39:D58)</f>
        <v>2018.75</v>
      </c>
      <c r="I61" s="54">
        <v>100</v>
      </c>
      <c r="J61" s="55" t="s">
        <v>8</v>
      </c>
      <c r="K61" s="42"/>
      <c r="L61" s="56" t="s">
        <v>108</v>
      </c>
      <c r="M61" s="56">
        <f ca="1">ROUND(MIN(D39:D58),0)</f>
        <v>2019</v>
      </c>
      <c r="N61" s="42"/>
      <c r="O61" s="42"/>
      <c r="P61" s="42"/>
      <c r="Q61" s="42"/>
      <c r="R61" s="42"/>
      <c r="S61" s="42"/>
    </row>
    <row r="62" spans="1:19" ht="15.6" x14ac:dyDescent="0.3">
      <c r="A62" s="42"/>
      <c r="B62" s="42"/>
      <c r="C62" s="42"/>
      <c r="D62" s="42"/>
      <c r="E62" s="42"/>
      <c r="F62" s="42"/>
      <c r="G62" s="42"/>
      <c r="H62" s="53">
        <f ca="1">(I62*H61)/I61</f>
        <v>100.9375</v>
      </c>
      <c r="I62" s="71">
        <v>5</v>
      </c>
      <c r="J62" s="66" t="s">
        <v>8</v>
      </c>
      <c r="K62" s="42"/>
      <c r="L62" s="56" t="s">
        <v>107</v>
      </c>
      <c r="M62" s="56">
        <f ca="1">ROUND(MAX(D39:D58),0)</f>
        <v>2430</v>
      </c>
      <c r="N62" s="42"/>
      <c r="O62" s="42"/>
      <c r="P62" s="42"/>
      <c r="Q62" s="42"/>
      <c r="R62" s="42"/>
      <c r="S62" s="42"/>
    </row>
    <row r="63" spans="1:19" ht="15.6" x14ac:dyDescent="0.3">
      <c r="A63" s="42"/>
      <c r="B63" s="124" t="s">
        <v>24</v>
      </c>
      <c r="C63" s="124"/>
      <c r="D63" s="124"/>
      <c r="E63" s="56">
        <f ca="1">ROUND(SUM(D39:D58)/E61,0)</f>
        <v>2192</v>
      </c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</row>
    <row r="64" spans="1:19" ht="15.6" x14ac:dyDescent="0.3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</row>
    <row r="65" spans="1:19" ht="15.6" x14ac:dyDescent="0.3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</row>
    <row r="66" spans="1:19" ht="15.6" x14ac:dyDescent="0.3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</row>
    <row r="67" spans="1:19" ht="15.6" x14ac:dyDescent="0.3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</row>
    <row r="68" spans="1:19" ht="15.6" x14ac:dyDescent="0.3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</row>
    <row r="69" spans="1:19" ht="15.6" x14ac:dyDescent="0.3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</row>
    <row r="70" spans="1:19" ht="15.6" x14ac:dyDescent="0.3">
      <c r="A70" s="42"/>
    </row>
  </sheetData>
  <mergeCells count="9">
    <mergeCell ref="Q1:S4"/>
    <mergeCell ref="N13:O14"/>
    <mergeCell ref="Q10:Q11"/>
    <mergeCell ref="R12:S13"/>
    <mergeCell ref="B63:D63"/>
    <mergeCell ref="N47:O48"/>
    <mergeCell ref="D2:E2"/>
    <mergeCell ref="D36:E36"/>
    <mergeCell ref="B29:D29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B5:S12"/>
  <sheetViews>
    <sheetView showGridLines="0" zoomScaleNormal="100" workbookViewId="0">
      <selection activeCell="R29" sqref="R29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5" spans="2:19" ht="15.6" x14ac:dyDescent="0.3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2:19" ht="15.6" x14ac:dyDescent="0.3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2:19" ht="30" customHeight="1" x14ac:dyDescent="0.3">
      <c r="B7" s="10"/>
      <c r="C7" s="10"/>
      <c r="D7" s="80" t="s">
        <v>28</v>
      </c>
      <c r="E7" s="76" t="s">
        <v>30</v>
      </c>
      <c r="F7" s="91" t="s">
        <v>133</v>
      </c>
      <c r="G7" s="91" t="s">
        <v>31</v>
      </c>
      <c r="H7" s="91" t="s">
        <v>134</v>
      </c>
      <c r="I7" s="91" t="s">
        <v>135</v>
      </c>
      <c r="J7" s="91" t="s">
        <v>29</v>
      </c>
      <c r="K7" s="91" t="s">
        <v>136</v>
      </c>
      <c r="L7" s="91" t="s">
        <v>137</v>
      </c>
      <c r="M7" s="91" t="s">
        <v>126</v>
      </c>
      <c r="N7" s="91" t="s">
        <v>138</v>
      </c>
      <c r="O7" s="91" t="s">
        <v>139</v>
      </c>
      <c r="P7" s="83" t="s">
        <v>85</v>
      </c>
      <c r="Q7" s="83" t="s">
        <v>32</v>
      </c>
      <c r="R7" s="76" t="s">
        <v>33</v>
      </c>
      <c r="S7" s="10"/>
    </row>
    <row r="8" spans="2:19" ht="30" customHeight="1" x14ac:dyDescent="0.3">
      <c r="B8" s="10"/>
      <c r="C8" s="10"/>
      <c r="D8" s="81" t="str">
        <f>+'Elementos de la operación'!D3</f>
        <v>Posiciona delantero y espalda</v>
      </c>
      <c r="E8" s="90">
        <v>0.05</v>
      </c>
      <c r="F8" s="86">
        <v>0.05</v>
      </c>
      <c r="G8" s="86">
        <v>0.02</v>
      </c>
      <c r="H8" s="86">
        <v>0.02</v>
      </c>
      <c r="I8" s="86">
        <v>0.02</v>
      </c>
      <c r="J8" s="86">
        <v>0.02</v>
      </c>
      <c r="K8" s="86">
        <v>0</v>
      </c>
      <c r="L8" s="86">
        <v>0</v>
      </c>
      <c r="M8" s="86">
        <v>0</v>
      </c>
      <c r="N8" s="86">
        <v>0</v>
      </c>
      <c r="O8" s="86">
        <v>0.02</v>
      </c>
      <c r="P8" s="87">
        <v>0</v>
      </c>
      <c r="Q8" s="84">
        <f>(SUM(E8:P8))</f>
        <v>0.19999999999999998</v>
      </c>
      <c r="R8" s="77">
        <f>Q8+1</f>
        <v>1.2</v>
      </c>
      <c r="S8" s="10"/>
    </row>
    <row r="9" spans="2:19" ht="30" customHeight="1" x14ac:dyDescent="0.3">
      <c r="B9" s="10"/>
      <c r="C9" s="10"/>
      <c r="D9" s="82" t="str">
        <f>+'Elementos de la operación'!D4</f>
        <v>Unir hombros</v>
      </c>
      <c r="E9" s="78">
        <v>0.05</v>
      </c>
      <c r="F9" s="88">
        <v>0.05</v>
      </c>
      <c r="G9" s="88">
        <v>0.02</v>
      </c>
      <c r="H9" s="88">
        <v>0.02</v>
      </c>
      <c r="I9" s="88">
        <v>0.02</v>
      </c>
      <c r="J9" s="88">
        <v>0.02</v>
      </c>
      <c r="K9" s="88">
        <v>0</v>
      </c>
      <c r="L9" s="88">
        <v>0</v>
      </c>
      <c r="M9" s="88">
        <v>0</v>
      </c>
      <c r="N9" s="88">
        <v>0</v>
      </c>
      <c r="O9" s="88">
        <v>0.02</v>
      </c>
      <c r="P9" s="89">
        <v>0</v>
      </c>
      <c r="Q9" s="85">
        <f t="shared" ref="Q9" si="0">(SUM(E9:P9))</f>
        <v>0.19999999999999998</v>
      </c>
      <c r="R9" s="79">
        <f t="shared" ref="R9" si="1">Q9+1</f>
        <v>1.2</v>
      </c>
      <c r="S9" s="10"/>
    </row>
    <row r="10" spans="2:19" ht="15" customHeight="1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2:19" ht="15.6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2:19" x14ac:dyDescent="0.3">
      <c r="E1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65"/>
  <sheetViews>
    <sheetView tabSelected="1" topLeftCell="A16" workbookViewId="0">
      <selection activeCell="P35" sqref="P35"/>
    </sheetView>
  </sheetViews>
  <sheetFormatPr baseColWidth="10" defaultRowHeight="14.4" x14ac:dyDescent="0.3"/>
  <cols>
    <col min="2" max="2" width="18.44140625" customWidth="1"/>
    <col min="4" max="4" width="19.6640625" customWidth="1"/>
    <col min="5" max="7" width="15.777343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A2" s="7"/>
      <c r="B2" s="7"/>
      <c r="C2" s="7"/>
      <c r="D2" s="5"/>
      <c r="E2" s="6"/>
      <c r="F2" s="5"/>
      <c r="G2" s="5"/>
      <c r="H2" s="7"/>
      <c r="I2" s="7"/>
      <c r="J2" s="7"/>
      <c r="K2" s="7"/>
      <c r="L2" s="7"/>
      <c r="M2" s="7"/>
    </row>
    <row r="3" spans="1:14" ht="15.6" x14ac:dyDescent="0.3">
      <c r="A3" s="7"/>
      <c r="B3" s="7"/>
      <c r="C3" s="7"/>
      <c r="D3" s="5"/>
      <c r="E3" s="6"/>
      <c r="F3" s="5"/>
      <c r="G3" s="5"/>
      <c r="H3" s="7"/>
      <c r="I3" s="7"/>
      <c r="J3" s="7"/>
      <c r="K3" s="7"/>
      <c r="L3" s="7"/>
      <c r="M3" s="7"/>
    </row>
    <row r="4" spans="1:14" ht="15.6" customHeight="1" x14ac:dyDescent="0.3">
      <c r="A4" s="7"/>
      <c r="B4" s="8" t="s">
        <v>98</v>
      </c>
      <c r="C4" s="7"/>
      <c r="D4" s="5"/>
      <c r="E4" s="7" t="s">
        <v>100</v>
      </c>
      <c r="F4" s="5"/>
      <c r="G4" s="102" t="s">
        <v>101</v>
      </c>
      <c r="H4" s="102"/>
      <c r="I4" s="102"/>
      <c r="J4" s="7"/>
      <c r="K4" s="7"/>
      <c r="L4" s="7"/>
      <c r="M4" s="7"/>
    </row>
    <row r="5" spans="1:14" ht="15.6" x14ac:dyDescent="0.3">
      <c r="A5" s="7"/>
      <c r="B5" s="7" t="str">
        <f>+'Elementos de la operación'!B3</f>
        <v>Unir hombros</v>
      </c>
      <c r="C5" s="7"/>
      <c r="D5" s="5"/>
      <c r="E5" s="7" t="s">
        <v>102</v>
      </c>
      <c r="F5" s="5"/>
      <c r="G5" s="5"/>
      <c r="H5" s="7"/>
      <c r="I5" s="7"/>
      <c r="J5" s="7"/>
      <c r="K5" s="7"/>
      <c r="L5" s="7"/>
      <c r="M5" s="7"/>
    </row>
    <row r="6" spans="1:14" ht="15.6" x14ac:dyDescent="0.3">
      <c r="A6" s="7"/>
      <c r="B6" s="7"/>
      <c r="C6" s="7"/>
      <c r="D6" s="41"/>
      <c r="E6" s="6"/>
      <c r="F6" s="5"/>
      <c r="G6" s="5"/>
      <c r="H6" s="7"/>
      <c r="I6" s="7"/>
      <c r="J6" s="7"/>
      <c r="K6" s="7"/>
      <c r="L6" s="7"/>
      <c r="M6" s="7"/>
    </row>
    <row r="7" spans="1:14" s="42" customFormat="1" ht="15.6" x14ac:dyDescent="0.3"/>
    <row r="8" spans="1:14" ht="15.6" x14ac:dyDescent="0.3">
      <c r="A8" s="42"/>
      <c r="B8" s="129" t="s">
        <v>28</v>
      </c>
      <c r="C8" s="129" t="s">
        <v>40</v>
      </c>
      <c r="D8" s="129" t="s">
        <v>103</v>
      </c>
      <c r="E8" s="129" t="s">
        <v>33</v>
      </c>
      <c r="F8" s="129" t="s">
        <v>34</v>
      </c>
      <c r="G8" s="76" t="s">
        <v>35</v>
      </c>
      <c r="H8" s="76" t="s">
        <v>36</v>
      </c>
      <c r="I8" s="76" t="s">
        <v>37</v>
      </c>
      <c r="J8" s="129" t="s">
        <v>38</v>
      </c>
      <c r="K8" s="129" t="s">
        <v>39</v>
      </c>
      <c r="L8" s="129" t="s">
        <v>42</v>
      </c>
      <c r="M8" s="42"/>
      <c r="N8" s="42"/>
    </row>
    <row r="9" spans="1:14" ht="15.6" x14ac:dyDescent="0.3">
      <c r="A9" s="42"/>
      <c r="B9" s="131"/>
      <c r="C9" s="131"/>
      <c r="D9" s="131"/>
      <c r="E9" s="131"/>
      <c r="F9" s="131"/>
      <c r="G9" s="135" t="str">
        <f>+CONCATENATE("POR ",UPPER(B5))</f>
        <v>POR UNIR HOMBROS</v>
      </c>
      <c r="H9" s="135"/>
      <c r="I9" s="135"/>
      <c r="J9" s="131"/>
      <c r="K9" s="131"/>
      <c r="L9" s="131"/>
      <c r="M9" s="42"/>
      <c r="N9" s="42"/>
    </row>
    <row r="10" spans="1:14" ht="28.95" customHeight="1" x14ac:dyDescent="0.3">
      <c r="A10" s="42"/>
      <c r="B10" s="44" t="str">
        <f>+'Elementos de la operación'!D3</f>
        <v>Posiciona delantero y espalda</v>
      </c>
      <c r="C10" s="62" t="s">
        <v>36</v>
      </c>
      <c r="D10" s="62">
        <f ca="1">+'Metodo analitico indirecto'!E29</f>
        <v>1158</v>
      </c>
      <c r="E10" s="92">
        <f>+Suplementos!R8</f>
        <v>1.2</v>
      </c>
      <c r="F10" s="62">
        <f ca="1">D10*E10</f>
        <v>1389.6</v>
      </c>
      <c r="G10" s="93">
        <v>1</v>
      </c>
      <c r="H10" s="94">
        <f t="shared" ref="H10:H11" ca="1" si="0">+IFERROR(IF(VLOOKUP("tmp",C10,1)="tmp",F10,"")*G10,"")</f>
        <v>1389.6</v>
      </c>
      <c r="I10" s="94" t="str">
        <f t="shared" ref="I10:I11" si="1">+IFERROR(IF(VLOOKUP("ttm",C10,1)="ttm",F10,"")*G10,"")</f>
        <v/>
      </c>
      <c r="J10" s="94">
        <f ca="1">+SUM(H10:I10)</f>
        <v>1389.6</v>
      </c>
      <c r="K10" s="94">
        <f ca="1">J10*0.75</f>
        <v>1042.1999999999998</v>
      </c>
      <c r="L10" s="94">
        <f ca="1">J10*0.8</f>
        <v>1111.68</v>
      </c>
      <c r="M10" s="42"/>
      <c r="N10" s="42"/>
    </row>
    <row r="11" spans="1:14" ht="28.95" customHeight="1" x14ac:dyDescent="0.3">
      <c r="A11" s="42"/>
      <c r="B11" s="44" t="str">
        <f>+'Elementos de la operación'!D4</f>
        <v>Unir hombros</v>
      </c>
      <c r="C11" s="63" t="s">
        <v>37</v>
      </c>
      <c r="D11" s="63">
        <f ca="1">+'Metodo analitico indirecto'!E63</f>
        <v>2192</v>
      </c>
      <c r="E11" s="95">
        <f>+Suplementos!R9</f>
        <v>1.2</v>
      </c>
      <c r="F11" s="63">
        <f t="shared" ref="F11" ca="1" si="2">D11*E11</f>
        <v>2630.4</v>
      </c>
      <c r="G11" s="96">
        <v>1</v>
      </c>
      <c r="H11" s="94" t="str">
        <f t="shared" si="0"/>
        <v/>
      </c>
      <c r="I11" s="94">
        <f t="shared" ca="1" si="1"/>
        <v>2630.4</v>
      </c>
      <c r="J11" s="94">
        <f t="shared" ref="J11" ca="1" si="3">+SUM(H11:I11)</f>
        <v>2630.4</v>
      </c>
      <c r="K11" s="94">
        <f t="shared" ref="K11" ca="1" si="4">J11*0.75</f>
        <v>1972.8000000000002</v>
      </c>
      <c r="L11" s="94">
        <f t="shared" ref="L11" ca="1" si="5">J11*0.8</f>
        <v>2104.3200000000002</v>
      </c>
      <c r="M11" s="42"/>
      <c r="N11" s="42"/>
    </row>
    <row r="12" spans="1:14" ht="15.6" customHeight="1" x14ac:dyDescent="0.3">
      <c r="A12" s="42"/>
      <c r="B12" s="132" t="s">
        <v>104</v>
      </c>
      <c r="C12" s="133"/>
      <c r="D12" s="133"/>
      <c r="E12" s="133"/>
      <c r="F12" s="133"/>
      <c r="G12" s="134"/>
      <c r="H12" s="97">
        <f ca="1">SUM(H10:H11)</f>
        <v>1389.6</v>
      </c>
      <c r="I12" s="97">
        <f ca="1">SUM(I10:I11)</f>
        <v>2630.4</v>
      </c>
      <c r="J12" s="97">
        <f ca="1">SUM(J10:J11)</f>
        <v>4020</v>
      </c>
      <c r="K12" s="97"/>
      <c r="L12" s="97"/>
      <c r="M12" s="42"/>
      <c r="N12" s="42"/>
    </row>
    <row r="13" spans="1:14" ht="15.6" customHeight="1" x14ac:dyDescent="0.3">
      <c r="A13" s="42"/>
      <c r="B13" s="132" t="s">
        <v>105</v>
      </c>
      <c r="C13" s="133"/>
      <c r="D13" s="133"/>
      <c r="E13" s="133"/>
      <c r="F13" s="133"/>
      <c r="G13" s="134"/>
      <c r="H13" s="97">
        <f ca="1">H12*0.75</f>
        <v>1042.1999999999998</v>
      </c>
      <c r="I13" s="97">
        <f ca="1">I12*0.75</f>
        <v>1972.8000000000002</v>
      </c>
      <c r="J13" s="97"/>
      <c r="K13" s="97">
        <f ca="1">SUM(K10:K11)</f>
        <v>3015</v>
      </c>
      <c r="L13" s="97"/>
      <c r="M13" s="42"/>
      <c r="N13" s="42"/>
    </row>
    <row r="14" spans="1:14" ht="15.6" customHeight="1" x14ac:dyDescent="0.3">
      <c r="A14" s="42"/>
      <c r="B14" s="132" t="s">
        <v>41</v>
      </c>
      <c r="C14" s="133"/>
      <c r="D14" s="133"/>
      <c r="E14" s="133"/>
      <c r="F14" s="133"/>
      <c r="G14" s="134"/>
      <c r="H14" s="98">
        <f ca="1">H12*0.8</f>
        <v>1111.68</v>
      </c>
      <c r="I14" s="98">
        <f ca="1">I12*0.8</f>
        <v>2104.3200000000002</v>
      </c>
      <c r="J14" s="98"/>
      <c r="K14" s="98"/>
      <c r="L14" s="98">
        <f ca="1">SUM(H14:I14)</f>
        <v>3216</v>
      </c>
      <c r="M14" s="42"/>
      <c r="N14" s="42"/>
    </row>
    <row r="15" spans="1:14" ht="14.4" customHeight="1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</row>
    <row r="16" spans="1:14" ht="15.6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</row>
    <row r="17" spans="1:14" ht="15.6" x14ac:dyDescent="0.3">
      <c r="A17" s="42"/>
      <c r="B17" s="42"/>
      <c r="C17" s="42"/>
      <c r="D17" s="42"/>
      <c r="E17" s="137" t="s">
        <v>43</v>
      </c>
      <c r="F17" s="58" t="s">
        <v>45</v>
      </c>
      <c r="G17" s="140">
        <f ca="1">SUM(H12:I12)</f>
        <v>4020</v>
      </c>
      <c r="H17" s="42"/>
      <c r="I17" s="42"/>
      <c r="J17" s="42"/>
      <c r="K17" s="56"/>
      <c r="L17" s="42"/>
      <c r="M17" s="42"/>
      <c r="N17" s="10"/>
    </row>
    <row r="18" spans="1:14" ht="15.6" x14ac:dyDescent="0.3">
      <c r="A18" s="42"/>
      <c r="B18" s="42"/>
      <c r="C18" s="42"/>
      <c r="D18" s="42"/>
      <c r="E18" s="138"/>
      <c r="F18" s="52" t="s">
        <v>46</v>
      </c>
      <c r="G18" s="141">
        <f ca="1">SUM(H13:I13)</f>
        <v>3015</v>
      </c>
      <c r="H18" s="42"/>
      <c r="I18" s="42"/>
      <c r="J18" s="42"/>
      <c r="K18" s="42"/>
      <c r="L18" s="42"/>
      <c r="M18" s="42"/>
      <c r="N18" s="10"/>
    </row>
    <row r="19" spans="1:14" ht="15.6" x14ac:dyDescent="0.3">
      <c r="A19" s="42"/>
      <c r="B19" s="42"/>
      <c r="C19" s="42"/>
      <c r="D19" s="42"/>
      <c r="E19" s="139"/>
      <c r="F19" s="53" t="s">
        <v>29</v>
      </c>
      <c r="G19" s="142">
        <f ca="1">SUM(H14:I14)</f>
        <v>3216</v>
      </c>
      <c r="H19" s="42"/>
      <c r="I19" s="42"/>
      <c r="J19" s="42"/>
      <c r="K19" s="42"/>
      <c r="L19" s="42"/>
      <c r="M19" s="42"/>
      <c r="N19" s="10"/>
    </row>
    <row r="20" spans="1:14" ht="15.6" x14ac:dyDescent="0.3">
      <c r="A20" s="42"/>
      <c r="B20" s="42"/>
      <c r="C20" s="42"/>
      <c r="D20" s="42"/>
      <c r="E20" s="129" t="s">
        <v>44</v>
      </c>
      <c r="F20" s="52" t="s">
        <v>45</v>
      </c>
      <c r="G20" s="99">
        <f ca="1">I12</f>
        <v>2630.4</v>
      </c>
      <c r="H20" s="42"/>
      <c r="I20" s="42"/>
      <c r="J20" s="42"/>
      <c r="K20" s="42"/>
      <c r="L20" s="42"/>
      <c r="M20" s="42"/>
      <c r="N20" s="10"/>
    </row>
    <row r="21" spans="1:14" ht="15.6" x14ac:dyDescent="0.3">
      <c r="A21" s="42"/>
      <c r="B21" s="42"/>
      <c r="C21" s="42"/>
      <c r="D21" s="42"/>
      <c r="E21" s="130"/>
      <c r="F21" s="52" t="s">
        <v>46</v>
      </c>
      <c r="G21" s="100">
        <f ca="1">I13</f>
        <v>1972.8000000000002</v>
      </c>
      <c r="H21" s="42"/>
      <c r="I21" s="42"/>
      <c r="J21" s="42"/>
      <c r="K21" s="42"/>
      <c r="L21" s="42"/>
      <c r="M21" s="42"/>
      <c r="N21" s="10"/>
    </row>
    <row r="22" spans="1:14" ht="15.6" x14ac:dyDescent="0.3">
      <c r="A22" s="42"/>
      <c r="B22" s="42"/>
      <c r="C22" s="42"/>
      <c r="D22" s="42"/>
      <c r="E22" s="131"/>
      <c r="F22" s="53" t="s">
        <v>29</v>
      </c>
      <c r="G22" s="101">
        <f ca="1">I14</f>
        <v>2104.3200000000002</v>
      </c>
      <c r="H22" s="42"/>
      <c r="I22" s="42"/>
      <c r="J22" s="42"/>
      <c r="K22" s="42"/>
      <c r="L22" s="42"/>
      <c r="M22" s="42"/>
      <c r="N22" s="10"/>
    </row>
    <row r="23" spans="1:14" ht="15.6" x14ac:dyDescent="0.3">
      <c r="A23" s="42"/>
      <c r="B23" s="42"/>
      <c r="C23" s="42"/>
      <c r="D23" s="42"/>
      <c r="E23" s="130" t="s">
        <v>106</v>
      </c>
      <c r="F23" s="52" t="s">
        <v>45</v>
      </c>
      <c r="G23" s="100">
        <f ca="1">SUM(H12:I12)</f>
        <v>4020</v>
      </c>
      <c r="H23" s="42"/>
      <c r="I23" s="42"/>
      <c r="J23" s="42"/>
      <c r="K23" s="42"/>
      <c r="L23" s="42"/>
      <c r="M23" s="42"/>
      <c r="N23" s="10"/>
    </row>
    <row r="24" spans="1:14" ht="15.6" x14ac:dyDescent="0.3">
      <c r="A24" s="42"/>
      <c r="B24" s="42"/>
      <c r="C24" s="42"/>
      <c r="D24" s="42"/>
      <c r="E24" s="130"/>
      <c r="F24" s="52" t="s">
        <v>46</v>
      </c>
      <c r="G24" s="100">
        <f ca="1">SUM(H13:I13)</f>
        <v>3015</v>
      </c>
      <c r="H24" s="42"/>
      <c r="I24" s="42"/>
      <c r="J24" s="42"/>
      <c r="K24" s="42"/>
      <c r="L24" s="42"/>
      <c r="M24" s="42"/>
      <c r="N24" s="10"/>
    </row>
    <row r="25" spans="1:14" ht="15.6" x14ac:dyDescent="0.3">
      <c r="A25" s="42"/>
      <c r="B25" s="42"/>
      <c r="C25" s="42"/>
      <c r="D25" s="42"/>
      <c r="E25" s="131"/>
      <c r="F25" s="53" t="s">
        <v>29</v>
      </c>
      <c r="G25" s="101">
        <f ca="1">SUM(H14:I14)</f>
        <v>3216</v>
      </c>
      <c r="H25" s="42"/>
      <c r="I25" s="42"/>
      <c r="J25" s="42"/>
      <c r="K25" s="42"/>
      <c r="L25" s="42"/>
      <c r="M25" s="42"/>
      <c r="N25" s="10"/>
    </row>
    <row r="26" spans="1:14" ht="15.6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10"/>
    </row>
    <row r="27" spans="1:14" ht="15.6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10"/>
    </row>
    <row r="28" spans="1:14" ht="15.6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10"/>
    </row>
    <row r="29" spans="1:14" ht="15.6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10"/>
    </row>
    <row r="30" spans="1:14" ht="15.6" x14ac:dyDescent="0.3">
      <c r="A30" s="42"/>
      <c r="B30" s="42"/>
      <c r="C30" s="42"/>
      <c r="D30" s="129" t="s">
        <v>141</v>
      </c>
      <c r="E30" s="129" t="s">
        <v>47</v>
      </c>
      <c r="F30" s="129" t="s">
        <v>48</v>
      </c>
      <c r="G30" s="129" t="s">
        <v>142</v>
      </c>
      <c r="H30" s="42"/>
      <c r="I30" s="42"/>
      <c r="J30" s="42"/>
      <c r="K30" s="42"/>
      <c r="L30" s="42"/>
      <c r="M30" s="42"/>
      <c r="N30" s="10"/>
    </row>
    <row r="31" spans="1:14" ht="15.6" x14ac:dyDescent="0.3">
      <c r="A31" s="42"/>
      <c r="B31" s="42"/>
      <c r="C31" s="42"/>
      <c r="D31" s="131"/>
      <c r="E31" s="131"/>
      <c r="F31" s="131"/>
      <c r="G31" s="131"/>
      <c r="H31" s="42"/>
      <c r="I31" s="42"/>
      <c r="J31" s="42"/>
      <c r="K31" s="42"/>
      <c r="L31" s="42"/>
      <c r="M31" s="42"/>
      <c r="N31" s="10"/>
    </row>
    <row r="32" spans="1:14" ht="16.95" customHeight="1" x14ac:dyDescent="0.3">
      <c r="A32" s="42"/>
      <c r="B32" s="42"/>
      <c r="C32" s="42"/>
      <c r="D32" s="125" t="s">
        <v>120</v>
      </c>
      <c r="E32" s="127">
        <f ca="1">360000/G23</f>
        <v>89.552238805970148</v>
      </c>
      <c r="F32" s="127">
        <f ca="1">360000/G24</f>
        <v>119.40298507462687</v>
      </c>
      <c r="G32" s="127">
        <f ca="1">360000/G25</f>
        <v>111.94029850746269</v>
      </c>
      <c r="H32" s="42"/>
      <c r="I32" s="42"/>
      <c r="J32" s="42"/>
      <c r="K32" s="42"/>
      <c r="L32" s="42"/>
      <c r="M32" s="42"/>
      <c r="N32" s="10"/>
    </row>
    <row r="33" spans="1:14" ht="16.95" customHeight="1" x14ac:dyDescent="0.3">
      <c r="A33" s="42"/>
      <c r="B33" s="42"/>
      <c r="C33" s="42"/>
      <c r="D33" s="125"/>
      <c r="E33" s="127"/>
      <c r="F33" s="127"/>
      <c r="G33" s="127"/>
      <c r="H33" s="42"/>
      <c r="I33" s="42"/>
      <c r="J33" s="42"/>
      <c r="K33" s="42"/>
      <c r="L33" s="42"/>
      <c r="M33" s="42"/>
      <c r="N33" s="10"/>
    </row>
    <row r="34" spans="1:14" ht="16.95" customHeight="1" x14ac:dyDescent="0.3">
      <c r="A34" s="42"/>
      <c r="B34" s="42"/>
      <c r="C34" s="42"/>
      <c r="D34" s="125" t="s">
        <v>49</v>
      </c>
      <c r="E34" s="127">
        <f ca="1">((G17*100)/G23)</f>
        <v>100</v>
      </c>
      <c r="F34" s="127">
        <f ca="1">((G18*100)/G24)</f>
        <v>100</v>
      </c>
      <c r="G34" s="127">
        <f ca="1">((G19*100)/G25)</f>
        <v>100</v>
      </c>
      <c r="H34" s="42"/>
      <c r="I34" s="42"/>
      <c r="J34" s="42"/>
      <c r="K34" s="42"/>
      <c r="L34" s="42"/>
      <c r="M34" s="42"/>
      <c r="N34" s="10"/>
    </row>
    <row r="35" spans="1:14" ht="16.95" customHeight="1" x14ac:dyDescent="0.3">
      <c r="A35" s="42"/>
      <c r="B35" s="42"/>
      <c r="C35" s="42"/>
      <c r="D35" s="125"/>
      <c r="E35" s="127"/>
      <c r="F35" s="127"/>
      <c r="G35" s="127"/>
      <c r="H35" s="42"/>
      <c r="I35" s="42"/>
      <c r="J35" s="42"/>
      <c r="K35" s="42"/>
      <c r="L35" s="42"/>
      <c r="M35" s="42"/>
      <c r="N35" s="10"/>
    </row>
    <row r="36" spans="1:14" ht="16.95" customHeight="1" x14ac:dyDescent="0.3">
      <c r="A36" s="42"/>
      <c r="B36" s="42"/>
      <c r="C36" s="42"/>
      <c r="D36" s="125" t="s">
        <v>50</v>
      </c>
      <c r="E36" s="127">
        <f ca="1">100/E34</f>
        <v>1</v>
      </c>
      <c r="F36" s="127">
        <f ca="1">100/F34</f>
        <v>1</v>
      </c>
      <c r="G36" s="127">
        <f ca="1">100/G34</f>
        <v>1</v>
      </c>
      <c r="H36" s="42"/>
      <c r="I36" s="42"/>
      <c r="J36" s="42"/>
      <c r="K36" s="42"/>
      <c r="L36" s="42"/>
      <c r="M36" s="42"/>
      <c r="N36" s="10"/>
    </row>
    <row r="37" spans="1:14" ht="16.95" customHeight="1" x14ac:dyDescent="0.3">
      <c r="A37" s="42"/>
      <c r="B37" s="42"/>
      <c r="C37" s="42"/>
      <c r="D37" s="125"/>
      <c r="E37" s="127"/>
      <c r="F37" s="127"/>
      <c r="G37" s="127"/>
      <c r="H37" s="42"/>
      <c r="I37" s="42"/>
      <c r="J37" s="42"/>
      <c r="K37" s="42"/>
      <c r="L37" s="42"/>
      <c r="M37" s="42"/>
      <c r="N37" s="10"/>
    </row>
    <row r="38" spans="1:14" ht="16.95" customHeight="1" x14ac:dyDescent="0.3">
      <c r="A38" s="42"/>
      <c r="B38" s="42"/>
      <c r="C38" s="42"/>
      <c r="D38" s="125" t="s">
        <v>51</v>
      </c>
      <c r="E38" s="127">
        <f ca="1">(G20*100)/G23</f>
        <v>65.432835820895519</v>
      </c>
      <c r="F38" s="127">
        <f ca="1">(G21*100)/G24</f>
        <v>65.432835820895534</v>
      </c>
      <c r="G38" s="127">
        <f ca="1">(G22*100)/G25</f>
        <v>65.432835820895534</v>
      </c>
      <c r="H38" s="42"/>
      <c r="I38" s="42"/>
      <c r="J38" s="42"/>
      <c r="K38" s="42"/>
      <c r="L38" s="42"/>
      <c r="M38" s="42"/>
      <c r="N38" s="10"/>
    </row>
    <row r="39" spans="1:14" ht="16.95" customHeight="1" x14ac:dyDescent="0.3">
      <c r="A39" s="42"/>
      <c r="B39" s="42"/>
      <c r="C39" s="42"/>
      <c r="D39" s="125"/>
      <c r="E39" s="127"/>
      <c r="F39" s="127"/>
      <c r="G39" s="127"/>
      <c r="H39" s="42"/>
      <c r="I39" s="42"/>
      <c r="J39" s="42"/>
      <c r="K39" s="42"/>
      <c r="L39" s="42"/>
      <c r="M39" s="42"/>
      <c r="N39" s="10"/>
    </row>
    <row r="40" spans="1:14" ht="16.95" customHeight="1" x14ac:dyDescent="0.3">
      <c r="A40" s="42"/>
      <c r="B40" s="42"/>
      <c r="C40" s="42"/>
      <c r="D40" s="125" t="s">
        <v>121</v>
      </c>
      <c r="E40" s="127" t="s">
        <v>52</v>
      </c>
      <c r="F40" s="127">
        <f ca="1">IFERROR(360000/G21,"-")</f>
        <v>182.48175182481751</v>
      </c>
      <c r="G40" s="127" t="s">
        <v>52</v>
      </c>
      <c r="H40" s="42"/>
      <c r="I40" s="42"/>
      <c r="J40" s="42"/>
      <c r="K40" s="42"/>
      <c r="L40" s="42"/>
      <c r="M40" s="42"/>
      <c r="N40" s="10"/>
    </row>
    <row r="41" spans="1:14" ht="16.95" customHeight="1" x14ac:dyDescent="0.3">
      <c r="A41" s="42"/>
      <c r="B41" s="42"/>
      <c r="C41" s="42"/>
      <c r="D41" s="125"/>
      <c r="E41" s="127"/>
      <c r="F41" s="127"/>
      <c r="G41" s="127"/>
      <c r="H41" s="42"/>
      <c r="I41" s="42"/>
      <c r="J41" s="42"/>
      <c r="K41" s="42"/>
      <c r="L41" s="42"/>
      <c r="M41" s="42"/>
      <c r="N41" s="10"/>
    </row>
    <row r="42" spans="1:14" ht="16.95" customHeight="1" x14ac:dyDescent="0.3">
      <c r="A42" s="42"/>
      <c r="B42" s="42"/>
      <c r="C42" s="42"/>
      <c r="D42" s="125" t="s">
        <v>55</v>
      </c>
      <c r="E42" s="127" t="s">
        <v>52</v>
      </c>
      <c r="F42" s="127">
        <f ca="1">(12*G24*100)/'Error de vuelta a 0'!L9</f>
        <v>50.682916579113261</v>
      </c>
      <c r="G42" s="127" t="s">
        <v>52</v>
      </c>
      <c r="H42" s="42"/>
      <c r="I42" s="42"/>
      <c r="J42" s="42"/>
      <c r="K42" s="42"/>
      <c r="L42" s="42"/>
      <c r="M42" s="42"/>
      <c r="N42" s="10"/>
    </row>
    <row r="43" spans="1:14" ht="16.95" customHeight="1" x14ac:dyDescent="0.3">
      <c r="A43" s="42"/>
      <c r="B43" s="42"/>
      <c r="C43" s="42"/>
      <c r="D43" s="125"/>
      <c r="E43" s="127"/>
      <c r="F43" s="127"/>
      <c r="G43" s="127"/>
      <c r="H43" s="42"/>
      <c r="I43" s="42"/>
      <c r="J43" s="42"/>
      <c r="K43" s="42"/>
      <c r="L43" s="42"/>
      <c r="M43" s="42"/>
      <c r="N43" s="10"/>
    </row>
    <row r="44" spans="1:14" ht="16.95" customHeight="1" x14ac:dyDescent="0.3">
      <c r="A44" s="42"/>
      <c r="B44" s="42"/>
      <c r="C44" s="42"/>
      <c r="D44" s="125" t="s">
        <v>54</v>
      </c>
      <c r="E44" s="127" t="s">
        <v>52</v>
      </c>
      <c r="F44" s="127">
        <f ca="1">(12*G24*100)/'Error de vuelta a 0'!L8</f>
        <v>50.682916579113261</v>
      </c>
      <c r="G44" s="127" t="s">
        <v>52</v>
      </c>
      <c r="H44" s="42"/>
      <c r="I44" s="42"/>
      <c r="J44" s="42"/>
      <c r="K44" s="42"/>
      <c r="L44" s="42"/>
      <c r="M44" s="42"/>
      <c r="N44" s="10"/>
    </row>
    <row r="45" spans="1:14" ht="16.95" customHeight="1" x14ac:dyDescent="0.3">
      <c r="A45" s="42"/>
      <c r="B45" s="42"/>
      <c r="C45" s="42"/>
      <c r="D45" s="125"/>
      <c r="E45" s="127"/>
      <c r="F45" s="127"/>
      <c r="G45" s="127"/>
      <c r="H45" s="42"/>
      <c r="I45" s="42"/>
      <c r="J45" s="42"/>
      <c r="K45" s="42"/>
      <c r="L45" s="42"/>
      <c r="M45" s="42"/>
      <c r="N45" s="10"/>
    </row>
    <row r="46" spans="1:14" ht="16.95" customHeight="1" x14ac:dyDescent="0.3">
      <c r="A46" s="42"/>
      <c r="B46" s="42"/>
      <c r="C46" s="42"/>
      <c r="D46" s="125" t="s">
        <v>53</v>
      </c>
      <c r="E46" s="127" t="s">
        <v>52</v>
      </c>
      <c r="F46" s="127">
        <f ca="1">(E32*100)/F32</f>
        <v>75</v>
      </c>
      <c r="G46" s="127" t="s">
        <v>52</v>
      </c>
      <c r="H46" s="42"/>
      <c r="I46" s="42"/>
      <c r="J46" s="42"/>
      <c r="K46" s="42"/>
      <c r="L46" s="42"/>
      <c r="M46" s="42"/>
      <c r="N46" s="10"/>
    </row>
    <row r="47" spans="1:14" ht="16.95" customHeight="1" x14ac:dyDescent="0.3">
      <c r="A47" s="42"/>
      <c r="B47" s="42"/>
      <c r="C47" s="42"/>
      <c r="D47" s="126"/>
      <c r="E47" s="128"/>
      <c r="F47" s="128"/>
      <c r="G47" s="128"/>
      <c r="H47" s="42"/>
      <c r="I47" s="42"/>
      <c r="J47" s="42"/>
      <c r="K47" s="42"/>
      <c r="L47" s="42"/>
      <c r="M47" s="42"/>
      <c r="N47" s="10"/>
    </row>
    <row r="48" spans="1:14" ht="15.6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10"/>
    </row>
    <row r="49" spans="1:13" ht="15.6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ht="15.6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ht="15.6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ht="15.6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ht="15.6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ht="15.6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ht="15.6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ht="15.6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ht="15.6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ht="15.6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ht="15.6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ht="15.6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ht="15.6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ht="15.6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ht="15.6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ht="15.6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ht="15.6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</sheetData>
  <mergeCells count="52"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  <mergeCell ref="B14:G14"/>
    <mergeCell ref="E17:E19"/>
    <mergeCell ref="E20:E22"/>
    <mergeCell ref="E23:E25"/>
    <mergeCell ref="B13:G13"/>
    <mergeCell ref="D30:D31"/>
    <mergeCell ref="E30:E31"/>
    <mergeCell ref="F30:F31"/>
    <mergeCell ref="G30:G31"/>
    <mergeCell ref="D32:D33"/>
    <mergeCell ref="E32:E33"/>
    <mergeCell ref="F32:F33"/>
    <mergeCell ref="G32:G33"/>
    <mergeCell ref="D34:D35"/>
    <mergeCell ref="E34:E35"/>
    <mergeCell ref="F34:F35"/>
    <mergeCell ref="G34:G35"/>
    <mergeCell ref="D36:D37"/>
    <mergeCell ref="E36:E37"/>
    <mergeCell ref="F36:F37"/>
    <mergeCell ref="G36:G37"/>
    <mergeCell ref="D38:D39"/>
    <mergeCell ref="E38:E39"/>
    <mergeCell ref="F38:F39"/>
    <mergeCell ref="G38:G39"/>
    <mergeCell ref="D40:D41"/>
    <mergeCell ref="E40:E41"/>
    <mergeCell ref="F40:F41"/>
    <mergeCell ref="G40:G41"/>
    <mergeCell ref="D46:D47"/>
    <mergeCell ref="E46:E47"/>
    <mergeCell ref="F46:F47"/>
    <mergeCell ref="G46:G47"/>
    <mergeCell ref="D42:D43"/>
    <mergeCell ref="E42:E43"/>
    <mergeCell ref="F42:F43"/>
    <mergeCell ref="G42:G43"/>
    <mergeCell ref="D44:D45"/>
    <mergeCell ref="E44:E45"/>
    <mergeCell ref="F44:F45"/>
    <mergeCell ref="G44:G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2022-09-14T04:02:16Z</dcterms:modified>
</cp:coreProperties>
</file>