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gar\Desktop\Estudio de Tiempos\"/>
    </mc:Choice>
  </mc:AlternateContent>
  <xr:revisionPtr revIDLastSave="0" documentId="13_ncr:1_{4460CC7B-527F-4538-B922-55E0B70A18C2}" xr6:coauthVersionLast="47" xr6:coauthVersionMax="47" xr10:uidLastSave="{00000000-0000-0000-0000-000000000000}"/>
  <bookViews>
    <workbookView xWindow="-108" yWindow="-108" windowWidth="23256" windowHeight="12456" firstSheet="2" activeTab="7" xr2:uid="{D4B6F33D-6319-4481-B088-B6E48382536B}"/>
  </bookViews>
  <sheets>
    <sheet name="Elementos de la operación" sheetId="10" r:id="rId1"/>
    <sheet name="Hoja de cronometraje" sheetId="6" r:id="rId2"/>
    <sheet name="Error de vuelta a 0" sheetId="1" r:id="rId3"/>
    <sheet name="N° de Obs." sheetId="2" r:id="rId4"/>
    <sheet name="Error de apreciación" sheetId="8" r:id="rId5"/>
    <sheet name="MAI" sheetId="13" r:id="rId6"/>
    <sheet name="Suplementos" sheetId="7" r:id="rId7"/>
    <sheet name="Cálculo de los tiempos" sheetId="12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29" i="6" l="1"/>
  <c r="K29" i="6"/>
  <c r="N4" i="6"/>
  <c r="K4" i="6"/>
  <c r="F12" i="10"/>
  <c r="F11" i="10"/>
  <c r="C22" i="6"/>
  <c r="C26" i="6" s="1"/>
  <c r="C23" i="6"/>
  <c r="C27" i="6" s="1"/>
  <c r="C31" i="6" s="1"/>
  <c r="C35" i="6" s="1"/>
  <c r="C39" i="6" s="1"/>
  <c r="C43" i="6" s="1"/>
  <c r="C47" i="6" s="1"/>
  <c r="C51" i="6" s="1"/>
  <c r="C55" i="6" s="1"/>
  <c r="C59" i="6" s="1"/>
  <c r="C63" i="6" s="1"/>
  <c r="C67" i="6" s="1"/>
  <c r="C71" i="6" s="1"/>
  <c r="C75" i="6" s="1"/>
  <c r="C79" i="6" s="1"/>
  <c r="C83" i="6" s="1"/>
  <c r="C87" i="6" s="1"/>
  <c r="C91" i="6" s="1"/>
  <c r="C95" i="6" s="1"/>
  <c r="C99" i="6" s="1"/>
  <c r="C24" i="6"/>
  <c r="C28" i="6" s="1"/>
  <c r="C21" i="6"/>
  <c r="C25" i="6" s="1"/>
  <c r="C29" i="6" l="1"/>
  <c r="C32" i="6"/>
  <c r="C30" i="6"/>
  <c r="Q11" i="7"/>
  <c r="R11" i="7" s="1"/>
  <c r="E13" i="12" s="1"/>
  <c r="Q8" i="7"/>
  <c r="Q9" i="7"/>
  <c r="Q10" i="7"/>
  <c r="D11" i="7"/>
  <c r="D8" i="7"/>
  <c r="D9" i="7"/>
  <c r="D10" i="7"/>
  <c r="C34" i="6" l="1"/>
  <c r="C36" i="6"/>
  <c r="C33" i="6"/>
  <c r="B5" i="12"/>
  <c r="G9" i="12" s="1"/>
  <c r="B12" i="12"/>
  <c r="B13" i="12"/>
  <c r="B11" i="12"/>
  <c r="B10" i="12"/>
  <c r="I12" i="12"/>
  <c r="C37" i="6" l="1"/>
  <c r="C38" i="6"/>
  <c r="C40" i="6"/>
  <c r="F10" i="10"/>
  <c r="F9" i="10"/>
  <c r="F8" i="10"/>
  <c r="C42" i="6" l="1"/>
  <c r="C44" i="6"/>
  <c r="C41" i="6"/>
  <c r="Q11" i="1"/>
  <c r="C45" i="6" l="1"/>
  <c r="C48" i="6"/>
  <c r="C46" i="6"/>
  <c r="D36" i="13"/>
  <c r="D2" i="13"/>
  <c r="D70" i="13"/>
  <c r="D104" i="13"/>
  <c r="P30" i="2"/>
  <c r="E127" i="8" s="1"/>
  <c r="G30" i="2"/>
  <c r="E87" i="8" s="1"/>
  <c r="P2" i="2"/>
  <c r="E45" i="8" s="1"/>
  <c r="G2" i="2"/>
  <c r="E3" i="8" s="1"/>
  <c r="L3" i="1"/>
  <c r="Q8" i="1" s="1"/>
  <c r="H16" i="6"/>
  <c r="C50" i="6" l="1"/>
  <c r="C52" i="6"/>
  <c r="C49" i="6"/>
  <c r="O33" i="6"/>
  <c r="K8" i="6"/>
  <c r="L8" i="6"/>
  <c r="K33" i="6"/>
  <c r="D35" i="2" s="1"/>
  <c r="L33" i="6"/>
  <c r="N8" i="6"/>
  <c r="M7" i="2" s="1"/>
  <c r="N33" i="6"/>
  <c r="M35" i="2" s="1"/>
  <c r="O8" i="6"/>
  <c r="H17" i="6"/>
  <c r="N7" i="6"/>
  <c r="M6" i="2" s="1"/>
  <c r="N32" i="6"/>
  <c r="M34" i="2" s="1"/>
  <c r="B20" i="6"/>
  <c r="D5" i="1"/>
  <c r="E5" i="1"/>
  <c r="C5" i="1"/>
  <c r="C53" i="6" l="1"/>
  <c r="C56" i="6"/>
  <c r="C54" i="6"/>
  <c r="N34" i="6"/>
  <c r="M36" i="2" s="1"/>
  <c r="L34" i="6"/>
  <c r="L9" i="6"/>
  <c r="N9" i="6"/>
  <c r="M8" i="2" s="1"/>
  <c r="K9" i="6"/>
  <c r="D8" i="2" s="1"/>
  <c r="O34" i="6"/>
  <c r="K34" i="6"/>
  <c r="D36" i="2" s="1"/>
  <c r="O9" i="6"/>
  <c r="B39" i="13"/>
  <c r="B40" i="13"/>
  <c r="B132" i="8"/>
  <c r="B108" i="13"/>
  <c r="B131" i="8"/>
  <c r="B107" i="13"/>
  <c r="B92" i="8"/>
  <c r="B74" i="13"/>
  <c r="B50" i="8"/>
  <c r="B49" i="8"/>
  <c r="H18" i="6"/>
  <c r="L7" i="6"/>
  <c r="E6" i="2" s="1"/>
  <c r="Q5" i="1"/>
  <c r="O7" i="6"/>
  <c r="N6" i="2" s="1"/>
  <c r="L32" i="6"/>
  <c r="E34" i="2" s="1"/>
  <c r="O32" i="6"/>
  <c r="N34" i="2" s="1"/>
  <c r="K32" i="6"/>
  <c r="D34" i="2" s="1"/>
  <c r="K7" i="6"/>
  <c r="D6" i="2" s="1"/>
  <c r="D7" i="2"/>
  <c r="R10" i="7"/>
  <c r="E12" i="12" s="1"/>
  <c r="R9" i="7"/>
  <c r="E11" i="12" s="1"/>
  <c r="R8" i="7"/>
  <c r="E10" i="12" s="1"/>
  <c r="C58" i="6" l="1"/>
  <c r="C60" i="6"/>
  <c r="C57" i="6"/>
  <c r="L35" i="6"/>
  <c r="N10" i="6"/>
  <c r="M9" i="2" s="1"/>
  <c r="K35" i="6"/>
  <c r="L10" i="6"/>
  <c r="O35" i="6"/>
  <c r="N35" i="6"/>
  <c r="M37" i="2" s="1"/>
  <c r="K10" i="6"/>
  <c r="D9" i="2" s="1"/>
  <c r="O10" i="6"/>
  <c r="B73" i="13"/>
  <c r="B41" i="13"/>
  <c r="C39" i="13"/>
  <c r="C131" i="8"/>
  <c r="C107" i="13"/>
  <c r="B133" i="8"/>
  <c r="B109" i="13"/>
  <c r="C91" i="8"/>
  <c r="C73" i="13"/>
  <c r="B93" i="8"/>
  <c r="B75" i="13"/>
  <c r="C49" i="8"/>
  <c r="B51" i="8"/>
  <c r="C7" i="8"/>
  <c r="C5" i="13"/>
  <c r="B9" i="8"/>
  <c r="B7" i="13"/>
  <c r="B8" i="8"/>
  <c r="B6" i="13"/>
  <c r="B7" i="8"/>
  <c r="B5" i="13"/>
  <c r="H19" i="6"/>
  <c r="E7" i="2"/>
  <c r="B91" i="8"/>
  <c r="C61" i="6" l="1"/>
  <c r="C64" i="6"/>
  <c r="C62" i="6"/>
  <c r="O36" i="6"/>
  <c r="N11" i="6"/>
  <c r="M10" i="2" s="1"/>
  <c r="L36" i="6"/>
  <c r="K11" i="6"/>
  <c r="D10" i="2" s="1"/>
  <c r="K36" i="6"/>
  <c r="D38" i="2" s="1"/>
  <c r="N36" i="6"/>
  <c r="M38" i="2" s="1"/>
  <c r="L11" i="6"/>
  <c r="O11" i="6"/>
  <c r="B42" i="13"/>
  <c r="B134" i="8"/>
  <c r="B110" i="13"/>
  <c r="B52" i="8"/>
  <c r="D37" i="2"/>
  <c r="C8" i="8"/>
  <c r="C6" i="13"/>
  <c r="B10" i="8"/>
  <c r="B8" i="13"/>
  <c r="N7" i="2"/>
  <c r="H20" i="6"/>
  <c r="F7" i="2"/>
  <c r="N35" i="2"/>
  <c r="E8" i="2"/>
  <c r="E35" i="2"/>
  <c r="E33" i="8"/>
  <c r="O34" i="2"/>
  <c r="O6" i="2"/>
  <c r="F34" i="2"/>
  <c r="F6" i="2"/>
  <c r="D107" i="13" l="1"/>
  <c r="C66" i="6"/>
  <c r="C68" i="6"/>
  <c r="C65" i="6"/>
  <c r="K37" i="6"/>
  <c r="D39" i="2" s="1"/>
  <c r="L12" i="6"/>
  <c r="N37" i="6"/>
  <c r="M39" i="2" s="1"/>
  <c r="L37" i="6"/>
  <c r="N12" i="6"/>
  <c r="M11" i="2" s="1"/>
  <c r="O37" i="6"/>
  <c r="K12" i="6"/>
  <c r="D11" i="2" s="1"/>
  <c r="O12" i="6"/>
  <c r="B77" i="13"/>
  <c r="B76" i="13"/>
  <c r="D73" i="13"/>
  <c r="D39" i="13"/>
  <c r="B43" i="13"/>
  <c r="C40" i="13"/>
  <c r="D5" i="13"/>
  <c r="C132" i="8"/>
  <c r="C108" i="13"/>
  <c r="B135" i="8"/>
  <c r="B111" i="13"/>
  <c r="C74" i="13"/>
  <c r="B53" i="8"/>
  <c r="B94" i="8"/>
  <c r="B95" i="8"/>
  <c r="G7" i="2"/>
  <c r="D6" i="13"/>
  <c r="C7" i="13"/>
  <c r="B11" i="8"/>
  <c r="B9" i="13"/>
  <c r="O7" i="2"/>
  <c r="C50" i="8"/>
  <c r="N8" i="2"/>
  <c r="E9" i="2"/>
  <c r="H21" i="6"/>
  <c r="O35" i="2"/>
  <c r="F8" i="2"/>
  <c r="N36" i="2"/>
  <c r="C9" i="8"/>
  <c r="F35" i="2"/>
  <c r="C92" i="8"/>
  <c r="E36" i="2"/>
  <c r="P34" i="2"/>
  <c r="P6" i="2"/>
  <c r="G34" i="2"/>
  <c r="G6" i="2"/>
  <c r="C69" i="6" l="1"/>
  <c r="C72" i="6"/>
  <c r="C70" i="6"/>
  <c r="N13" i="6"/>
  <c r="M12" i="2" s="1"/>
  <c r="L38" i="6"/>
  <c r="L13" i="6"/>
  <c r="O38" i="6"/>
  <c r="K13" i="6"/>
  <c r="D12" i="2" s="1"/>
  <c r="K38" i="6"/>
  <c r="D40" i="2" s="1"/>
  <c r="N38" i="6"/>
  <c r="M40" i="2" s="1"/>
  <c r="O13" i="6"/>
  <c r="B78" i="13"/>
  <c r="B44" i="13"/>
  <c r="C41" i="13"/>
  <c r="D40" i="13"/>
  <c r="C8" i="13"/>
  <c r="B10" i="13"/>
  <c r="C109" i="13"/>
  <c r="P35" i="2"/>
  <c r="D108" i="13"/>
  <c r="B136" i="8"/>
  <c r="B112" i="13"/>
  <c r="G35" i="2"/>
  <c r="D74" i="13"/>
  <c r="C75" i="13"/>
  <c r="P7" i="2"/>
  <c r="B54" i="8"/>
  <c r="B96" i="8"/>
  <c r="G8" i="2"/>
  <c r="D7" i="13"/>
  <c r="C51" i="8"/>
  <c r="O8" i="2"/>
  <c r="N37" i="2"/>
  <c r="E37" i="2"/>
  <c r="B12" i="8"/>
  <c r="H22" i="6"/>
  <c r="O36" i="2"/>
  <c r="C133" i="8"/>
  <c r="C93" i="8"/>
  <c r="F36" i="2"/>
  <c r="N9" i="2"/>
  <c r="E10" i="2"/>
  <c r="C10" i="8"/>
  <c r="F9" i="2"/>
  <c r="G5" i="1"/>
  <c r="C74" i="6" l="1"/>
  <c r="C76" i="6"/>
  <c r="C73" i="6"/>
  <c r="K39" i="6"/>
  <c r="D41" i="2" s="1"/>
  <c r="L14" i="6"/>
  <c r="L39" i="6"/>
  <c r="N14" i="6"/>
  <c r="M13" i="2" s="1"/>
  <c r="N39" i="6"/>
  <c r="M41" i="2" s="1"/>
  <c r="K14" i="6"/>
  <c r="D13" i="2" s="1"/>
  <c r="O39" i="6"/>
  <c r="O14" i="6"/>
  <c r="D75" i="13"/>
  <c r="B79" i="13"/>
  <c r="D41" i="13"/>
  <c r="B45" i="13"/>
  <c r="C42" i="13"/>
  <c r="C9" i="13"/>
  <c r="D8" i="13"/>
  <c r="O37" i="2"/>
  <c r="D110" i="13" s="1"/>
  <c r="C110" i="13"/>
  <c r="P36" i="2"/>
  <c r="D109" i="13"/>
  <c r="B137" i="8"/>
  <c r="B113" i="13"/>
  <c r="C76" i="13"/>
  <c r="P8" i="2"/>
  <c r="B55" i="8"/>
  <c r="B97" i="8"/>
  <c r="B13" i="8"/>
  <c r="B11" i="13"/>
  <c r="F37" i="2"/>
  <c r="C94" i="8"/>
  <c r="C134" i="8"/>
  <c r="E38" i="2"/>
  <c r="N38" i="2"/>
  <c r="N10" i="2"/>
  <c r="E11" i="2"/>
  <c r="H23" i="6"/>
  <c r="G36" i="2"/>
  <c r="O9" i="2"/>
  <c r="C52" i="8"/>
  <c r="G9" i="2"/>
  <c r="C11" i="8"/>
  <c r="F10" i="2"/>
  <c r="C77" i="6" l="1"/>
  <c r="C80" i="6"/>
  <c r="C78" i="6"/>
  <c r="K15" i="6"/>
  <c r="D14" i="2" s="1"/>
  <c r="K40" i="6"/>
  <c r="D42" i="2" s="1"/>
  <c r="N40" i="6"/>
  <c r="M42" i="2" s="1"/>
  <c r="L40" i="6"/>
  <c r="L15" i="6"/>
  <c r="O40" i="6"/>
  <c r="N15" i="6"/>
  <c r="M14" i="2" s="1"/>
  <c r="O15" i="6"/>
  <c r="B80" i="13"/>
  <c r="D76" i="13"/>
  <c r="C77" i="13"/>
  <c r="D42" i="13"/>
  <c r="B46" i="13"/>
  <c r="C43" i="13"/>
  <c r="C10" i="13"/>
  <c r="P37" i="2"/>
  <c r="C111" i="13"/>
  <c r="B138" i="8"/>
  <c r="B114" i="13"/>
  <c r="C53" i="8"/>
  <c r="B56" i="8"/>
  <c r="B98" i="8"/>
  <c r="F38" i="2"/>
  <c r="G37" i="2"/>
  <c r="G10" i="2"/>
  <c r="D9" i="13"/>
  <c r="B14" i="8"/>
  <c r="B12" i="13"/>
  <c r="C95" i="8"/>
  <c r="C135" i="8"/>
  <c r="O38" i="2"/>
  <c r="D111" i="13" s="1"/>
  <c r="O10" i="2"/>
  <c r="E39" i="2"/>
  <c r="N11" i="2"/>
  <c r="E12" i="2"/>
  <c r="C12" i="8"/>
  <c r="F11" i="2"/>
  <c r="H24" i="6"/>
  <c r="P9" i="2"/>
  <c r="N39" i="2"/>
  <c r="C82" i="6" l="1"/>
  <c r="C84" i="6"/>
  <c r="C81" i="6"/>
  <c r="L41" i="6"/>
  <c r="N16" i="6"/>
  <c r="M15" i="2" s="1"/>
  <c r="N41" i="6"/>
  <c r="M43" i="2" s="1"/>
  <c r="K16" i="6"/>
  <c r="D15" i="2" s="1"/>
  <c r="K41" i="6"/>
  <c r="D43" i="2" s="1"/>
  <c r="L16" i="6"/>
  <c r="O41" i="6"/>
  <c r="O16" i="6"/>
  <c r="C78" i="13"/>
  <c r="D77" i="13"/>
  <c r="B81" i="13"/>
  <c r="C44" i="13"/>
  <c r="B47" i="13"/>
  <c r="D43" i="13"/>
  <c r="O39" i="2"/>
  <c r="C112" i="13"/>
  <c r="B139" i="8"/>
  <c r="B115" i="13"/>
  <c r="C54" i="8"/>
  <c r="P10" i="2"/>
  <c r="B57" i="8"/>
  <c r="B99" i="8"/>
  <c r="C96" i="8"/>
  <c r="G38" i="2"/>
  <c r="C13" i="8"/>
  <c r="C11" i="13"/>
  <c r="G11" i="2"/>
  <c r="D10" i="13"/>
  <c r="B15" i="8"/>
  <c r="B13" i="13"/>
  <c r="P38" i="2"/>
  <c r="N40" i="2"/>
  <c r="N12" i="2"/>
  <c r="F39" i="2"/>
  <c r="O11" i="2"/>
  <c r="F12" i="2"/>
  <c r="E13" i="2"/>
  <c r="H25" i="6"/>
  <c r="C136" i="8"/>
  <c r="E40" i="2"/>
  <c r="C85" i="6" l="1"/>
  <c r="C88" i="6"/>
  <c r="C86" i="6"/>
  <c r="N42" i="6"/>
  <c r="M44" i="2" s="1"/>
  <c r="K42" i="6"/>
  <c r="D44" i="2" s="1"/>
  <c r="K17" i="6"/>
  <c r="D16" i="2" s="1"/>
  <c r="N17" i="6"/>
  <c r="M16" i="2" s="1"/>
  <c r="L42" i="6"/>
  <c r="L17" i="6"/>
  <c r="O42" i="6"/>
  <c r="O17" i="6"/>
  <c r="B82" i="13"/>
  <c r="D78" i="13"/>
  <c r="C79" i="13"/>
  <c r="C45" i="13"/>
  <c r="B48" i="13"/>
  <c r="D44" i="13"/>
  <c r="C113" i="13"/>
  <c r="P39" i="2"/>
  <c r="D112" i="13"/>
  <c r="B140" i="8"/>
  <c r="B116" i="13"/>
  <c r="P11" i="2"/>
  <c r="B58" i="8"/>
  <c r="B100" i="8"/>
  <c r="G39" i="2"/>
  <c r="F13" i="2"/>
  <c r="C12" i="13"/>
  <c r="G12" i="2"/>
  <c r="D11" i="13"/>
  <c r="B16" i="8"/>
  <c r="B14" i="13"/>
  <c r="O40" i="2"/>
  <c r="C137" i="8"/>
  <c r="E41" i="2"/>
  <c r="O12" i="2"/>
  <c r="C55" i="8"/>
  <c r="N41" i="2"/>
  <c r="C14" i="8"/>
  <c r="E14" i="2"/>
  <c r="H26" i="6"/>
  <c r="F40" i="2"/>
  <c r="C97" i="8"/>
  <c r="N13" i="2"/>
  <c r="E15" i="2"/>
  <c r="C90" i="6" l="1"/>
  <c r="C92" i="6"/>
  <c r="C89" i="6"/>
  <c r="K18" i="6"/>
  <c r="D17" i="2" s="1"/>
  <c r="L43" i="6"/>
  <c r="N18" i="6"/>
  <c r="M17" i="2" s="1"/>
  <c r="K43" i="6"/>
  <c r="D45" i="2" s="1"/>
  <c r="N43" i="6"/>
  <c r="M45" i="2" s="1"/>
  <c r="L18" i="6"/>
  <c r="O43" i="6"/>
  <c r="O18" i="6"/>
  <c r="D79" i="13"/>
  <c r="B83" i="13"/>
  <c r="D45" i="13"/>
  <c r="C46" i="13"/>
  <c r="B49" i="13"/>
  <c r="B15" i="13"/>
  <c r="C14" i="13"/>
  <c r="P40" i="2"/>
  <c r="D113" i="13"/>
  <c r="O41" i="2"/>
  <c r="C114" i="13"/>
  <c r="B141" i="8"/>
  <c r="B117" i="13"/>
  <c r="C80" i="13"/>
  <c r="P12" i="2"/>
  <c r="B59" i="8"/>
  <c r="B101" i="8"/>
  <c r="G40" i="2"/>
  <c r="C13" i="13"/>
  <c r="G13" i="2"/>
  <c r="D12" i="13"/>
  <c r="F41" i="2"/>
  <c r="C98" i="8"/>
  <c r="E42" i="2"/>
  <c r="N14" i="2"/>
  <c r="N42" i="2"/>
  <c r="C138" i="8"/>
  <c r="F14" i="2"/>
  <c r="C15" i="8"/>
  <c r="B17" i="8"/>
  <c r="H27" i="6"/>
  <c r="O13" i="2"/>
  <c r="C56" i="8"/>
  <c r="C16" i="8"/>
  <c r="F15" i="2"/>
  <c r="C93" i="6" l="1"/>
  <c r="C96" i="6"/>
  <c r="C94" i="6"/>
  <c r="K19" i="6"/>
  <c r="D18" i="2" s="1"/>
  <c r="L44" i="6"/>
  <c r="L19" i="6"/>
  <c r="K44" i="6"/>
  <c r="D46" i="2" s="1"/>
  <c r="N44" i="6"/>
  <c r="M46" i="2" s="1"/>
  <c r="O44" i="6"/>
  <c r="N19" i="6"/>
  <c r="M18" i="2" s="1"/>
  <c r="O19" i="6"/>
  <c r="B84" i="13"/>
  <c r="D80" i="13"/>
  <c r="D46" i="13"/>
  <c r="C47" i="13"/>
  <c r="B50" i="13"/>
  <c r="O42" i="2"/>
  <c r="C115" i="13"/>
  <c r="P41" i="2"/>
  <c r="D114" i="13"/>
  <c r="B142" i="8"/>
  <c r="B118" i="13"/>
  <c r="C81" i="13"/>
  <c r="B60" i="8"/>
  <c r="G41" i="2"/>
  <c r="B102" i="8"/>
  <c r="G15" i="2"/>
  <c r="D14" i="13"/>
  <c r="G14" i="2"/>
  <c r="D13" i="13"/>
  <c r="B18" i="8"/>
  <c r="B16" i="13"/>
  <c r="F42" i="2"/>
  <c r="C99" i="8"/>
  <c r="E43" i="2"/>
  <c r="C57" i="8"/>
  <c r="O14" i="2"/>
  <c r="N15" i="2"/>
  <c r="C139" i="8"/>
  <c r="E16" i="2"/>
  <c r="H28" i="6"/>
  <c r="P13" i="2"/>
  <c r="N43" i="2"/>
  <c r="C98" i="6" l="1"/>
  <c r="C100" i="6"/>
  <c r="C97" i="6"/>
  <c r="N20" i="6"/>
  <c r="M19" i="2" s="1"/>
  <c r="K20" i="6"/>
  <c r="D19" i="2" s="1"/>
  <c r="N45" i="6"/>
  <c r="M47" i="2" s="1"/>
  <c r="K45" i="6"/>
  <c r="D47" i="2" s="1"/>
  <c r="L20" i="6"/>
  <c r="O45" i="6"/>
  <c r="L45" i="6"/>
  <c r="O20" i="6"/>
  <c r="D81" i="13"/>
  <c r="B85" i="13"/>
  <c r="B51" i="13"/>
  <c r="C48" i="13"/>
  <c r="D47" i="13"/>
  <c r="C116" i="13"/>
  <c r="P42" i="2"/>
  <c r="D115" i="13"/>
  <c r="B143" i="8"/>
  <c r="B119" i="13"/>
  <c r="C82" i="13"/>
  <c r="P14" i="2"/>
  <c r="B61" i="8"/>
  <c r="G42" i="2"/>
  <c r="B103" i="8"/>
  <c r="C15" i="13"/>
  <c r="B19" i="8"/>
  <c r="B17" i="13"/>
  <c r="F43" i="2"/>
  <c r="C100" i="8"/>
  <c r="C58" i="8"/>
  <c r="O15" i="2"/>
  <c r="N16" i="2"/>
  <c r="N44" i="2"/>
  <c r="C17" i="8"/>
  <c r="E17" i="2"/>
  <c r="F16" i="2"/>
  <c r="H29" i="6"/>
  <c r="E44" i="2"/>
  <c r="O43" i="2"/>
  <c r="C140" i="8"/>
  <c r="K21" i="6" l="1"/>
  <c r="D20" i="2" s="1"/>
  <c r="L46" i="6"/>
  <c r="L21" i="6"/>
  <c r="E20" i="2" s="1"/>
  <c r="N46" i="6"/>
  <c r="M48" i="2" s="1"/>
  <c r="O46" i="6"/>
  <c r="K46" i="6"/>
  <c r="D48" i="2" s="1"/>
  <c r="N21" i="6"/>
  <c r="M20" i="2" s="1"/>
  <c r="O21" i="6"/>
  <c r="L4" i="1"/>
  <c r="Q9" i="1" s="1"/>
  <c r="D82" i="13"/>
  <c r="C83" i="13"/>
  <c r="B86" i="13"/>
  <c r="B52" i="13"/>
  <c r="D48" i="13"/>
  <c r="C49" i="13"/>
  <c r="C141" i="8"/>
  <c r="C117" i="13"/>
  <c r="P43" i="2"/>
  <c r="D116" i="13"/>
  <c r="B144" i="8"/>
  <c r="B120" i="13"/>
  <c r="P15" i="2"/>
  <c r="B62" i="8"/>
  <c r="G43" i="2"/>
  <c r="B104" i="8"/>
  <c r="G16" i="2"/>
  <c r="D15" i="13"/>
  <c r="C16" i="13"/>
  <c r="B20" i="8"/>
  <c r="B18" i="13"/>
  <c r="N45" i="2"/>
  <c r="E45" i="2"/>
  <c r="O16" i="2"/>
  <c r="C59" i="8"/>
  <c r="O44" i="2"/>
  <c r="E18" i="2"/>
  <c r="F17" i="2"/>
  <c r="C18" i="8"/>
  <c r="H30" i="6"/>
  <c r="C101" i="8"/>
  <c r="F44" i="2"/>
  <c r="N17" i="2"/>
  <c r="K22" i="6" l="1"/>
  <c r="D21" i="2" s="1"/>
  <c r="K47" i="6"/>
  <c r="D49" i="2" s="1"/>
  <c r="L22" i="6"/>
  <c r="N47" i="6"/>
  <c r="M49" i="2" s="1"/>
  <c r="O47" i="6"/>
  <c r="L47" i="6"/>
  <c r="N22" i="6"/>
  <c r="M21" i="2" s="1"/>
  <c r="O22" i="6"/>
  <c r="D83" i="13"/>
  <c r="B87" i="13"/>
  <c r="C50" i="13"/>
  <c r="B53" i="13"/>
  <c r="D49" i="13"/>
  <c r="C17" i="13"/>
  <c r="C19" i="13"/>
  <c r="C118" i="13"/>
  <c r="P44" i="2"/>
  <c r="D117" i="13"/>
  <c r="B145" i="8"/>
  <c r="B121" i="13"/>
  <c r="C84" i="13"/>
  <c r="O17" i="2"/>
  <c r="P16" i="2"/>
  <c r="B63" i="8"/>
  <c r="B105" i="8"/>
  <c r="G44" i="2"/>
  <c r="G17" i="2"/>
  <c r="D16" i="13"/>
  <c r="B21" i="8"/>
  <c r="B19" i="13"/>
  <c r="C142" i="8"/>
  <c r="O45" i="2"/>
  <c r="N46" i="2"/>
  <c r="F45" i="2"/>
  <c r="C102" i="8"/>
  <c r="E46" i="2"/>
  <c r="N18" i="2"/>
  <c r="F18" i="2"/>
  <c r="C19" i="8"/>
  <c r="E19" i="2"/>
  <c r="H31" i="6"/>
  <c r="C60" i="8"/>
  <c r="C21" i="8"/>
  <c r="F20" i="2"/>
  <c r="K48" i="6" l="1"/>
  <c r="D50" i="2" s="1"/>
  <c r="K23" i="6"/>
  <c r="D22" i="2" s="1"/>
  <c r="L48" i="6"/>
  <c r="L23" i="6"/>
  <c r="N48" i="6"/>
  <c r="M50" i="2" s="1"/>
  <c r="O48" i="6"/>
  <c r="N23" i="6"/>
  <c r="M22" i="2" s="1"/>
  <c r="O23" i="6"/>
  <c r="E102" i="6"/>
  <c r="E104" i="6" s="1"/>
  <c r="E105" i="6" s="1"/>
  <c r="D84" i="13"/>
  <c r="B88" i="13"/>
  <c r="D50" i="13"/>
  <c r="B54" i="13"/>
  <c r="B20" i="13"/>
  <c r="P45" i="2"/>
  <c r="D118" i="13"/>
  <c r="C119" i="13"/>
  <c r="B146" i="8"/>
  <c r="B122" i="13"/>
  <c r="C85" i="13"/>
  <c r="C51" i="13"/>
  <c r="P17" i="2"/>
  <c r="B64" i="8"/>
  <c r="B106" i="8"/>
  <c r="G45" i="2"/>
  <c r="G18" i="2"/>
  <c r="D17" i="13"/>
  <c r="C18" i="13"/>
  <c r="G20" i="2"/>
  <c r="D19" i="13"/>
  <c r="O46" i="2"/>
  <c r="C143" i="8"/>
  <c r="C103" i="8"/>
  <c r="F46" i="2"/>
  <c r="E47" i="2"/>
  <c r="C61" i="8"/>
  <c r="O18" i="2"/>
  <c r="N19" i="2"/>
  <c r="F19" i="2"/>
  <c r="C20" i="8"/>
  <c r="H32" i="6"/>
  <c r="B22" i="8"/>
  <c r="N47" i="2"/>
  <c r="K49" i="6" l="1"/>
  <c r="D51" i="2" s="1"/>
  <c r="O49" i="6"/>
  <c r="K24" i="6"/>
  <c r="D23" i="2" s="1"/>
  <c r="L24" i="6"/>
  <c r="L49" i="6"/>
  <c r="N49" i="6"/>
  <c r="M51" i="2" s="1"/>
  <c r="N24" i="6"/>
  <c r="M23" i="2" s="1"/>
  <c r="O24" i="6"/>
  <c r="D85" i="13"/>
  <c r="B89" i="13"/>
  <c r="B55" i="13"/>
  <c r="D51" i="13"/>
  <c r="C120" i="13"/>
  <c r="P46" i="2"/>
  <c r="D119" i="13"/>
  <c r="B147" i="8"/>
  <c r="B123" i="13"/>
  <c r="C86" i="13"/>
  <c r="C52" i="13"/>
  <c r="P18" i="2"/>
  <c r="B65" i="8"/>
  <c r="B107" i="8"/>
  <c r="G46" i="2"/>
  <c r="G19" i="2"/>
  <c r="D18" i="13"/>
  <c r="B23" i="8"/>
  <c r="B21" i="13"/>
  <c r="N48" i="2"/>
  <c r="F47" i="2"/>
  <c r="C104" i="8"/>
  <c r="O19" i="2"/>
  <c r="C62" i="8"/>
  <c r="N20" i="2"/>
  <c r="E21" i="2"/>
  <c r="H33" i="6"/>
  <c r="O47" i="2"/>
  <c r="C144" i="8"/>
  <c r="E48" i="2"/>
  <c r="L50" i="6" l="1"/>
  <c r="L25" i="6"/>
  <c r="N25" i="6"/>
  <c r="M24" i="2" s="1"/>
  <c r="K50" i="6"/>
  <c r="D52" i="2" s="1"/>
  <c r="N50" i="6"/>
  <c r="M52" i="2" s="1"/>
  <c r="O50" i="6"/>
  <c r="K25" i="6"/>
  <c r="D24" i="2" s="1"/>
  <c r="O25" i="6"/>
  <c r="D86" i="13"/>
  <c r="C87" i="13"/>
  <c r="B90" i="13"/>
  <c r="B56" i="13"/>
  <c r="D52" i="13"/>
  <c r="C53" i="13"/>
  <c r="C121" i="13"/>
  <c r="P47" i="2"/>
  <c r="D120" i="13"/>
  <c r="B148" i="8"/>
  <c r="B124" i="13"/>
  <c r="B66" i="8"/>
  <c r="P19" i="2"/>
  <c r="B108" i="8"/>
  <c r="G47" i="2"/>
  <c r="C20" i="13"/>
  <c r="B24" i="8"/>
  <c r="B22" i="13"/>
  <c r="O48" i="2"/>
  <c r="C145" i="8"/>
  <c r="N49" i="2"/>
  <c r="E49" i="2"/>
  <c r="O20" i="2"/>
  <c r="C63" i="8"/>
  <c r="E22" i="2"/>
  <c r="N21" i="2"/>
  <c r="F21" i="2"/>
  <c r="C22" i="8"/>
  <c r="H34" i="6"/>
  <c r="C105" i="8"/>
  <c r="F48" i="2"/>
  <c r="L51" i="6" l="1"/>
  <c r="K26" i="6"/>
  <c r="D25" i="2" s="1"/>
  <c r="K51" i="6"/>
  <c r="D53" i="2" s="1"/>
  <c r="L26" i="6"/>
  <c r="E25" i="2" s="1"/>
  <c r="N51" i="6"/>
  <c r="M53" i="2" s="1"/>
  <c r="O51" i="6"/>
  <c r="N26" i="6"/>
  <c r="M25" i="2" s="1"/>
  <c r="O26" i="6"/>
  <c r="B91" i="13"/>
  <c r="D87" i="13"/>
  <c r="C88" i="13"/>
  <c r="B57" i="13"/>
  <c r="C54" i="13"/>
  <c r="D53" i="13"/>
  <c r="P48" i="2"/>
  <c r="D121" i="13"/>
  <c r="C122" i="13"/>
  <c r="B149" i="8"/>
  <c r="B125" i="13"/>
  <c r="B67" i="8"/>
  <c r="P20" i="2"/>
  <c r="B109" i="8"/>
  <c r="G48" i="2"/>
  <c r="G21" i="2"/>
  <c r="D20" i="13"/>
  <c r="C23" i="8"/>
  <c r="C21" i="13"/>
  <c r="B25" i="8"/>
  <c r="B23" i="13"/>
  <c r="F22" i="2"/>
  <c r="C146" i="8"/>
  <c r="O49" i="2"/>
  <c r="N50" i="2"/>
  <c r="C106" i="8"/>
  <c r="F49" i="2"/>
  <c r="E50" i="2"/>
  <c r="N22" i="2"/>
  <c r="E23" i="2"/>
  <c r="C64" i="8"/>
  <c r="O21" i="2"/>
  <c r="B92" i="13" l="1"/>
  <c r="D88" i="13"/>
  <c r="C89" i="13"/>
  <c r="D54" i="13"/>
  <c r="B58" i="13"/>
  <c r="C24" i="13"/>
  <c r="C123" i="13"/>
  <c r="P49" i="2"/>
  <c r="D122" i="13"/>
  <c r="B150" i="8"/>
  <c r="B126" i="13"/>
  <c r="C55" i="13"/>
  <c r="B68" i="8"/>
  <c r="P21" i="2"/>
  <c r="G49" i="2"/>
  <c r="B110" i="8"/>
  <c r="G22" i="2"/>
  <c r="D21" i="13"/>
  <c r="C22" i="13"/>
  <c r="B26" i="8"/>
  <c r="B24" i="13"/>
  <c r="C147" i="8"/>
  <c r="O50" i="2"/>
  <c r="N51" i="2"/>
  <c r="C107" i="8"/>
  <c r="F50" i="2"/>
  <c r="E51" i="2"/>
  <c r="C65" i="8"/>
  <c r="O22" i="2"/>
  <c r="F23" i="2"/>
  <c r="N23" i="2"/>
  <c r="E24" i="2"/>
  <c r="C24" i="8"/>
  <c r="C26" i="8"/>
  <c r="F25" i="2"/>
  <c r="D89" i="13" l="1"/>
  <c r="D55" i="13"/>
  <c r="C56" i="13"/>
  <c r="D24" i="13"/>
  <c r="P50" i="2"/>
  <c r="D123" i="13"/>
  <c r="C124" i="13"/>
  <c r="C90" i="13"/>
  <c r="C66" i="8"/>
  <c r="P22" i="2"/>
  <c r="G50" i="2"/>
  <c r="J7" i="2"/>
  <c r="C23" i="13"/>
  <c r="G23" i="2"/>
  <c r="D22" i="13"/>
  <c r="G25" i="2"/>
  <c r="O51" i="2"/>
  <c r="C148" i="8"/>
  <c r="O23" i="2"/>
  <c r="N52" i="2"/>
  <c r="C108" i="8"/>
  <c r="F51" i="2"/>
  <c r="E52" i="2"/>
  <c r="N24" i="2"/>
  <c r="N25" i="2"/>
  <c r="E53" i="2"/>
  <c r="C25" i="8"/>
  <c r="F24" i="2"/>
  <c r="C29" i="8" s="1"/>
  <c r="N53" i="2"/>
  <c r="D90" i="13" l="1"/>
  <c r="C91" i="13"/>
  <c r="C92" i="13"/>
  <c r="D56" i="13"/>
  <c r="C58" i="13"/>
  <c r="C126" i="13"/>
  <c r="P51" i="2"/>
  <c r="D124" i="13"/>
  <c r="C125" i="13"/>
  <c r="C57" i="13"/>
  <c r="P23" i="2"/>
  <c r="G51" i="2"/>
  <c r="D23" i="13"/>
  <c r="O25" i="2"/>
  <c r="C149" i="8"/>
  <c r="O52" i="2"/>
  <c r="C110" i="8"/>
  <c r="C109" i="8"/>
  <c r="F52" i="2"/>
  <c r="J35" i="2"/>
  <c r="S35" i="2"/>
  <c r="O24" i="2"/>
  <c r="C67" i="8"/>
  <c r="F53" i="2"/>
  <c r="G24" i="2"/>
  <c r="G26" i="2" s="1"/>
  <c r="F26" i="2"/>
  <c r="C150" i="8"/>
  <c r="S7" i="2"/>
  <c r="C68" i="8"/>
  <c r="O53" i="2"/>
  <c r="L12" i="1"/>
  <c r="Q13" i="1" s="1"/>
  <c r="C113" i="8" l="1"/>
  <c r="D126" i="13"/>
  <c r="C153" i="8"/>
  <c r="C71" i="8"/>
  <c r="E95" i="13"/>
  <c r="D91" i="13"/>
  <c r="D92" i="13"/>
  <c r="D57" i="13"/>
  <c r="D58" i="13"/>
  <c r="E129" i="13"/>
  <c r="P52" i="2"/>
  <c r="D125" i="13"/>
  <c r="P25" i="2"/>
  <c r="P24" i="2"/>
  <c r="G53" i="2"/>
  <c r="G52" i="2"/>
  <c r="P53" i="2"/>
  <c r="O54" i="2"/>
  <c r="F54" i="2"/>
  <c r="O26" i="2"/>
  <c r="J12" i="2"/>
  <c r="F27" i="2" s="1"/>
  <c r="F125" i="6"/>
  <c r="E106" i="6" s="1"/>
  <c r="H129" i="13" l="1"/>
  <c r="H130" i="13" s="1"/>
  <c r="K106" i="13" s="1"/>
  <c r="M95" i="13"/>
  <c r="H95" i="13"/>
  <c r="I73" i="13" s="1"/>
  <c r="E97" i="13"/>
  <c r="D12" i="12" s="1"/>
  <c r="M96" i="13"/>
  <c r="E131" i="13"/>
  <c r="D13" i="12" s="1"/>
  <c r="P54" i="2"/>
  <c r="S40" i="2" s="1"/>
  <c r="O55" i="2" s="1"/>
  <c r="M130" i="13"/>
  <c r="M129" i="13"/>
  <c r="P26" i="2"/>
  <c r="S12" i="2" s="1"/>
  <c r="O27" i="2" s="1"/>
  <c r="G54" i="2"/>
  <c r="J40" i="2" s="1"/>
  <c r="F55" i="2" s="1"/>
  <c r="D25" i="8"/>
  <c r="H25" i="8" s="1"/>
  <c r="I25" i="8" s="1"/>
  <c r="J25" i="8" s="1" a="1"/>
  <c r="J25" i="8" s="1"/>
  <c r="E25" i="8" s="1"/>
  <c r="F25" i="8" s="1"/>
  <c r="K25" i="8" s="1"/>
  <c r="D13" i="8"/>
  <c r="H13" i="8" s="1"/>
  <c r="I13" i="8" s="1"/>
  <c r="J13" i="8" s="1" a="1"/>
  <c r="J13" i="8" s="1"/>
  <c r="E13" i="8" s="1"/>
  <c r="F13" i="8" s="1"/>
  <c r="K13" i="8" s="1"/>
  <c r="D16" i="8"/>
  <c r="H16" i="8" s="1"/>
  <c r="I16" i="8" s="1"/>
  <c r="J16" i="8" s="1" a="1"/>
  <c r="J16" i="8" s="1"/>
  <c r="E16" i="8" s="1"/>
  <c r="F16" i="8" s="1"/>
  <c r="K16" i="8" s="1"/>
  <c r="D8" i="8"/>
  <c r="H8" i="8" s="1"/>
  <c r="I8" i="8" s="1"/>
  <c r="J8" i="8" s="1" a="1"/>
  <c r="J8" i="8" s="1"/>
  <c r="E8" i="8" s="1"/>
  <c r="F8" i="8" s="1"/>
  <c r="K8" i="8" s="1"/>
  <c r="D26" i="8"/>
  <c r="H26" i="8" s="1"/>
  <c r="I26" i="8" s="1"/>
  <c r="J26" i="8" s="1" a="1"/>
  <c r="J26" i="8" s="1"/>
  <c r="E26" i="8" s="1"/>
  <c r="F26" i="8" s="1"/>
  <c r="K26" i="8" s="1"/>
  <c r="D17" i="8"/>
  <c r="H17" i="8" s="1"/>
  <c r="I17" i="8" s="1"/>
  <c r="J17" i="8" s="1" a="1"/>
  <c r="J17" i="8" s="1"/>
  <c r="E17" i="8" s="1"/>
  <c r="F17" i="8" s="1"/>
  <c r="K17" i="8" s="1"/>
  <c r="D9" i="8"/>
  <c r="H9" i="8" s="1"/>
  <c r="I9" i="8" s="1"/>
  <c r="J9" i="8" s="1" a="1"/>
  <c r="J9" i="8" s="1"/>
  <c r="E9" i="8" s="1"/>
  <c r="F9" i="8" s="1"/>
  <c r="K9" i="8" s="1"/>
  <c r="D12" i="8"/>
  <c r="H12" i="8" s="1"/>
  <c r="I12" i="8" s="1"/>
  <c r="J12" i="8" s="1" a="1"/>
  <c r="J12" i="8" s="1"/>
  <c r="E12" i="8" s="1"/>
  <c r="F12" i="8" s="1"/>
  <c r="K12" i="8" s="1"/>
  <c r="E34" i="8"/>
  <c r="D24" i="8"/>
  <c r="H24" i="8" s="1"/>
  <c r="I24" i="8" s="1"/>
  <c r="J24" i="8" s="1" a="1"/>
  <c r="J24" i="8" s="1"/>
  <c r="E24" i="8" s="1"/>
  <c r="F24" i="8" s="1"/>
  <c r="K24" i="8" s="1"/>
  <c r="D15" i="8"/>
  <c r="H15" i="8" s="1"/>
  <c r="I15" i="8" s="1"/>
  <c r="J15" i="8" s="1" a="1"/>
  <c r="J15" i="8" s="1"/>
  <c r="E15" i="8" s="1"/>
  <c r="F15" i="8" s="1"/>
  <c r="K15" i="8" s="1"/>
  <c r="D23" i="8"/>
  <c r="H23" i="8" s="1"/>
  <c r="I23" i="8" s="1"/>
  <c r="J23" i="8" s="1" a="1"/>
  <c r="J23" i="8" s="1"/>
  <c r="E23" i="8" s="1"/>
  <c r="F23" i="8" s="1"/>
  <c r="K23" i="8" s="1"/>
  <c r="D14" i="8"/>
  <c r="H14" i="8" s="1"/>
  <c r="I14" i="8" s="1"/>
  <c r="J14" i="8" s="1" a="1"/>
  <c r="J14" i="8" s="1"/>
  <c r="E14" i="8" s="1"/>
  <c r="F14" i="8" s="1"/>
  <c r="K14" i="8" s="1"/>
  <c r="D18" i="8"/>
  <c r="H18" i="8" s="1"/>
  <c r="I18" i="8" s="1"/>
  <c r="J18" i="8" s="1" a="1"/>
  <c r="J18" i="8" s="1"/>
  <c r="E18" i="8" s="1"/>
  <c r="F18" i="8" s="1"/>
  <c r="K18" i="8" s="1"/>
  <c r="D11" i="8"/>
  <c r="H11" i="8" s="1"/>
  <c r="I11" i="8" s="1"/>
  <c r="J11" i="8" s="1" a="1"/>
  <c r="J11" i="8" s="1"/>
  <c r="E11" i="8" s="1"/>
  <c r="F11" i="8" s="1"/>
  <c r="K11" i="8" s="1"/>
  <c r="D22" i="8"/>
  <c r="H22" i="8" s="1"/>
  <c r="I22" i="8" s="1"/>
  <c r="J22" i="8" s="1" a="1"/>
  <c r="J22" i="8" s="1"/>
  <c r="E22" i="8" s="1"/>
  <c r="F22" i="8" s="1"/>
  <c r="K22" i="8" s="1"/>
  <c r="D19" i="8"/>
  <c r="H19" i="8" s="1"/>
  <c r="I19" i="8" s="1"/>
  <c r="J19" i="8" s="1" a="1"/>
  <c r="J19" i="8" s="1"/>
  <c r="E19" i="8" s="1"/>
  <c r="F19" i="8" s="1"/>
  <c r="K19" i="8" s="1"/>
  <c r="D7" i="8"/>
  <c r="H7" i="8" s="1"/>
  <c r="I7" i="8" s="1"/>
  <c r="J7" i="8" s="1" a="1"/>
  <c r="J7" i="8" s="1"/>
  <c r="E7" i="8" s="1"/>
  <c r="F7" i="8" s="1"/>
  <c r="K7" i="8" s="1"/>
  <c r="D21" i="8"/>
  <c r="H21" i="8" s="1"/>
  <c r="I21" i="8" s="1"/>
  <c r="J21" i="8" s="1" a="1"/>
  <c r="J21" i="8" s="1"/>
  <c r="E21" i="8" s="1"/>
  <c r="F21" i="8" s="1"/>
  <c r="K21" i="8" s="1"/>
  <c r="D10" i="8"/>
  <c r="H10" i="8" s="1"/>
  <c r="I10" i="8" s="1"/>
  <c r="J10" i="8" s="1" a="1"/>
  <c r="J10" i="8" s="1"/>
  <c r="E10" i="8" s="1"/>
  <c r="F10" i="8" s="1"/>
  <c r="K10" i="8" s="1"/>
  <c r="D20" i="8"/>
  <c r="H20" i="8" s="1"/>
  <c r="I20" i="8" s="1"/>
  <c r="J20" i="8" s="1" a="1"/>
  <c r="J20" i="8" s="1"/>
  <c r="E20" i="8" s="1"/>
  <c r="F20" i="8" s="1"/>
  <c r="K20" i="8" s="1"/>
  <c r="F126" i="6"/>
  <c r="I107" i="13" l="1"/>
  <c r="I108" i="13" s="1"/>
  <c r="H96" i="13"/>
  <c r="K72" i="13" s="1"/>
  <c r="I74" i="13" s="1"/>
  <c r="E107" i="6"/>
  <c r="F127" i="6" s="1"/>
  <c r="E3" i="6" s="1"/>
  <c r="D3" i="6" s="1"/>
  <c r="F13" i="12"/>
  <c r="F12" i="12"/>
  <c r="H12" i="12" s="1"/>
  <c r="J12" i="12" s="1"/>
  <c r="L12" i="12" s="1"/>
  <c r="K27" i="8"/>
  <c r="E35" i="8" s="1"/>
  <c r="F27" i="8"/>
  <c r="D139" i="8"/>
  <c r="H139" i="8" s="1"/>
  <c r="I139" i="8" s="1"/>
  <c r="J139" i="8" s="1" a="1"/>
  <c r="J139" i="8" s="1"/>
  <c r="E139" i="8" s="1"/>
  <c r="F139" i="8" s="1"/>
  <c r="K139" i="8" s="1"/>
  <c r="D66" i="8"/>
  <c r="H66" i="8" s="1"/>
  <c r="I66" i="8" s="1"/>
  <c r="J66" i="8" s="1" a="1"/>
  <c r="J66" i="8" s="1"/>
  <c r="E66" i="8" s="1"/>
  <c r="F66" i="8" s="1"/>
  <c r="K66" i="8" s="1"/>
  <c r="E37" i="8" l="1"/>
  <c r="H13" i="12"/>
  <c r="I13" i="12"/>
  <c r="I109" i="13"/>
  <c r="J109" i="13" s="1"/>
  <c r="J108" i="13"/>
  <c r="I75" i="13"/>
  <c r="J75" i="13" s="1"/>
  <c r="J74" i="13"/>
  <c r="K12" i="12"/>
  <c r="E36" i="8"/>
  <c r="D132" i="8"/>
  <c r="H132" i="8" s="1"/>
  <c r="I132" i="8" s="1"/>
  <c r="J132" i="8" s="1" a="1"/>
  <c r="J132" i="8" s="1"/>
  <c r="E132" i="8" s="1"/>
  <c r="F132" i="8" s="1"/>
  <c r="K132" i="8" s="1"/>
  <c r="D144" i="8"/>
  <c r="H144" i="8" s="1"/>
  <c r="I144" i="8" s="1"/>
  <c r="J144" i="8" s="1" a="1"/>
  <c r="J144" i="8" s="1"/>
  <c r="E144" i="8" s="1"/>
  <c r="F144" i="8" s="1"/>
  <c r="K144" i="8" s="1"/>
  <c r="D55" i="8"/>
  <c r="H55" i="8" s="1"/>
  <c r="I55" i="8" s="1"/>
  <c r="J55" i="8" s="1" a="1"/>
  <c r="J55" i="8" s="1"/>
  <c r="E55" i="8" s="1"/>
  <c r="F55" i="8" s="1"/>
  <c r="K55" i="8" s="1"/>
  <c r="D51" i="8"/>
  <c r="H51" i="8" s="1"/>
  <c r="I51" i="8" s="1"/>
  <c r="J51" i="8" s="1" a="1"/>
  <c r="J51" i="8" s="1"/>
  <c r="E51" i="8" s="1"/>
  <c r="F51" i="8" s="1"/>
  <c r="K51" i="8" s="1"/>
  <c r="D62" i="8"/>
  <c r="H62" i="8" s="1"/>
  <c r="I62" i="8" s="1"/>
  <c r="J62" i="8" s="1" a="1"/>
  <c r="J62" i="8" s="1"/>
  <c r="E62" i="8" s="1"/>
  <c r="F62" i="8" s="1"/>
  <c r="K62" i="8" s="1"/>
  <c r="D63" i="8"/>
  <c r="H63" i="8" s="1"/>
  <c r="I63" i="8" s="1"/>
  <c r="J63" i="8" s="1" a="1"/>
  <c r="J63" i="8" s="1"/>
  <c r="E63" i="8" s="1"/>
  <c r="F63" i="8" s="1"/>
  <c r="K63" i="8" s="1"/>
  <c r="D65" i="8"/>
  <c r="H65" i="8" s="1"/>
  <c r="I65" i="8" s="1"/>
  <c r="J65" i="8" s="1" a="1"/>
  <c r="J65" i="8" s="1"/>
  <c r="E65" i="8" s="1"/>
  <c r="F65" i="8" s="1"/>
  <c r="K65" i="8" s="1"/>
  <c r="D136" i="8"/>
  <c r="H136" i="8" s="1"/>
  <c r="I136" i="8" s="1"/>
  <c r="J136" i="8" s="1" a="1"/>
  <c r="J136" i="8" s="1"/>
  <c r="E136" i="8" s="1"/>
  <c r="F136" i="8" s="1"/>
  <c r="K136" i="8" s="1"/>
  <c r="D133" i="8"/>
  <c r="H133" i="8" s="1"/>
  <c r="I133" i="8" s="1"/>
  <c r="J133" i="8" s="1" a="1"/>
  <c r="J133" i="8" s="1"/>
  <c r="E133" i="8" s="1"/>
  <c r="F133" i="8" s="1"/>
  <c r="K133" i="8" s="1"/>
  <c r="D50" i="8"/>
  <c r="H50" i="8" s="1"/>
  <c r="I50" i="8" s="1"/>
  <c r="J50" i="8" s="1" a="1"/>
  <c r="J50" i="8" s="1"/>
  <c r="E50" i="8" s="1"/>
  <c r="F50" i="8" s="1"/>
  <c r="K50" i="8" s="1"/>
  <c r="D53" i="8"/>
  <c r="H53" i="8" s="1"/>
  <c r="I53" i="8" s="1"/>
  <c r="J53" i="8" s="1" a="1"/>
  <c r="J53" i="8" s="1"/>
  <c r="E53" i="8" s="1"/>
  <c r="F53" i="8" s="1"/>
  <c r="K53" i="8" s="1"/>
  <c r="D145" i="8"/>
  <c r="H145" i="8" s="1"/>
  <c r="I145" i="8" s="1"/>
  <c r="J145" i="8" s="1" a="1"/>
  <c r="J145" i="8" s="1"/>
  <c r="E145" i="8" s="1"/>
  <c r="F145" i="8" s="1"/>
  <c r="K145" i="8" s="1"/>
  <c r="D54" i="8"/>
  <c r="H54" i="8" s="1"/>
  <c r="I54" i="8" s="1"/>
  <c r="J54" i="8" s="1" a="1"/>
  <c r="J54" i="8" s="1"/>
  <c r="E54" i="8" s="1"/>
  <c r="F54" i="8" s="1"/>
  <c r="K54" i="8" s="1"/>
  <c r="D68" i="8"/>
  <c r="H68" i="8" s="1"/>
  <c r="I68" i="8" s="1"/>
  <c r="J68" i="8" s="1" a="1"/>
  <c r="J68" i="8" s="1"/>
  <c r="E68" i="8" s="1"/>
  <c r="F68" i="8" s="1"/>
  <c r="K68" i="8" s="1"/>
  <c r="D131" i="8"/>
  <c r="H131" i="8" s="1"/>
  <c r="I131" i="8" s="1"/>
  <c r="J131" i="8" s="1" a="1"/>
  <c r="J131" i="8" s="1"/>
  <c r="E131" i="8" s="1"/>
  <c r="F131" i="8" s="1"/>
  <c r="K131" i="8" s="1"/>
  <c r="D52" i="8"/>
  <c r="H52" i="8" s="1"/>
  <c r="I52" i="8" s="1"/>
  <c r="J52" i="8" s="1" a="1"/>
  <c r="J52" i="8" s="1"/>
  <c r="E52" i="8" s="1"/>
  <c r="F52" i="8" s="1"/>
  <c r="K52" i="8" s="1"/>
  <c r="D150" i="8"/>
  <c r="H150" i="8" s="1"/>
  <c r="I150" i="8" s="1"/>
  <c r="J150" i="8" s="1" a="1"/>
  <c r="J150" i="8" s="1"/>
  <c r="E150" i="8" s="1"/>
  <c r="F150" i="8" s="1"/>
  <c r="K150" i="8" s="1"/>
  <c r="D147" i="8"/>
  <c r="H147" i="8" s="1"/>
  <c r="I147" i="8" s="1"/>
  <c r="J147" i="8" s="1" a="1"/>
  <c r="J147" i="8" s="1"/>
  <c r="E147" i="8" s="1"/>
  <c r="F147" i="8" s="1"/>
  <c r="K147" i="8" s="1"/>
  <c r="D49" i="8"/>
  <c r="H49" i="8" s="1"/>
  <c r="I49" i="8" s="1"/>
  <c r="J49" i="8" s="1" a="1"/>
  <c r="J49" i="8" s="1"/>
  <c r="E49" i="8" s="1"/>
  <c r="F49" i="8" s="1"/>
  <c r="K49" i="8" s="1"/>
  <c r="D146" i="8"/>
  <c r="H146" i="8" s="1"/>
  <c r="I146" i="8" s="1"/>
  <c r="J146" i="8" s="1" a="1"/>
  <c r="J146" i="8" s="1"/>
  <c r="E146" i="8" s="1"/>
  <c r="F146" i="8" s="1"/>
  <c r="K146" i="8" s="1"/>
  <c r="D141" i="8"/>
  <c r="H141" i="8" s="1"/>
  <c r="I141" i="8" s="1"/>
  <c r="J141" i="8" s="1" a="1"/>
  <c r="J141" i="8" s="1"/>
  <c r="E141" i="8" s="1"/>
  <c r="F141" i="8" s="1"/>
  <c r="K141" i="8" s="1"/>
  <c r="D134" i="8"/>
  <c r="H134" i="8" s="1"/>
  <c r="I134" i="8" s="1"/>
  <c r="J134" i="8" s="1" a="1"/>
  <c r="J134" i="8" s="1"/>
  <c r="E134" i="8" s="1"/>
  <c r="F134" i="8" s="1"/>
  <c r="K134" i="8" s="1"/>
  <c r="D149" i="8"/>
  <c r="H149" i="8" s="1"/>
  <c r="I149" i="8" s="1"/>
  <c r="J149" i="8" s="1" a="1"/>
  <c r="J149" i="8" s="1"/>
  <c r="E149" i="8" s="1"/>
  <c r="F149" i="8" s="1"/>
  <c r="K149" i="8" s="1"/>
  <c r="D135" i="8"/>
  <c r="H135" i="8" s="1"/>
  <c r="I135" i="8" s="1"/>
  <c r="J135" i="8" s="1" a="1"/>
  <c r="J135" i="8" s="1"/>
  <c r="E135" i="8" s="1"/>
  <c r="F135" i="8" s="1"/>
  <c r="K135" i="8" s="1"/>
  <c r="D137" i="8"/>
  <c r="H137" i="8" s="1"/>
  <c r="I137" i="8" s="1"/>
  <c r="J137" i="8" s="1" a="1"/>
  <c r="J137" i="8" s="1"/>
  <c r="E137" i="8" s="1"/>
  <c r="F137" i="8" s="1"/>
  <c r="K137" i="8" s="1"/>
  <c r="D148" i="8"/>
  <c r="H148" i="8" s="1"/>
  <c r="I148" i="8" s="1"/>
  <c r="J148" i="8" s="1" a="1"/>
  <c r="J148" i="8" s="1"/>
  <c r="E148" i="8" s="1"/>
  <c r="F148" i="8" s="1"/>
  <c r="K148" i="8" s="1"/>
  <c r="D59" i="8"/>
  <c r="H59" i="8" s="1"/>
  <c r="I59" i="8" s="1"/>
  <c r="J59" i="8" s="1" a="1"/>
  <c r="J59" i="8" s="1"/>
  <c r="E59" i="8" s="1"/>
  <c r="F59" i="8" s="1"/>
  <c r="K59" i="8" s="1"/>
  <c r="D143" i="8"/>
  <c r="H143" i="8" s="1"/>
  <c r="I143" i="8" s="1"/>
  <c r="J143" i="8" s="1" a="1"/>
  <c r="J143" i="8" s="1"/>
  <c r="E143" i="8" s="1"/>
  <c r="F143" i="8" s="1"/>
  <c r="K143" i="8" s="1"/>
  <c r="E158" i="8"/>
  <c r="D140" i="8"/>
  <c r="H140" i="8" s="1"/>
  <c r="I140" i="8" s="1"/>
  <c r="J140" i="8" s="1" a="1"/>
  <c r="J140" i="8" s="1"/>
  <c r="E140" i="8" s="1"/>
  <c r="F140" i="8" s="1"/>
  <c r="K140" i="8" s="1"/>
  <c r="D56" i="8"/>
  <c r="H56" i="8" s="1"/>
  <c r="I56" i="8" s="1"/>
  <c r="J56" i="8" s="1" a="1"/>
  <c r="J56" i="8" s="1"/>
  <c r="E56" i="8" s="1"/>
  <c r="F56" i="8" s="1"/>
  <c r="K56" i="8" s="1"/>
  <c r="D142" i="8"/>
  <c r="H142" i="8" s="1"/>
  <c r="I142" i="8" s="1"/>
  <c r="J142" i="8" s="1" a="1"/>
  <c r="J142" i="8" s="1"/>
  <c r="E142" i="8" s="1"/>
  <c r="F142" i="8" s="1"/>
  <c r="K142" i="8" s="1"/>
  <c r="D138" i="8"/>
  <c r="H138" i="8" s="1"/>
  <c r="I138" i="8" s="1"/>
  <c r="J138" i="8" s="1" a="1"/>
  <c r="J138" i="8" s="1"/>
  <c r="E138" i="8" s="1"/>
  <c r="F138" i="8" s="1"/>
  <c r="K138" i="8" s="1"/>
  <c r="D67" i="8"/>
  <c r="H67" i="8" s="1"/>
  <c r="I67" i="8" s="1"/>
  <c r="J67" i="8" s="1" a="1"/>
  <c r="J67" i="8" s="1"/>
  <c r="E67" i="8" s="1"/>
  <c r="F67" i="8" s="1"/>
  <c r="K67" i="8" s="1"/>
  <c r="D64" i="8"/>
  <c r="H64" i="8" s="1"/>
  <c r="I64" i="8" s="1"/>
  <c r="J64" i="8" s="1" a="1"/>
  <c r="J64" i="8" s="1"/>
  <c r="E64" i="8" s="1"/>
  <c r="F64" i="8" s="1"/>
  <c r="K64" i="8" s="1"/>
  <c r="D58" i="8"/>
  <c r="H58" i="8" s="1"/>
  <c r="I58" i="8" s="1"/>
  <c r="J58" i="8" s="1" a="1"/>
  <c r="J58" i="8" s="1"/>
  <c r="E58" i="8" s="1"/>
  <c r="F58" i="8" s="1"/>
  <c r="K58" i="8" s="1"/>
  <c r="D60" i="8"/>
  <c r="H60" i="8" s="1"/>
  <c r="I60" i="8" s="1"/>
  <c r="J60" i="8" s="1" a="1"/>
  <c r="J60" i="8" s="1"/>
  <c r="E60" i="8" s="1"/>
  <c r="F60" i="8" s="1"/>
  <c r="K60" i="8" s="1"/>
  <c r="D57" i="8"/>
  <c r="H57" i="8" s="1"/>
  <c r="I57" i="8" s="1"/>
  <c r="J57" i="8" s="1" a="1"/>
  <c r="J57" i="8" s="1"/>
  <c r="E57" i="8" s="1"/>
  <c r="F57" i="8" s="1"/>
  <c r="K57" i="8" s="1"/>
  <c r="E76" i="8"/>
  <c r="D61" i="8"/>
  <c r="H61" i="8" s="1"/>
  <c r="I61" i="8" s="1"/>
  <c r="J61" i="8" s="1" a="1"/>
  <c r="J61" i="8" s="1"/>
  <c r="E61" i="8" s="1"/>
  <c r="F61" i="8" s="1"/>
  <c r="K61" i="8" s="1"/>
  <c r="D96" i="8"/>
  <c r="H96" i="8" s="1"/>
  <c r="I96" i="8" s="1"/>
  <c r="J96" i="8" s="1" a="1"/>
  <c r="J96" i="8" s="1"/>
  <c r="E96" i="8" s="1"/>
  <c r="F96" i="8" s="1"/>
  <c r="K96" i="8" s="1"/>
  <c r="D107" i="8"/>
  <c r="H107" i="8" s="1"/>
  <c r="I107" i="8" s="1"/>
  <c r="J107" i="8" s="1" a="1"/>
  <c r="J107" i="8" s="1"/>
  <c r="E107" i="8" s="1"/>
  <c r="F107" i="8" s="1"/>
  <c r="K107" i="8" s="1"/>
  <c r="D99" i="8"/>
  <c r="H99" i="8" s="1"/>
  <c r="I99" i="8" s="1"/>
  <c r="J99" i="8" s="1" a="1"/>
  <c r="J99" i="8" s="1"/>
  <c r="E99" i="8" s="1"/>
  <c r="F99" i="8" s="1"/>
  <c r="K99" i="8" s="1"/>
  <c r="D92" i="8"/>
  <c r="H92" i="8" s="1"/>
  <c r="I92" i="8" s="1"/>
  <c r="J92" i="8" s="1" a="1"/>
  <c r="J92" i="8" s="1"/>
  <c r="E92" i="8" s="1"/>
  <c r="F92" i="8" s="1"/>
  <c r="K92" i="8" s="1"/>
  <c r="D104" i="8"/>
  <c r="H104" i="8" s="1"/>
  <c r="I104" i="8" s="1"/>
  <c r="J104" i="8" s="1" a="1"/>
  <c r="J104" i="8" s="1"/>
  <c r="E104" i="8" s="1"/>
  <c r="F104" i="8" s="1"/>
  <c r="K104" i="8" s="1"/>
  <c r="E118" i="8"/>
  <c r="D91" i="8"/>
  <c r="H91" i="8" s="1"/>
  <c r="I91" i="8" s="1"/>
  <c r="J91" i="8" s="1" a="1"/>
  <c r="J91" i="8" s="1"/>
  <c r="E91" i="8" s="1"/>
  <c r="F91" i="8" s="1"/>
  <c r="K91" i="8" s="1"/>
  <c r="D98" i="8"/>
  <c r="H98" i="8" s="1"/>
  <c r="I98" i="8" s="1"/>
  <c r="J98" i="8" s="1" a="1"/>
  <c r="J98" i="8" s="1"/>
  <c r="E98" i="8" s="1"/>
  <c r="F98" i="8" s="1"/>
  <c r="K98" i="8" s="1"/>
  <c r="D108" i="8"/>
  <c r="H108" i="8" s="1"/>
  <c r="I108" i="8" s="1"/>
  <c r="J108" i="8" s="1" a="1"/>
  <c r="J108" i="8" s="1"/>
  <c r="E108" i="8" s="1"/>
  <c r="F108" i="8" s="1"/>
  <c r="K108" i="8" s="1"/>
  <c r="D101" i="8"/>
  <c r="H101" i="8" s="1"/>
  <c r="I101" i="8" s="1"/>
  <c r="J101" i="8" s="1" a="1"/>
  <c r="J101" i="8" s="1"/>
  <c r="E101" i="8" s="1"/>
  <c r="F101" i="8" s="1"/>
  <c r="K101" i="8" s="1"/>
  <c r="D102" i="8"/>
  <c r="H102" i="8" s="1"/>
  <c r="I102" i="8" s="1"/>
  <c r="J102" i="8" s="1" a="1"/>
  <c r="J102" i="8" s="1"/>
  <c r="E102" i="8" s="1"/>
  <c r="F102" i="8" s="1"/>
  <c r="K102" i="8" s="1"/>
  <c r="D97" i="8"/>
  <c r="H97" i="8" s="1"/>
  <c r="I97" i="8" s="1"/>
  <c r="J97" i="8" s="1" a="1"/>
  <c r="J97" i="8" s="1"/>
  <c r="E97" i="8" s="1"/>
  <c r="F97" i="8" s="1"/>
  <c r="K97" i="8" s="1"/>
  <c r="D103" i="8"/>
  <c r="H103" i="8" s="1"/>
  <c r="I103" i="8" s="1"/>
  <c r="J103" i="8" s="1" a="1"/>
  <c r="J103" i="8" s="1"/>
  <c r="E103" i="8" s="1"/>
  <c r="F103" i="8" s="1"/>
  <c r="K103" i="8" s="1"/>
  <c r="D94" i="8"/>
  <c r="H94" i="8" s="1"/>
  <c r="I94" i="8" s="1"/>
  <c r="J94" i="8" s="1" a="1"/>
  <c r="J94" i="8" s="1"/>
  <c r="E94" i="8" s="1"/>
  <c r="F94" i="8" s="1"/>
  <c r="K94" i="8" s="1"/>
  <c r="D95" i="8"/>
  <c r="H95" i="8" s="1"/>
  <c r="I95" i="8" s="1"/>
  <c r="J95" i="8" s="1" a="1"/>
  <c r="J95" i="8" s="1"/>
  <c r="E95" i="8" s="1"/>
  <c r="F95" i="8" s="1"/>
  <c r="K95" i="8" s="1"/>
  <c r="D106" i="8"/>
  <c r="H106" i="8" s="1"/>
  <c r="I106" i="8" s="1"/>
  <c r="J106" i="8" s="1" a="1"/>
  <c r="J106" i="8" s="1"/>
  <c r="E106" i="8" s="1"/>
  <c r="F106" i="8" s="1"/>
  <c r="K106" i="8" s="1"/>
  <c r="D93" i="8"/>
  <c r="H93" i="8" s="1"/>
  <c r="I93" i="8" s="1"/>
  <c r="J93" i="8" s="1" a="1"/>
  <c r="J93" i="8" s="1"/>
  <c r="E93" i="8" s="1"/>
  <c r="F93" i="8" s="1"/>
  <c r="K93" i="8" s="1"/>
  <c r="D105" i="8"/>
  <c r="H105" i="8" s="1"/>
  <c r="I105" i="8" s="1"/>
  <c r="J105" i="8" s="1" a="1"/>
  <c r="J105" i="8" s="1"/>
  <c r="E105" i="8" s="1"/>
  <c r="F105" i="8" s="1"/>
  <c r="K105" i="8" s="1"/>
  <c r="D110" i="8"/>
  <c r="H110" i="8" s="1"/>
  <c r="I110" i="8" s="1"/>
  <c r="J110" i="8" s="1" a="1"/>
  <c r="J110" i="8" s="1"/>
  <c r="E110" i="8" s="1"/>
  <c r="F110" i="8" s="1"/>
  <c r="K110" i="8" s="1"/>
  <c r="D100" i="8"/>
  <c r="H100" i="8" s="1"/>
  <c r="I100" i="8" s="1"/>
  <c r="J100" i="8" s="1" a="1"/>
  <c r="J100" i="8" s="1"/>
  <c r="E100" i="8" s="1"/>
  <c r="F100" i="8" s="1"/>
  <c r="K100" i="8" s="1"/>
  <c r="D109" i="8"/>
  <c r="H109" i="8" s="1"/>
  <c r="I109" i="8" s="1"/>
  <c r="J109" i="8" s="1" a="1"/>
  <c r="J109" i="8" s="1"/>
  <c r="E109" i="8" s="1"/>
  <c r="F109" i="8" s="1"/>
  <c r="K109" i="8" s="1"/>
  <c r="E4" i="6"/>
  <c r="E9" i="6" s="1"/>
  <c r="E4" i="1" s="1"/>
  <c r="D4" i="6"/>
  <c r="D9" i="6" s="1"/>
  <c r="D4" i="1" s="1"/>
  <c r="C3" i="6"/>
  <c r="C4" i="6" s="1"/>
  <c r="C9" i="6" s="1"/>
  <c r="J13" i="12" l="1"/>
  <c r="L13" i="12" s="1"/>
  <c r="B101" i="6"/>
  <c r="I110" i="13"/>
  <c r="J110" i="13" s="1"/>
  <c r="I76" i="13"/>
  <c r="J76" i="13" s="1"/>
  <c r="H75" i="13" s="1"/>
  <c r="F151" i="8"/>
  <c r="K151" i="8"/>
  <c r="E159" i="8" s="1"/>
  <c r="K69" i="8"/>
  <c r="E77" i="8" s="1"/>
  <c r="F69" i="8"/>
  <c r="K111" i="8"/>
  <c r="E119" i="8" s="1"/>
  <c r="F111" i="8"/>
  <c r="C4" i="1"/>
  <c r="E121" i="8" l="1"/>
  <c r="E160" i="8"/>
  <c r="E161" i="8"/>
  <c r="E78" i="8"/>
  <c r="E79" i="8"/>
  <c r="K13" i="12"/>
  <c r="I111" i="13"/>
  <c r="J111" i="13" s="1"/>
  <c r="I77" i="13"/>
  <c r="J77" i="13" s="1"/>
  <c r="H76" i="13" s="1"/>
  <c r="E120" i="8"/>
  <c r="G4" i="1"/>
  <c r="G7" i="1" s="1"/>
  <c r="Q4" i="1"/>
  <c r="I112" i="13" l="1"/>
  <c r="J112" i="13" s="1"/>
  <c r="I78" i="13"/>
  <c r="Q6" i="1"/>
  <c r="G8" i="1"/>
  <c r="J78" i="13" l="1"/>
  <c r="H77" i="13" s="1"/>
  <c r="Q7" i="1"/>
  <c r="L8" i="1"/>
  <c r="L13" i="1"/>
  <c r="Q14" i="1" l="1"/>
  <c r="L15" i="1"/>
  <c r="L9" i="1"/>
  <c r="Q10" i="1"/>
  <c r="Q12" i="1" l="1"/>
  <c r="Q15" i="1"/>
  <c r="I17" i="1"/>
  <c r="E27" i="13" l="1"/>
  <c r="E29" i="13" s="1"/>
  <c r="D10" i="12" s="1"/>
  <c r="E61" i="13" l="1"/>
  <c r="E63" i="13" s="1"/>
  <c r="D11" i="12" s="1"/>
  <c r="F11" i="12" s="1"/>
  <c r="M27" i="13"/>
  <c r="H27" i="13"/>
  <c r="M28" i="13"/>
  <c r="I11" i="12" l="1"/>
  <c r="H11" i="12"/>
  <c r="F10" i="12"/>
  <c r="M61" i="13"/>
  <c r="H61" i="13"/>
  <c r="M62" i="13"/>
  <c r="I5" i="13"/>
  <c r="H28" i="13"/>
  <c r="K4" i="13" s="1"/>
  <c r="J11" i="12" l="1"/>
  <c r="I10" i="12"/>
  <c r="I14" i="12" s="1"/>
  <c r="H10" i="12"/>
  <c r="H14" i="12" s="1"/>
  <c r="H62" i="13"/>
  <c r="K38" i="13" s="1"/>
  <c r="I39" i="13"/>
  <c r="G5" i="13"/>
  <c r="I6" i="13"/>
  <c r="K11" i="12" l="1"/>
  <c r="L11" i="12"/>
  <c r="G20" i="12"/>
  <c r="H15" i="12"/>
  <c r="H16" i="12"/>
  <c r="J10" i="12"/>
  <c r="J14" i="12" s="1"/>
  <c r="G26" i="12"/>
  <c r="I15" i="12"/>
  <c r="G24" i="12" s="1"/>
  <c r="I16" i="12"/>
  <c r="G23" i="12"/>
  <c r="J6" i="13"/>
  <c r="H5" i="13" s="1"/>
  <c r="F5" i="13" s="1"/>
  <c r="H107" i="13"/>
  <c r="H73" i="13"/>
  <c r="F73" i="13" s="1"/>
  <c r="G39" i="13"/>
  <c r="I40" i="13"/>
  <c r="J40" i="13" s="1"/>
  <c r="H39" i="13" s="1"/>
  <c r="G6" i="13"/>
  <c r="I7" i="13"/>
  <c r="J7" i="13" s="1"/>
  <c r="F43" i="12" l="1"/>
  <c r="E41" i="12"/>
  <c r="E35" i="12"/>
  <c r="G22" i="12"/>
  <c r="K10" i="12"/>
  <c r="K15" i="12" s="1"/>
  <c r="L10" i="12"/>
  <c r="G21" i="12"/>
  <c r="E37" i="12"/>
  <c r="E39" i="12" s="1"/>
  <c r="G27" i="12"/>
  <c r="F41" i="12" s="1"/>
  <c r="G28" i="12"/>
  <c r="G25" i="12"/>
  <c r="L16" i="12"/>
  <c r="H6" i="13"/>
  <c r="F6" i="13" s="1"/>
  <c r="E6" i="13" s="1"/>
  <c r="H108" i="13"/>
  <c r="F108" i="13" s="1"/>
  <c r="E108" i="13" s="1"/>
  <c r="F107" i="13"/>
  <c r="H74" i="13"/>
  <c r="E73" i="13"/>
  <c r="F39" i="13"/>
  <c r="I41" i="13"/>
  <c r="J41" i="13" s="1"/>
  <c r="H40" i="13" s="1"/>
  <c r="G40" i="13"/>
  <c r="I8" i="13"/>
  <c r="G7" i="13"/>
  <c r="E5" i="13"/>
  <c r="G41" i="12" l="1"/>
  <c r="F45" i="12"/>
  <c r="G35" i="12"/>
  <c r="G37" i="12"/>
  <c r="G39" i="12" s="1"/>
  <c r="F47" i="12"/>
  <c r="F35" i="12"/>
  <c r="F49" i="12" s="1"/>
  <c r="F37" i="12"/>
  <c r="F39" i="12" s="1"/>
  <c r="H109" i="13"/>
  <c r="E107" i="13"/>
  <c r="F74" i="13"/>
  <c r="E74" i="13" s="1"/>
  <c r="F40" i="13"/>
  <c r="E40" i="13" s="1"/>
  <c r="I42" i="13"/>
  <c r="G41" i="13"/>
  <c r="E39" i="13"/>
  <c r="I9" i="13"/>
  <c r="G8" i="13"/>
  <c r="J8" i="13"/>
  <c r="H7" i="13" s="1"/>
  <c r="F109" i="13" l="1"/>
  <c r="E109" i="13" s="1"/>
  <c r="H110" i="13"/>
  <c r="F75" i="13"/>
  <c r="E75" i="13" s="1"/>
  <c r="I43" i="13"/>
  <c r="J43" i="13" s="1"/>
  <c r="G42" i="13"/>
  <c r="J42" i="13"/>
  <c r="H41" i="13" s="1"/>
  <c r="I10" i="13"/>
  <c r="J10" i="13" s="1"/>
  <c r="G9" i="13"/>
  <c r="J9" i="13"/>
  <c r="H8" i="13" s="1"/>
  <c r="F8" i="13" s="1"/>
  <c r="E8" i="13" s="1"/>
  <c r="F7" i="13"/>
  <c r="F110" i="13" l="1"/>
  <c r="F76" i="13"/>
  <c r="E76" i="13" s="1"/>
  <c r="H42" i="13"/>
  <c r="F42" i="13" s="1"/>
  <c r="E42" i="13" s="1"/>
  <c r="G43" i="13"/>
  <c r="I44" i="13"/>
  <c r="J44" i="13" s="1"/>
  <c r="H43" i="13" s="1"/>
  <c r="F41" i="13"/>
  <c r="H9" i="13"/>
  <c r="F9" i="13" s="1"/>
  <c r="E9" i="13" s="1"/>
  <c r="E7" i="13"/>
  <c r="G10" i="13"/>
  <c r="I11" i="13"/>
  <c r="J11" i="13" s="1"/>
  <c r="H10" i="13" s="1"/>
  <c r="H111" i="13" l="1"/>
  <c r="F111" i="13" s="1"/>
  <c r="E111" i="13" s="1"/>
  <c r="E110" i="13"/>
  <c r="F77" i="13"/>
  <c r="E77" i="13" s="1"/>
  <c r="F43" i="13"/>
  <c r="E43" i="13" s="1"/>
  <c r="E41" i="13"/>
  <c r="F10" i="13"/>
  <c r="E10" i="13" l="1"/>
  <c r="O76" i="13"/>
  <c r="O73" i="13"/>
  <c r="F78" i="13"/>
  <c r="O110" i="13"/>
  <c r="O107" i="13"/>
  <c r="F112" i="13"/>
  <c r="H112" i="13"/>
  <c r="H78" i="13"/>
  <c r="H11" i="13"/>
  <c r="N115" i="13"/>
  <c r="O113" i="13"/>
  <c r="O111" i="13"/>
  <c r="O108" i="13"/>
  <c r="E112" i="13"/>
  <c r="O8" i="13"/>
  <c r="O5" i="13"/>
  <c r="F11" i="13"/>
  <c r="E44" i="13"/>
  <c r="O40" i="13"/>
  <c r="O43" i="13"/>
  <c r="O45" i="13"/>
  <c r="N47" i="13"/>
  <c r="E78" i="13"/>
  <c r="O74" i="13"/>
  <c r="O77" i="13"/>
  <c r="O79" i="13"/>
  <c r="N81" i="13"/>
  <c r="H44" i="13"/>
  <c r="F44" i="13"/>
  <c r="O39" i="13"/>
  <c r="O42" i="13"/>
  <c r="E11" i="13"/>
  <c r="O6" i="13"/>
  <c r="O9" i="13"/>
  <c r="O11" i="13"/>
  <c r="N13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<sst xmlns="http://schemas.openxmlformats.org/spreadsheetml/2006/main" count="395" uniqueCount="147">
  <si>
    <t>Horas</t>
  </si>
  <si>
    <t>Minutos</t>
  </si>
  <si>
    <t>Segundos</t>
  </si>
  <si>
    <t>T=</t>
  </si>
  <si>
    <t>=</t>
  </si>
  <si>
    <t>s</t>
  </si>
  <si>
    <t>E=</t>
  </si>
  <si>
    <t>cs</t>
  </si>
  <si>
    <t>%</t>
  </si>
  <si>
    <t>e</t>
  </si>
  <si>
    <t>DC</t>
  </si>
  <si>
    <t>Ap</t>
  </si>
  <si>
    <t>Ci</t>
  </si>
  <si>
    <t>Ti</t>
  </si>
  <si>
    <t>paros</t>
  </si>
  <si>
    <t>Tej</t>
  </si>
  <si>
    <t>∑Tob</t>
  </si>
  <si>
    <t>DIF</t>
  </si>
  <si>
    <t>A</t>
  </si>
  <si>
    <t>Tob</t>
  </si>
  <si>
    <t>Tn</t>
  </si>
  <si>
    <t>Tn^2</t>
  </si>
  <si>
    <t>N'=</t>
  </si>
  <si>
    <t>Ciclos=</t>
  </si>
  <si>
    <t>Tiempo Elemental Normal=</t>
  </si>
  <si>
    <t>(100-133)</t>
  </si>
  <si>
    <t>Aa</t>
  </si>
  <si>
    <t>Ar</t>
  </si>
  <si>
    <t>Elemento</t>
  </si>
  <si>
    <t>I</t>
  </si>
  <si>
    <t>Fatiga</t>
  </si>
  <si>
    <t>PIE</t>
  </si>
  <si>
    <t>Tedio (T)</t>
  </si>
  <si>
    <t>Total de Suplementos (%)</t>
  </si>
  <si>
    <t>Coeficiente de Fatiga</t>
  </si>
  <si>
    <t>Tiempo Tipo o Estándar</t>
  </si>
  <si>
    <t>FREC:</t>
  </si>
  <si>
    <t>Tmp</t>
  </si>
  <si>
    <t>Ttm</t>
  </si>
  <si>
    <t>Tp.N</t>
  </si>
  <si>
    <t>Tp.O</t>
  </si>
  <si>
    <t>Tipo</t>
  </si>
  <si>
    <t>TIEMPOS A RITMO DE INCENTIVO</t>
  </si>
  <si>
    <t>Tp.I</t>
  </si>
  <si>
    <t>Total Manual</t>
  </si>
  <si>
    <t>Total Máquina</t>
  </si>
  <si>
    <t>N</t>
  </si>
  <si>
    <t>θ</t>
  </si>
  <si>
    <t>Normal</t>
  </si>
  <si>
    <t>Óptimo</t>
  </si>
  <si>
    <t>Producción (Pantalón/hora)</t>
  </si>
  <si>
    <t>Saturación (%)</t>
  </si>
  <si>
    <t>Capacidad de Atención ("n" máq.)</t>
  </si>
  <si>
    <t>Eficiencia de la máquina (%)</t>
  </si>
  <si>
    <t>-</t>
  </si>
  <si>
    <t>Producción teórica  (Pt/hora)</t>
  </si>
  <si>
    <t>Rendimiento sobre la producción (%)</t>
  </si>
  <si>
    <t>Rendimiento absoluto (%)</t>
  </si>
  <si>
    <t>Rendimiento relativo
(%)</t>
  </si>
  <si>
    <t>ELEMENTO</t>
  </si>
  <si>
    <t>SÍMBOLO</t>
  </si>
  <si>
    <t>COMIENZO</t>
  </si>
  <si>
    <t>TÉRMINO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</si>
  <si>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</si>
  <si>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</si>
  <si>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</si>
  <si>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</si>
  <si>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</si>
  <si>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</si>
  <si>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</si>
  <si>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</si>
  <si>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</si>
  <si>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</si>
  <si>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</si>
  <si>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</si>
  <si>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</si>
  <si>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</si>
  <si>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</si>
  <si>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</si>
  <si>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</si>
  <si>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</si>
  <si>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</si>
  <si>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</si>
  <si>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Variable</t>
  </si>
  <si>
    <t>Resultado</t>
  </si>
  <si>
    <t>T</t>
  </si>
  <si>
    <t>E</t>
  </si>
  <si>
    <t>Paros</t>
  </si>
  <si>
    <t>Dif</t>
  </si>
  <si>
    <t>Totales</t>
  </si>
  <si>
    <t>N'</t>
  </si>
  <si>
    <t>Ta</t>
  </si>
  <si>
    <t>A calculado</t>
  </si>
  <si>
    <t>∑ (Aa - Ar)</t>
  </si>
  <si>
    <t>An</t>
  </si>
  <si>
    <t>Error Promedio</t>
  </si>
  <si>
    <t>Observaciones confiables</t>
  </si>
  <si>
    <t>Error Menor a 5% es confiable</t>
  </si>
  <si>
    <t>OPERACIÓN:</t>
  </si>
  <si>
    <t xml:space="preserve"> </t>
  </si>
  <si>
    <t>Tmp: tiempo maquina parada</t>
  </si>
  <si>
    <t>cs: centesima de segundo = segundos*100</t>
  </si>
  <si>
    <t>Ttm: tiempo tecnomanual</t>
  </si>
  <si>
    <t>Tiempo Elemental
(cs)</t>
  </si>
  <si>
    <t>TIEMPOS NORMALES</t>
  </si>
  <si>
    <t>TIEMPOS ÓPTIMOS</t>
  </si>
  <si>
    <t>Tiempo de Ciclo (Ci)</t>
  </si>
  <si>
    <t>.</t>
  </si>
  <si>
    <t>fxd^2</t>
  </si>
  <si>
    <t>fxd</t>
  </si>
  <si>
    <t>d</t>
  </si>
  <si>
    <t>f</t>
  </si>
  <si>
    <t>h=</t>
  </si>
  <si>
    <t>m1=</t>
  </si>
  <si>
    <t>m2=</t>
  </si>
  <si>
    <t>t.medio=</t>
  </si>
  <si>
    <t>v=</t>
  </si>
  <si>
    <t>CV=</t>
  </si>
  <si>
    <t>MIN</t>
  </si>
  <si>
    <t>MAX</t>
  </si>
  <si>
    <t>P</t>
  </si>
  <si>
    <t>Posiciona prenda</t>
  </si>
  <si>
    <t>Agarrar prenda</t>
  </si>
  <si>
    <t>Posiciona debajo de prensatela</t>
  </si>
  <si>
    <t>Basta de mangas</t>
  </si>
  <si>
    <t>M</t>
  </si>
  <si>
    <t>Volver a posicionar prenda</t>
  </si>
  <si>
    <t>V</t>
  </si>
  <si>
    <t>Basta de faldon</t>
  </si>
  <si>
    <t>F</t>
  </si>
  <si>
    <t>Basta de mangas y faldon</t>
  </si>
  <si>
    <t>TIPO</t>
  </si>
  <si>
    <t>II</t>
  </si>
  <si>
    <t>IIIIIII</t>
  </si>
  <si>
    <t>IIII</t>
  </si>
  <si>
    <t>IIIIIIII</t>
  </si>
  <si>
    <t>III</t>
  </si>
  <si>
    <t>IIIIII</t>
  </si>
  <si>
    <t>N° de Elementos en Operación Abrir Rollo de Tela</t>
  </si>
  <si>
    <t>Observaciones</t>
  </si>
  <si>
    <t>NP</t>
  </si>
  <si>
    <t>CA</t>
  </si>
  <si>
    <t>CI</t>
  </si>
  <si>
    <t>R</t>
  </si>
  <si>
    <t>TM</t>
  </si>
  <si>
    <t>Ritmo</t>
  </si>
  <si>
    <t>Incentivo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</si>
</sst>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#\ ???/???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77FF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99FF33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5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6" xfId="0" applyBorder="1" applyAlignment="1">
      <alignment horizontal="right"/>
    </xf>
    <xf numFmtId="0" fontId="0" fillId="0" borderId="8" xfId="0" applyBorder="1"/>
    <xf numFmtId="2" fontId="0" fillId="0" borderId="8" xfId="0" applyNumberFormat="1" applyBorder="1"/>
    <xf numFmtId="0" fontId="1" fillId="0" borderId="6" xfId="0" applyFont="1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Alignment="1">
      <alignment horizontal="center"/>
    </xf>
    <xf numFmtId="0" fontId="0" fillId="0" borderId="1" xfId="0" applyBorder="1" applyAlignment="1">
      <alignment horizontal="right"/>
    </xf>
    <xf numFmtId="0" fontId="0" fillId="0" borderId="0" xfId="0" applyAlignment="1">
      <alignment horizontal="center" vertical="center"/>
    </xf>
    <xf numFmtId="0" fontId="0" fillId="0" borderId="10" xfId="0" applyBorder="1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right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right" vertical="center"/>
    </xf>
    <xf numFmtId="1" fontId="0" fillId="0" borderId="0" xfId="0" applyNumberFormat="1" applyAlignment="1">
      <alignment horizontal="right" vertical="center"/>
    </xf>
    <xf numFmtId="2" fontId="0" fillId="0" borderId="0" xfId="0" applyNumberFormat="1" applyAlignment="1">
      <alignment horizontal="right"/>
    </xf>
    <xf numFmtId="0" fontId="0" fillId="0" borderId="0" xfId="0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0" xfId="0" applyFill="1"/>
    <xf numFmtId="0" fontId="5" fillId="3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10" fontId="5" fillId="0" borderId="11" xfId="0" applyNumberFormat="1" applyFont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2" fontId="5" fillId="2" borderId="0" xfId="0" applyNumberFormat="1" applyFont="1" applyFill="1" applyAlignment="1">
      <alignment horizontal="center" vertical="center"/>
    </xf>
    <xf numFmtId="1" fontId="5" fillId="2" borderId="0" xfId="0" applyNumberFormat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1" fontId="5" fillId="2" borderId="18" xfId="0" applyNumberFormat="1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164" fontId="5" fillId="2" borderId="1" xfId="0" applyNumberFormat="1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5" fillId="0" borderId="17" xfId="0" applyFont="1" applyBorder="1" applyAlignment="1">
      <alignment horizontal="center" vertical="center" wrapText="1"/>
    </xf>
    <xf numFmtId="10" fontId="5" fillId="0" borderId="9" xfId="0" applyNumberFormat="1" applyFont="1" applyBorder="1" applyAlignment="1">
      <alignment horizontal="center" vertical="center" wrapText="1"/>
    </xf>
    <xf numFmtId="39" fontId="5" fillId="0" borderId="16" xfId="0" applyNumberFormat="1" applyFont="1" applyBorder="1" applyAlignment="1">
      <alignment horizontal="center" vertical="center" wrapText="1"/>
    </xf>
    <xf numFmtId="10" fontId="5" fillId="0" borderId="0" xfId="0" applyNumberFormat="1" applyFont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10" fontId="5" fillId="0" borderId="10" xfId="0" applyNumberFormat="1" applyFont="1" applyBorder="1" applyAlignment="1">
      <alignment horizontal="center" vertical="center" wrapText="1"/>
    </xf>
    <xf numFmtId="39" fontId="5" fillId="0" borderId="5" xfId="0" applyNumberFormat="1" applyFont="1" applyBorder="1" applyAlignment="1">
      <alignment horizontal="center" vertical="center" wrapText="1"/>
    </xf>
    <xf numFmtId="10" fontId="5" fillId="0" borderId="19" xfId="0" applyNumberFormat="1" applyFont="1" applyBorder="1" applyAlignment="1">
      <alignment horizontal="center" vertical="center" wrapText="1"/>
    </xf>
    <xf numFmtId="10" fontId="5" fillId="0" borderId="18" xfId="0" applyNumberFormat="1" applyFont="1" applyBorder="1" applyAlignment="1">
      <alignment horizontal="center" vertical="center" wrapText="1"/>
    </xf>
    <xf numFmtId="10" fontId="5" fillId="0" borderId="11" xfId="0" applyNumberFormat="1" applyFont="1" applyBorder="1" applyAlignment="1">
      <alignment horizontal="center" vertical="center" wrapText="1"/>
    </xf>
    <xf numFmtId="9" fontId="5" fillId="0" borderId="18" xfId="0" applyNumberFormat="1" applyFont="1" applyBorder="1" applyAlignment="1">
      <alignment horizontal="center" vertical="center" wrapText="1"/>
    </xf>
    <xf numFmtId="9" fontId="5" fillId="0" borderId="11" xfId="0" applyNumberFormat="1" applyFont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0" fontId="5" fillId="5" borderId="19" xfId="0" applyFont="1" applyFill="1" applyBorder="1" applyAlignment="1">
      <alignment horizontal="center" vertical="center" wrapText="1"/>
    </xf>
    <xf numFmtId="0" fontId="5" fillId="5" borderId="9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5" borderId="7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2" fontId="5" fillId="2" borderId="16" xfId="0" applyNumberFormat="1" applyFont="1" applyFill="1" applyBorder="1" applyAlignment="1">
      <alignment horizontal="center" vertical="center" wrapText="1"/>
    </xf>
    <xf numFmtId="2" fontId="5" fillId="2" borderId="3" xfId="0" applyNumberFormat="1" applyFont="1" applyFill="1" applyBorder="1" applyAlignment="1">
      <alignment horizontal="center" vertical="center" wrapText="1"/>
    </xf>
    <xf numFmtId="2" fontId="5" fillId="2" borderId="7" xfId="0" applyNumberFormat="1" applyFont="1" applyFill="1" applyBorder="1" applyAlignment="1">
      <alignment horizontal="center" vertical="center" wrapText="1"/>
    </xf>
    <xf numFmtId="39" fontId="5" fillId="2" borderId="18" xfId="0" applyNumberFormat="1" applyFont="1" applyFill="1" applyBorder="1" applyAlignment="1">
      <alignment horizontal="center" vertical="center" wrapText="1"/>
    </xf>
    <xf numFmtId="39" fontId="5" fillId="2" borderId="11" xfId="0" applyNumberFormat="1" applyFont="1" applyFill="1" applyBorder="1" applyAlignment="1">
      <alignment horizontal="center" vertical="center" wrapText="1"/>
    </xf>
    <xf numFmtId="165" fontId="5" fillId="2" borderId="19" xfId="0" quotePrefix="1" applyNumberFormat="1" applyFont="1" applyFill="1" applyBorder="1" applyAlignment="1">
      <alignment horizontal="center" vertical="center" wrapText="1"/>
    </xf>
    <xf numFmtId="165" fontId="5" fillId="2" borderId="18" xfId="0" quotePrefix="1" applyNumberFormat="1" applyFont="1" applyFill="1" applyBorder="1" applyAlignment="1">
      <alignment horizontal="center" vertical="center" wrapText="1"/>
    </xf>
    <xf numFmtId="165" fontId="5" fillId="2" borderId="11" xfId="0" quotePrefix="1" applyNumberFormat="1" applyFont="1" applyFill="1" applyBorder="1" applyAlignment="1">
      <alignment horizontal="center" vertical="center" wrapText="1"/>
    </xf>
    <xf numFmtId="2" fontId="5" fillId="2" borderId="19" xfId="0" applyNumberFormat="1" applyFont="1" applyFill="1" applyBorder="1" applyAlignment="1">
      <alignment horizontal="center" vertical="center" wrapText="1"/>
    </xf>
    <xf numFmtId="2" fontId="5" fillId="2" borderId="18" xfId="0" applyNumberFormat="1" applyFont="1" applyFill="1" applyBorder="1" applyAlignment="1">
      <alignment horizontal="center" vertical="center" wrapText="1"/>
    </xf>
    <xf numFmtId="2" fontId="5" fillId="2" borderId="1" xfId="0" applyNumberFormat="1" applyFont="1" applyFill="1" applyBorder="1" applyAlignment="1">
      <alignment horizontal="center" vertical="center" wrapText="1"/>
    </xf>
    <xf numFmtId="2" fontId="5" fillId="2" borderId="19" xfId="0" applyNumberFormat="1" applyFont="1" applyFill="1" applyBorder="1" applyAlignment="1">
      <alignment horizontal="center" vertical="center"/>
    </xf>
    <xf numFmtId="2" fontId="5" fillId="2" borderId="18" xfId="0" applyNumberFormat="1" applyFont="1" applyFill="1" applyBorder="1" applyAlignment="1">
      <alignment horizontal="center" vertical="center"/>
    </xf>
    <xf numFmtId="2" fontId="5" fillId="2" borderId="11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3" borderId="16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5" borderId="19" xfId="0" applyFont="1" applyFill="1" applyBorder="1" applyAlignment="1">
      <alignment horizontal="center" vertical="center" wrapText="1"/>
    </xf>
    <xf numFmtId="0" fontId="5" fillId="5" borderId="11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5" fillId="5" borderId="9" xfId="0" applyFont="1" applyFill="1" applyBorder="1" applyAlignment="1">
      <alignment horizontal="center" vertical="center" wrapText="1"/>
    </xf>
    <xf numFmtId="0" fontId="5" fillId="5" borderId="10" xfId="0" applyFont="1" applyFill="1" applyBorder="1" applyAlignment="1">
      <alignment horizontal="center" vertical="center" wrapText="1"/>
    </xf>
    <xf numFmtId="0" fontId="5" fillId="5" borderId="8" xfId="0" applyFont="1" applyFill="1" applyBorder="1" applyAlignment="1">
      <alignment horizontal="center" vertical="center" wrapText="1"/>
    </xf>
    <xf numFmtId="0" fontId="5" fillId="5" borderId="18" xfId="0" applyFont="1" applyFill="1" applyBorder="1" applyAlignment="1">
      <alignment horizontal="center" vertical="center" wrapText="1"/>
    </xf>
    <xf numFmtId="49" fontId="5" fillId="2" borderId="17" xfId="0" applyNumberFormat="1" applyFont="1" applyFill="1" applyBorder="1" applyAlignment="1">
      <alignment horizontal="center" vertical="center" wrapText="1"/>
    </xf>
    <xf numFmtId="2" fontId="5" fillId="2" borderId="18" xfId="0" applyNumberFormat="1" applyFont="1" applyFill="1" applyBorder="1" applyAlignment="1">
      <alignment horizontal="center" vertical="center" wrapText="1"/>
    </xf>
    <xf numFmtId="2" fontId="5" fillId="2" borderId="16" xfId="0" applyNumberFormat="1" applyFont="1" applyFill="1" applyBorder="1" applyAlignment="1">
      <alignment horizontal="center" vertical="center" wrapText="1"/>
    </xf>
    <xf numFmtId="49" fontId="5" fillId="2" borderId="4" xfId="0" applyNumberFormat="1" applyFont="1" applyFill="1" applyBorder="1" applyAlignment="1">
      <alignment horizontal="center" vertical="center" wrapText="1"/>
    </xf>
    <xf numFmtId="2" fontId="5" fillId="2" borderId="11" xfId="0" applyNumberFormat="1" applyFont="1" applyFill="1" applyBorder="1" applyAlignment="1">
      <alignment horizontal="center" vertical="center" wrapText="1"/>
    </xf>
    <xf numFmtId="2" fontId="5" fillId="2" borderId="5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33"/>
      <color rgb="FF00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5219B-CB43-457F-A93C-47A53F6D0F7B}">
  <dimension ref="A1:K16"/>
  <sheetViews>
    <sheetView workbookViewId="0">
      <selection activeCell="F9" sqref="F9"/>
    </sheetView>
  </sheetViews>
  <sheetFormatPr baseColWidth="10" defaultRowHeight="14.4" x14ac:dyDescent="0.3"/>
  <cols>
    <col min="2" max="2" width="18.44140625" customWidth="1"/>
    <col min="4" max="5" width="19.6640625" customWidth="1"/>
    <col min="6" max="6" width="15.5546875" customWidth="1"/>
    <col min="7" max="7" width="19.88671875" customWidth="1"/>
    <col min="8" max="8" width="22.88671875" customWidth="1"/>
    <col min="20" max="20" width="23.88671875" customWidth="1"/>
    <col min="21" max="21" width="15.44140625" customWidth="1"/>
    <col min="22" max="22" width="19.6640625" customWidth="1"/>
    <col min="23" max="23" width="21.33203125" customWidth="1"/>
  </cols>
  <sheetData>
    <row r="1" spans="1:11" x14ac:dyDescent="0.3">
      <c r="C1" s="35"/>
      <c r="D1" s="35"/>
      <c r="E1" s="35"/>
      <c r="F1" s="35"/>
      <c r="G1" s="35"/>
      <c r="H1" s="35"/>
      <c r="I1" s="35"/>
      <c r="J1" s="35"/>
      <c r="K1" s="35"/>
    </row>
    <row r="2" spans="1:11" ht="15.6" x14ac:dyDescent="0.3">
      <c r="B2" s="26" t="s">
        <v>98</v>
      </c>
      <c r="C2" s="35"/>
      <c r="D2" s="36" t="s">
        <v>59</v>
      </c>
      <c r="E2" s="36" t="s">
        <v>131</v>
      </c>
      <c r="F2" s="36" t="s">
        <v>60</v>
      </c>
      <c r="G2" s="36" t="s">
        <v>61</v>
      </c>
      <c r="H2" s="36" t="s">
        <v>62</v>
      </c>
      <c r="I2" s="35"/>
      <c r="J2" s="35"/>
      <c r="K2" s="35"/>
    </row>
    <row r="3" spans="1:11" ht="31.2" customHeight="1" x14ac:dyDescent="0.3">
      <c r="B3" s="26" t="s">
        <v>130</v>
      </c>
      <c r="C3" s="35"/>
      <c r="D3" s="37" t="s">
        <v>121</v>
      </c>
      <c r="E3" s="37" t="s">
        <v>37</v>
      </c>
      <c r="F3" s="37" t="s">
        <v>120</v>
      </c>
      <c r="G3" s="37" t="s">
        <v>122</v>
      </c>
      <c r="H3" s="37" t="s">
        <v>123</v>
      </c>
      <c r="I3" s="35"/>
      <c r="J3" s="35"/>
    </row>
    <row r="4" spans="1:11" ht="31.2" customHeight="1" x14ac:dyDescent="0.3">
      <c r="A4" t="s">
        <v>99</v>
      </c>
      <c r="C4" s="35"/>
      <c r="D4" s="37" t="s">
        <v>124</v>
      </c>
      <c r="E4" s="37" t="s">
        <v>38</v>
      </c>
      <c r="F4" s="37" t="s">
        <v>125</v>
      </c>
      <c r="G4" s="37" t="s">
        <v>123</v>
      </c>
      <c r="H4" s="37" t="s">
        <v>124</v>
      </c>
      <c r="I4" s="35"/>
      <c r="J4" s="35"/>
    </row>
    <row r="5" spans="1:11" ht="31.2" customHeight="1" x14ac:dyDescent="0.3">
      <c r="C5" s="35"/>
      <c r="D5" s="37" t="s">
        <v>126</v>
      </c>
      <c r="E5" s="37" t="s">
        <v>37</v>
      </c>
      <c r="F5" s="37" t="s">
        <v>127</v>
      </c>
      <c r="G5" s="37" t="s">
        <v>124</v>
      </c>
      <c r="H5" s="37" t="s">
        <v>123</v>
      </c>
      <c r="I5" s="35"/>
      <c r="J5" s="35"/>
    </row>
    <row r="6" spans="1:11" ht="31.2" customHeight="1" x14ac:dyDescent="0.3">
      <c r="C6" s="35"/>
      <c r="D6" s="37" t="s">
        <v>128</v>
      </c>
      <c r="E6" s="37" t="s">
        <v>38</v>
      </c>
      <c r="F6" s="37" t="s">
        <v>129</v>
      </c>
      <c r="G6" s="37" t="s">
        <v>123</v>
      </c>
      <c r="H6" s="37" t="s">
        <v>128</v>
      </c>
      <c r="I6" s="35"/>
      <c r="J6" s="35"/>
    </row>
    <row r="7" spans="1:11" ht="31.2" customHeight="1" x14ac:dyDescent="0.3">
      <c r="C7" s="35"/>
      <c r="D7" s="35"/>
      <c r="E7" s="35"/>
      <c r="F7" s="35"/>
      <c r="G7" s="35"/>
      <c r="H7" s="35"/>
      <c r="I7" s="35"/>
      <c r="J7" s="35"/>
    </row>
    <row r="8" spans="1:11" ht="31.2" customHeight="1" x14ac:dyDescent="0.3">
      <c r="D8" s="27"/>
      <c r="E8" s="27"/>
      <c r="F8" s="28" t="str">
        <f t="shared" ref="F8:F10" si="0">+MID(D8,1,1)</f>
        <v/>
      </c>
      <c r="G8" s="27"/>
      <c r="H8" s="27"/>
    </row>
    <row r="9" spans="1:11" ht="31.2" customHeight="1" x14ac:dyDescent="0.3">
      <c r="D9" s="27"/>
      <c r="E9" s="27"/>
      <c r="F9" s="28" t="str">
        <f t="shared" si="0"/>
        <v/>
      </c>
      <c r="G9" s="27"/>
      <c r="H9" s="27"/>
    </row>
    <row r="10" spans="1:11" ht="31.2" customHeight="1" x14ac:dyDescent="0.3">
      <c r="D10" s="27"/>
      <c r="E10" s="27"/>
      <c r="F10" s="28" t="str">
        <f t="shared" si="0"/>
        <v/>
      </c>
      <c r="G10" s="27"/>
      <c r="H10" s="27"/>
    </row>
    <row r="11" spans="1:11" ht="31.2" customHeight="1" x14ac:dyDescent="0.3">
      <c r="D11" s="27"/>
      <c r="E11" s="27"/>
      <c r="F11" s="28" t="str">
        <f t="shared" ref="F11:F12" si="1">+MID(D11,1,1)</f>
        <v/>
      </c>
      <c r="G11" s="27"/>
      <c r="H11" s="27"/>
    </row>
    <row r="12" spans="1:11" ht="15.6" x14ac:dyDescent="0.3">
      <c r="D12" s="27"/>
      <c r="E12" s="27"/>
      <c r="F12" s="28" t="str">
        <f t="shared" si="1"/>
        <v/>
      </c>
      <c r="G12" s="27"/>
      <c r="H12" s="27"/>
    </row>
    <row r="13" spans="1:11" ht="15.6" x14ac:dyDescent="0.3">
      <c r="D13" s="27"/>
      <c r="E13" s="27"/>
      <c r="F13" s="28"/>
      <c r="G13" s="27"/>
      <c r="H13" s="27"/>
    </row>
    <row r="14" spans="1:11" ht="15.6" customHeight="1" x14ac:dyDescent="0.3">
      <c r="D14" s="27"/>
      <c r="E14" s="27"/>
      <c r="G14" s="27"/>
      <c r="H14" s="114"/>
      <c r="I14" s="114"/>
      <c r="J14" s="114"/>
    </row>
    <row r="15" spans="1:11" ht="15.6" x14ac:dyDescent="0.3">
      <c r="D15" s="27"/>
      <c r="E15" s="27"/>
      <c r="G15" s="27"/>
      <c r="H15" s="27"/>
    </row>
    <row r="16" spans="1:11" ht="15.6" x14ac:dyDescent="0.3">
      <c r="D16" s="27"/>
      <c r="E16" s="27"/>
      <c r="F16" s="28"/>
      <c r="G16" s="27"/>
      <c r="H16" s="27"/>
    </row>
  </sheetData>
  <mergeCells count="1">
    <mergeCell ref="H14:J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FDA6C-FF40-4D5D-A076-15D5CC3F7F69}">
  <dimension ref="A3:X187"/>
  <sheetViews>
    <sheetView showGridLines="0" topLeftCell="A18" workbookViewId="0">
      <pane ySplit="2" topLeftCell="A93" activePane="bottomLeft" state="frozen"/>
      <selection activeCell="A18" sqref="A18"/>
      <selection pane="bottomLeft" activeCell="K102" sqref="K102"/>
    </sheetView>
  </sheetViews>
  <sheetFormatPr baseColWidth="10" defaultRowHeight="14.4" x14ac:dyDescent="0.3"/>
  <cols>
    <col min="2" max="2" width="12.44140625" bestFit="1" customWidth="1"/>
    <col min="3" max="3" width="14.6640625" customWidth="1"/>
    <col min="5" max="5" width="13.21875" bestFit="1" customWidth="1"/>
    <col min="6" max="6" width="14.33203125" bestFit="1" customWidth="1"/>
  </cols>
  <sheetData>
    <row r="3" spans="2:15" x14ac:dyDescent="0.3">
      <c r="C3" s="1">
        <f>+C10+F125+IF(D3&gt;=60,1,0)</f>
        <v>9</v>
      </c>
      <c r="D3" s="1">
        <f>+D10+F126+IF(E3&gt;=60,1,0)</f>
        <v>53</v>
      </c>
      <c r="E3" s="25">
        <f>+E10+F127</f>
        <v>86</v>
      </c>
    </row>
    <row r="4" spans="2:15" x14ac:dyDescent="0.3">
      <c r="C4" s="23">
        <f>+C3</f>
        <v>9</v>
      </c>
      <c r="D4" s="23">
        <f>+IF(D3&gt;=60,D3-60,D3)</f>
        <v>53</v>
      </c>
      <c r="E4" s="24">
        <f>+IF(E3&gt;=60,E3-60,E3)</f>
        <v>26</v>
      </c>
      <c r="F4" s="16"/>
      <c r="G4" s="16"/>
      <c r="H4" s="16"/>
      <c r="K4" s="116" t="str">
        <f>+CONCATENATE("Elemento ",C21)</f>
        <v>Elemento P</v>
      </c>
      <c r="L4" s="117"/>
      <c r="N4" s="116" t="str">
        <f>+CONCATENATE("Elemento ",C22)</f>
        <v>Elemento M</v>
      </c>
      <c r="O4" s="117"/>
    </row>
    <row r="5" spans="2:15" x14ac:dyDescent="0.3">
      <c r="C5" s="16"/>
      <c r="D5" s="16"/>
      <c r="E5" s="22"/>
      <c r="F5" s="16"/>
      <c r="G5" s="16"/>
      <c r="H5" s="16"/>
    </row>
    <row r="6" spans="2:15" x14ac:dyDescent="0.3">
      <c r="C6" s="16"/>
      <c r="D6" s="16"/>
      <c r="E6" s="16"/>
      <c r="F6" s="16"/>
      <c r="G6" s="16"/>
      <c r="H6" s="16"/>
      <c r="K6" s="30" t="s">
        <v>18</v>
      </c>
      <c r="L6" s="30" t="s">
        <v>19</v>
      </c>
      <c r="N6" s="30" t="s">
        <v>18</v>
      </c>
      <c r="O6" s="30" t="s">
        <v>19</v>
      </c>
    </row>
    <row r="7" spans="2:15" x14ac:dyDescent="0.3">
      <c r="C7" s="18"/>
      <c r="D7" s="16"/>
      <c r="E7" s="16"/>
      <c r="F7" s="16"/>
      <c r="G7" s="16"/>
      <c r="H7" s="16"/>
      <c r="K7" s="3">
        <f ca="1">+OFFSET(D21,H15,0)</f>
        <v>95</v>
      </c>
      <c r="L7" s="3">
        <f ca="1">+OFFSET(E21,H15,0)</f>
        <v>1276</v>
      </c>
      <c r="N7" s="3">
        <f ca="1">+OFFSET(D22,H15,0)</f>
        <v>100</v>
      </c>
      <c r="O7" s="3">
        <f ca="1">+OFFSET(E22,H15,0)</f>
        <v>2833</v>
      </c>
    </row>
    <row r="8" spans="2:15" x14ac:dyDescent="0.3">
      <c r="C8" s="30" t="s">
        <v>0</v>
      </c>
      <c r="D8" s="30" t="s">
        <v>1</v>
      </c>
      <c r="E8" s="30" t="s">
        <v>2</v>
      </c>
      <c r="K8" s="3">
        <f t="shared" ref="K8:K26" ca="1" si="0">+OFFSET(D22,H16,0)</f>
        <v>100</v>
      </c>
      <c r="L8" s="3">
        <f t="shared" ref="L8:L26" ca="1" si="1">+OFFSET(E22,H16,0)</f>
        <v>1106</v>
      </c>
      <c r="N8" s="3">
        <f t="shared" ref="N8:N26" ca="1" si="2">+OFFSET(D23,H16,0)</f>
        <v>105</v>
      </c>
      <c r="O8" s="3">
        <f t="shared" ref="O8:O26" ca="1" si="3">+OFFSET(E23,H16,0)</f>
        <v>2761</v>
      </c>
    </row>
    <row r="9" spans="2:15" x14ac:dyDescent="0.3">
      <c r="B9" s="31" t="s">
        <v>3</v>
      </c>
      <c r="C9" s="29">
        <f>+C4</f>
        <v>9</v>
      </c>
      <c r="D9" s="29">
        <f>+D4</f>
        <v>53</v>
      </c>
      <c r="E9" s="29">
        <f>+E4</f>
        <v>26</v>
      </c>
      <c r="K9" s="3">
        <f t="shared" ca="1" si="0"/>
        <v>95</v>
      </c>
      <c r="L9" s="3">
        <f t="shared" ca="1" si="1"/>
        <v>1225</v>
      </c>
      <c r="N9" s="3">
        <f t="shared" ca="1" si="2"/>
        <v>95</v>
      </c>
      <c r="O9" s="3">
        <f t="shared" ca="1" si="3"/>
        <v>2819</v>
      </c>
    </row>
    <row r="10" spans="2:15" x14ac:dyDescent="0.3">
      <c r="B10" s="31" t="s">
        <v>6</v>
      </c>
      <c r="C10" s="29">
        <v>9</v>
      </c>
      <c r="D10" s="29">
        <v>20</v>
      </c>
      <c r="E10" s="29">
        <v>50</v>
      </c>
      <c r="K10" s="3">
        <f t="shared" ca="1" si="0"/>
        <v>90</v>
      </c>
      <c r="L10" s="3">
        <f t="shared" ca="1" si="1"/>
        <v>1205</v>
      </c>
      <c r="N10" s="3">
        <f t="shared" ca="1" si="2"/>
        <v>85</v>
      </c>
      <c r="O10" s="3">
        <f t="shared" ca="1" si="3"/>
        <v>2743</v>
      </c>
    </row>
    <row r="11" spans="2:15" x14ac:dyDescent="0.3">
      <c r="C11" t="s">
        <v>107</v>
      </c>
      <c r="K11" s="3">
        <f t="shared" ca="1" si="0"/>
        <v>95</v>
      </c>
      <c r="L11" s="3">
        <f t="shared" ca="1" si="1"/>
        <v>1117</v>
      </c>
      <c r="N11" s="3">
        <f t="shared" ca="1" si="2"/>
        <v>95</v>
      </c>
      <c r="O11" s="3">
        <f t="shared" ca="1" si="3"/>
        <v>2729</v>
      </c>
    </row>
    <row r="12" spans="2:15" x14ac:dyDescent="0.3">
      <c r="B12" s="1"/>
      <c r="G12" s="16"/>
      <c r="H12" s="16"/>
      <c r="K12" s="3">
        <f t="shared" ca="1" si="0"/>
        <v>85</v>
      </c>
      <c r="L12" s="3">
        <f t="shared" ca="1" si="1"/>
        <v>1298</v>
      </c>
      <c r="N12" s="3">
        <f t="shared" ca="1" si="2"/>
        <v>100</v>
      </c>
      <c r="O12" s="3">
        <f t="shared" ca="1" si="3"/>
        <v>2745</v>
      </c>
    </row>
    <row r="13" spans="2:15" x14ac:dyDescent="0.3">
      <c r="B13" s="1"/>
      <c r="G13" s="16"/>
      <c r="H13" s="16"/>
      <c r="K13" s="3">
        <f t="shared" ca="1" si="0"/>
        <v>100</v>
      </c>
      <c r="L13" s="3">
        <f t="shared" ca="1" si="1"/>
        <v>1149</v>
      </c>
      <c r="N13" s="3">
        <f t="shared" ca="1" si="2"/>
        <v>105</v>
      </c>
      <c r="O13" s="3">
        <f t="shared" ca="1" si="3"/>
        <v>2709</v>
      </c>
    </row>
    <row r="14" spans="2:15" x14ac:dyDescent="0.3">
      <c r="B14" s="1"/>
      <c r="K14" s="3">
        <f t="shared" ca="1" si="0"/>
        <v>90</v>
      </c>
      <c r="L14" s="3">
        <f t="shared" ca="1" si="1"/>
        <v>1217</v>
      </c>
      <c r="N14" s="3">
        <f t="shared" ca="1" si="2"/>
        <v>95</v>
      </c>
      <c r="O14" s="3">
        <f t="shared" ca="1" si="3"/>
        <v>2891</v>
      </c>
    </row>
    <row r="15" spans="2:15" x14ac:dyDescent="0.3">
      <c r="B15" s="1"/>
      <c r="C15" s="118" t="s">
        <v>138</v>
      </c>
      <c r="D15" s="118"/>
      <c r="E15" s="118"/>
      <c r="F15" s="119"/>
      <c r="G15" s="19">
        <v>4</v>
      </c>
      <c r="H15" s="14">
        <v>0</v>
      </c>
      <c r="K15" s="3">
        <f t="shared" ca="1" si="0"/>
        <v>90</v>
      </c>
      <c r="L15" s="3">
        <f t="shared" ca="1" si="1"/>
        <v>1198</v>
      </c>
      <c r="N15" s="3">
        <f t="shared" ca="1" si="2"/>
        <v>90</v>
      </c>
      <c r="O15" s="3">
        <f t="shared" ca="1" si="3"/>
        <v>2721</v>
      </c>
    </row>
    <row r="16" spans="2:15" x14ac:dyDescent="0.3">
      <c r="B16" s="1"/>
      <c r="H16" s="14">
        <f>+H15+$G$15-1</f>
        <v>3</v>
      </c>
      <c r="K16" s="3">
        <f t="shared" ca="1" si="0"/>
        <v>95</v>
      </c>
      <c r="L16" s="3">
        <f t="shared" ca="1" si="1"/>
        <v>1145</v>
      </c>
      <c r="N16" s="3">
        <f t="shared" ca="1" si="2"/>
        <v>90</v>
      </c>
      <c r="O16" s="3">
        <f t="shared" ca="1" si="3"/>
        <v>2892</v>
      </c>
    </row>
    <row r="17" spans="1:15" x14ac:dyDescent="0.3">
      <c r="C17" s="16"/>
      <c r="H17" s="14">
        <f t="shared" ref="H17:H34" si="4">+H16+$G$15-1</f>
        <v>6</v>
      </c>
      <c r="K17" s="3">
        <f t="shared" ca="1" si="0"/>
        <v>100</v>
      </c>
      <c r="L17" s="3">
        <f t="shared" ca="1" si="1"/>
        <v>1246</v>
      </c>
      <c r="N17" s="3">
        <f t="shared" ca="1" si="2"/>
        <v>90</v>
      </c>
      <c r="O17" s="3">
        <f t="shared" ca="1" si="3"/>
        <v>2774</v>
      </c>
    </row>
    <row r="18" spans="1:15" ht="15.6" x14ac:dyDescent="0.3">
      <c r="A18" s="40"/>
      <c r="B18" s="40"/>
      <c r="C18" s="40"/>
      <c r="D18" s="40"/>
      <c r="E18" s="40"/>
      <c r="F18" s="40"/>
      <c r="G18" s="40"/>
      <c r="H18" s="14">
        <f t="shared" si="4"/>
        <v>9</v>
      </c>
      <c r="K18" s="3">
        <f t="shared" ca="1" si="0"/>
        <v>90</v>
      </c>
      <c r="L18" s="3">
        <f t="shared" ca="1" si="1"/>
        <v>1104</v>
      </c>
      <c r="N18" s="3">
        <f t="shared" ca="1" si="2"/>
        <v>85</v>
      </c>
      <c r="O18" s="3">
        <f t="shared" ca="1" si="3"/>
        <v>2769</v>
      </c>
    </row>
    <row r="19" spans="1:15" ht="15.6" x14ac:dyDescent="0.3">
      <c r="A19" s="40"/>
      <c r="B19" s="38"/>
      <c r="C19" s="36" t="s">
        <v>28</v>
      </c>
      <c r="D19" s="36" t="s">
        <v>18</v>
      </c>
      <c r="E19" s="36" t="s">
        <v>19</v>
      </c>
      <c r="F19" s="40"/>
      <c r="G19" s="40"/>
      <c r="H19" s="14">
        <f t="shared" si="4"/>
        <v>12</v>
      </c>
      <c r="K19" s="3">
        <f t="shared" ca="1" si="0"/>
        <v>90</v>
      </c>
      <c r="L19" s="3">
        <f t="shared" ca="1" si="1"/>
        <v>1290</v>
      </c>
      <c r="N19" s="3">
        <f t="shared" ca="1" si="2"/>
        <v>90</v>
      </c>
      <c r="O19" s="3">
        <f t="shared" ca="1" si="3"/>
        <v>2823</v>
      </c>
    </row>
    <row r="20" spans="1:15" ht="15.6" x14ac:dyDescent="0.3">
      <c r="A20" s="40"/>
      <c r="B20" s="39" t="str">
        <f>+CONCATENATE("E = ",C10,"h",D10,"'",E10,"''")</f>
        <v>E = 9h20'50''</v>
      </c>
      <c r="C20" s="38" t="s">
        <v>11</v>
      </c>
      <c r="D20" s="38" t="s">
        <v>54</v>
      </c>
      <c r="E20" s="38">
        <v>3372</v>
      </c>
      <c r="F20" s="40"/>
      <c r="G20" s="40"/>
      <c r="H20" s="14">
        <f t="shared" si="4"/>
        <v>15</v>
      </c>
      <c r="K20" s="3">
        <f t="shared" ca="1" si="0"/>
        <v>95</v>
      </c>
      <c r="L20" s="3">
        <f t="shared" ca="1" si="1"/>
        <v>1265</v>
      </c>
      <c r="N20" s="3">
        <f t="shared" ca="1" si="2"/>
        <v>95</v>
      </c>
      <c r="O20" s="3">
        <f t="shared" ca="1" si="3"/>
        <v>2886</v>
      </c>
    </row>
    <row r="21" spans="1:15" ht="15.6" x14ac:dyDescent="0.3">
      <c r="A21" s="40"/>
      <c r="B21" s="115" t="s">
        <v>63</v>
      </c>
      <c r="C21" s="38" t="str">
        <f>+'Elementos de la operación'!F3</f>
        <v>P</v>
      </c>
      <c r="D21" s="38">
        <v>95</v>
      </c>
      <c r="E21" s="38">
        <v>1276</v>
      </c>
      <c r="F21" s="40"/>
      <c r="G21" s="40"/>
      <c r="H21" s="14">
        <f t="shared" si="4"/>
        <v>18</v>
      </c>
      <c r="K21" s="3">
        <f t="shared" ca="1" si="0"/>
        <v>90</v>
      </c>
      <c r="L21" s="3">
        <f t="shared" ca="1" si="1"/>
        <v>1179</v>
      </c>
      <c r="N21" s="3">
        <f t="shared" ca="1" si="2"/>
        <v>90</v>
      </c>
      <c r="O21" s="3">
        <f t="shared" ca="1" si="3"/>
        <v>2846</v>
      </c>
    </row>
    <row r="22" spans="1:15" ht="15.6" x14ac:dyDescent="0.3">
      <c r="A22" s="40"/>
      <c r="B22" s="115"/>
      <c r="C22" s="38" t="str">
        <f>+'Elementos de la operación'!F4</f>
        <v>M</v>
      </c>
      <c r="D22" s="38">
        <v>100</v>
      </c>
      <c r="E22" s="38">
        <v>2833</v>
      </c>
      <c r="F22" s="40"/>
      <c r="G22" s="40"/>
      <c r="H22" s="14">
        <f t="shared" si="4"/>
        <v>21</v>
      </c>
      <c r="K22" s="3">
        <f t="shared" ca="1" si="0"/>
        <v>85</v>
      </c>
      <c r="L22" s="3">
        <f t="shared" ca="1" si="1"/>
        <v>1256</v>
      </c>
      <c r="N22" s="3">
        <f t="shared" ca="1" si="2"/>
        <v>100</v>
      </c>
      <c r="O22" s="3">
        <f t="shared" ca="1" si="3"/>
        <v>2883</v>
      </c>
    </row>
    <row r="23" spans="1:15" ht="15.6" x14ac:dyDescent="0.3">
      <c r="A23" s="40"/>
      <c r="B23" s="115"/>
      <c r="C23" s="38" t="str">
        <f>+'Elementos de la operación'!F5</f>
        <v>V</v>
      </c>
      <c r="D23" s="38">
        <v>105</v>
      </c>
      <c r="E23" s="38">
        <v>1121</v>
      </c>
      <c r="F23" s="40"/>
      <c r="G23" s="40"/>
      <c r="H23" s="14">
        <f t="shared" si="4"/>
        <v>24</v>
      </c>
      <c r="K23" s="3">
        <f t="shared" ca="1" si="0"/>
        <v>105</v>
      </c>
      <c r="L23" s="3">
        <f t="shared" ca="1" si="1"/>
        <v>1214</v>
      </c>
      <c r="N23" s="3">
        <f t="shared" ca="1" si="2"/>
        <v>95</v>
      </c>
      <c r="O23" s="3">
        <f t="shared" ca="1" si="3"/>
        <v>2815</v>
      </c>
    </row>
    <row r="24" spans="1:15" ht="15.6" x14ac:dyDescent="0.3">
      <c r="A24" s="40"/>
      <c r="B24" s="115"/>
      <c r="C24" s="38" t="str">
        <f>+'Elementos de la operación'!F6</f>
        <v>F</v>
      </c>
      <c r="D24" s="38">
        <v>95</v>
      </c>
      <c r="E24" s="38">
        <v>4378</v>
      </c>
      <c r="F24" s="40"/>
      <c r="G24" s="40"/>
      <c r="H24" s="14">
        <f t="shared" si="4"/>
        <v>27</v>
      </c>
      <c r="K24" s="3">
        <f t="shared" ca="1" si="0"/>
        <v>90</v>
      </c>
      <c r="L24" s="3">
        <f t="shared" ca="1" si="1"/>
        <v>1296</v>
      </c>
      <c r="N24" s="3">
        <f t="shared" ca="1" si="2"/>
        <v>100</v>
      </c>
      <c r="O24" s="3">
        <f t="shared" ca="1" si="3"/>
        <v>2729</v>
      </c>
    </row>
    <row r="25" spans="1:15" ht="15.6" x14ac:dyDescent="0.3">
      <c r="A25" s="40"/>
      <c r="B25" s="115" t="s">
        <v>64</v>
      </c>
      <c r="C25" s="38" t="str">
        <f>+C21</f>
        <v>P</v>
      </c>
      <c r="D25" s="38">
        <v>100</v>
      </c>
      <c r="E25" s="38">
        <v>1106</v>
      </c>
      <c r="F25" s="40"/>
      <c r="G25" s="40"/>
      <c r="H25" s="14">
        <f t="shared" si="4"/>
        <v>30</v>
      </c>
      <c r="K25" s="3">
        <f t="shared" ca="1" si="0"/>
        <v>95</v>
      </c>
      <c r="L25" s="3">
        <f t="shared" ca="1" si="1"/>
        <v>1202</v>
      </c>
      <c r="N25" s="3">
        <f t="shared" ca="1" si="2"/>
        <v>100</v>
      </c>
      <c r="O25" s="3">
        <f t="shared" ca="1" si="3"/>
        <v>2716</v>
      </c>
    </row>
    <row r="26" spans="1:15" ht="15.6" x14ac:dyDescent="0.3">
      <c r="A26" s="40"/>
      <c r="B26" s="115"/>
      <c r="C26" s="38" t="str">
        <f t="shared" ref="C26:C89" si="5">+C22</f>
        <v>M</v>
      </c>
      <c r="D26" s="38">
        <v>105</v>
      </c>
      <c r="E26" s="38">
        <v>2761</v>
      </c>
      <c r="F26" s="40"/>
      <c r="G26" s="40"/>
      <c r="H26" s="14">
        <f t="shared" si="4"/>
        <v>33</v>
      </c>
      <c r="K26" s="3">
        <f t="shared" ca="1" si="0"/>
        <v>105</v>
      </c>
      <c r="L26" s="3">
        <f t="shared" ca="1" si="1"/>
        <v>1132</v>
      </c>
      <c r="N26" s="3">
        <f t="shared" ca="1" si="2"/>
        <v>105</v>
      </c>
      <c r="O26" s="3">
        <f t="shared" ca="1" si="3"/>
        <v>2765</v>
      </c>
    </row>
    <row r="27" spans="1:15" ht="15.6" x14ac:dyDescent="0.3">
      <c r="A27" s="40"/>
      <c r="B27" s="115"/>
      <c r="C27" s="38" t="str">
        <f t="shared" si="5"/>
        <v>V</v>
      </c>
      <c r="D27" s="38">
        <v>85</v>
      </c>
      <c r="E27" s="38">
        <v>1228</v>
      </c>
      <c r="F27" s="40"/>
      <c r="G27" s="40"/>
      <c r="H27" s="14">
        <f t="shared" si="4"/>
        <v>36</v>
      </c>
    </row>
    <row r="28" spans="1:15" ht="15.6" x14ac:dyDescent="0.3">
      <c r="A28" s="40"/>
      <c r="B28" s="115"/>
      <c r="C28" s="38" t="str">
        <f t="shared" si="5"/>
        <v>F</v>
      </c>
      <c r="D28" s="38">
        <v>105</v>
      </c>
      <c r="E28" s="38">
        <v>4164</v>
      </c>
      <c r="F28" s="40"/>
      <c r="G28" s="40"/>
      <c r="H28" s="14">
        <f t="shared" si="4"/>
        <v>39</v>
      </c>
    </row>
    <row r="29" spans="1:15" ht="15.6" x14ac:dyDescent="0.3">
      <c r="A29" s="40"/>
      <c r="B29" s="115" t="s">
        <v>65</v>
      </c>
      <c r="C29" s="38" t="str">
        <f t="shared" si="5"/>
        <v>P</v>
      </c>
      <c r="D29" s="38">
        <v>95</v>
      </c>
      <c r="E29" s="38">
        <v>1225</v>
      </c>
      <c r="F29" s="40"/>
      <c r="G29" s="40"/>
      <c r="H29" s="14">
        <f t="shared" si="4"/>
        <v>42</v>
      </c>
      <c r="K29" s="116" t="str">
        <f>+CONCATENATE("Elemento ",C23)</f>
        <v>Elemento V</v>
      </c>
      <c r="L29" s="117"/>
      <c r="N29" s="116" t="str">
        <f>+CONCATENATE("Elemento ",C24)</f>
        <v>Elemento F</v>
      </c>
      <c r="O29" s="117"/>
    </row>
    <row r="30" spans="1:15" ht="15.6" x14ac:dyDescent="0.3">
      <c r="A30" s="40"/>
      <c r="B30" s="115"/>
      <c r="C30" s="38" t="str">
        <f t="shared" si="5"/>
        <v>M</v>
      </c>
      <c r="D30" s="38">
        <v>95</v>
      </c>
      <c r="E30" s="38">
        <v>2819</v>
      </c>
      <c r="F30" s="40"/>
      <c r="G30" s="40"/>
      <c r="H30" s="14">
        <f t="shared" si="4"/>
        <v>45</v>
      </c>
    </row>
    <row r="31" spans="1:15" ht="15.6" x14ac:dyDescent="0.3">
      <c r="A31" s="40"/>
      <c r="B31" s="115"/>
      <c r="C31" s="38" t="str">
        <f t="shared" si="5"/>
        <v>V</v>
      </c>
      <c r="D31" s="38">
        <v>95</v>
      </c>
      <c r="E31" s="38">
        <v>1189</v>
      </c>
      <c r="F31" s="40"/>
      <c r="G31" s="40"/>
      <c r="H31" s="14">
        <f t="shared" si="4"/>
        <v>48</v>
      </c>
      <c r="K31" s="30" t="s">
        <v>18</v>
      </c>
      <c r="L31" s="30" t="s">
        <v>19</v>
      </c>
      <c r="N31" s="30" t="s">
        <v>18</v>
      </c>
      <c r="O31" s="30" t="s">
        <v>19</v>
      </c>
    </row>
    <row r="32" spans="1:15" ht="15.6" x14ac:dyDescent="0.3">
      <c r="A32" s="40"/>
      <c r="B32" s="115"/>
      <c r="C32" s="38" t="str">
        <f t="shared" si="5"/>
        <v>F</v>
      </c>
      <c r="D32" s="38">
        <v>85</v>
      </c>
      <c r="E32" s="38">
        <v>4414</v>
      </c>
      <c r="F32" s="40"/>
      <c r="G32" s="40"/>
      <c r="H32" s="14">
        <f t="shared" si="4"/>
        <v>51</v>
      </c>
      <c r="K32" s="3">
        <f ca="1">+OFFSET(D23,H15,0)</f>
        <v>105</v>
      </c>
      <c r="L32" s="3">
        <f ca="1">+OFFSET(E23,H15,0)</f>
        <v>1121</v>
      </c>
      <c r="N32" s="3">
        <f ca="1">+OFFSET(D24,H15,0)</f>
        <v>95</v>
      </c>
      <c r="O32" s="3">
        <f ca="1">+OFFSET(E24,H15,0)</f>
        <v>4378</v>
      </c>
    </row>
    <row r="33" spans="1:15" ht="15.6" x14ac:dyDescent="0.3">
      <c r="A33" s="40"/>
      <c r="B33" s="115" t="s">
        <v>66</v>
      </c>
      <c r="C33" s="38" t="str">
        <f t="shared" si="5"/>
        <v>P</v>
      </c>
      <c r="D33" s="38">
        <v>90</v>
      </c>
      <c r="E33" s="38">
        <v>1205</v>
      </c>
      <c r="F33" s="40"/>
      <c r="G33" s="40"/>
      <c r="H33" s="14">
        <f t="shared" si="4"/>
        <v>54</v>
      </c>
      <c r="K33" s="3">
        <f t="shared" ref="K33:K51" ca="1" si="6">+OFFSET(D24,H16,0)</f>
        <v>85</v>
      </c>
      <c r="L33" s="3">
        <f t="shared" ref="L33:L51" ca="1" si="7">+OFFSET(E24,H16,0)</f>
        <v>1228</v>
      </c>
      <c r="N33" s="3">
        <f t="shared" ref="N33:N51" ca="1" si="8">+OFFSET(D25,H16,0)</f>
        <v>105</v>
      </c>
      <c r="O33" s="3">
        <f t="shared" ref="O33:O51" ca="1" si="9">+OFFSET(E25,H16,0)</f>
        <v>4164</v>
      </c>
    </row>
    <row r="34" spans="1:15" ht="15.6" x14ac:dyDescent="0.3">
      <c r="A34" s="40"/>
      <c r="B34" s="115"/>
      <c r="C34" s="38" t="str">
        <f t="shared" si="5"/>
        <v>M</v>
      </c>
      <c r="D34" s="38">
        <v>85</v>
      </c>
      <c r="E34" s="38">
        <v>2743</v>
      </c>
      <c r="F34" s="40"/>
      <c r="G34" s="40"/>
      <c r="H34" s="14">
        <f t="shared" si="4"/>
        <v>57</v>
      </c>
      <c r="K34" s="3">
        <f t="shared" ca="1" si="6"/>
        <v>95</v>
      </c>
      <c r="L34" s="3">
        <f t="shared" ca="1" si="7"/>
        <v>1189</v>
      </c>
      <c r="N34" s="3">
        <f t="shared" ca="1" si="8"/>
        <v>85</v>
      </c>
      <c r="O34" s="3">
        <f t="shared" ca="1" si="9"/>
        <v>4414</v>
      </c>
    </row>
    <row r="35" spans="1:15" ht="15.6" x14ac:dyDescent="0.3">
      <c r="A35" s="40"/>
      <c r="B35" s="115"/>
      <c r="C35" s="38" t="str">
        <f t="shared" si="5"/>
        <v>V</v>
      </c>
      <c r="D35" s="38">
        <v>90</v>
      </c>
      <c r="E35" s="38">
        <v>1233</v>
      </c>
      <c r="F35" s="40"/>
      <c r="G35" s="40"/>
      <c r="K35" s="3">
        <f t="shared" ca="1" si="6"/>
        <v>90</v>
      </c>
      <c r="L35" s="3">
        <f t="shared" ca="1" si="7"/>
        <v>1233</v>
      </c>
      <c r="N35" s="3">
        <f t="shared" ca="1" si="8"/>
        <v>105</v>
      </c>
      <c r="O35" s="3">
        <f t="shared" ca="1" si="9"/>
        <v>4193</v>
      </c>
    </row>
    <row r="36" spans="1:15" ht="15.6" x14ac:dyDescent="0.3">
      <c r="A36" s="40"/>
      <c r="B36" s="115"/>
      <c r="C36" s="38" t="str">
        <f t="shared" si="5"/>
        <v>F</v>
      </c>
      <c r="D36" s="38">
        <v>105</v>
      </c>
      <c r="E36" s="38">
        <v>4193</v>
      </c>
      <c r="F36" s="40"/>
      <c r="G36" s="40"/>
      <c r="K36" s="3">
        <f t="shared" ca="1" si="6"/>
        <v>90</v>
      </c>
      <c r="L36" s="3">
        <f t="shared" ca="1" si="7"/>
        <v>1185</v>
      </c>
      <c r="N36" s="3">
        <f t="shared" ca="1" si="8"/>
        <v>100</v>
      </c>
      <c r="O36" s="3">
        <f t="shared" ca="1" si="9"/>
        <v>4220</v>
      </c>
    </row>
    <row r="37" spans="1:15" ht="15.6" x14ac:dyDescent="0.3">
      <c r="A37" s="40"/>
      <c r="B37" s="115" t="s">
        <v>67</v>
      </c>
      <c r="C37" s="38" t="str">
        <f t="shared" si="5"/>
        <v>P</v>
      </c>
      <c r="D37" s="38">
        <v>95</v>
      </c>
      <c r="E37" s="38">
        <v>1117</v>
      </c>
      <c r="F37" s="40"/>
      <c r="G37" s="40"/>
      <c r="K37" s="3">
        <f t="shared" ca="1" si="6"/>
        <v>90</v>
      </c>
      <c r="L37" s="3">
        <f t="shared" ca="1" si="7"/>
        <v>1208</v>
      </c>
      <c r="N37" s="3">
        <f t="shared" ca="1" si="8"/>
        <v>105</v>
      </c>
      <c r="O37" s="3">
        <f t="shared" ca="1" si="9"/>
        <v>4323</v>
      </c>
    </row>
    <row r="38" spans="1:15" ht="15.6" x14ac:dyDescent="0.3">
      <c r="A38" s="40"/>
      <c r="B38" s="115"/>
      <c r="C38" s="38" t="str">
        <f t="shared" si="5"/>
        <v>M</v>
      </c>
      <c r="D38" s="38">
        <v>95</v>
      </c>
      <c r="E38" s="38">
        <v>2729</v>
      </c>
      <c r="F38" s="40"/>
      <c r="G38" s="40"/>
      <c r="K38" s="3">
        <f t="shared" ca="1" si="6"/>
        <v>95</v>
      </c>
      <c r="L38" s="3">
        <f t="shared" ca="1" si="7"/>
        <v>1141</v>
      </c>
      <c r="N38" s="3">
        <f t="shared" ca="1" si="8"/>
        <v>100</v>
      </c>
      <c r="O38" s="3">
        <f t="shared" ca="1" si="9"/>
        <v>4222</v>
      </c>
    </row>
    <row r="39" spans="1:15" ht="15.6" x14ac:dyDescent="0.3">
      <c r="A39" s="40"/>
      <c r="B39" s="115"/>
      <c r="C39" s="38" t="str">
        <f t="shared" si="5"/>
        <v>V</v>
      </c>
      <c r="D39" s="38">
        <v>90</v>
      </c>
      <c r="E39" s="38">
        <v>1185</v>
      </c>
      <c r="F39" s="40"/>
      <c r="G39" s="40"/>
      <c r="K39" s="3">
        <f t="shared" ca="1" si="6"/>
        <v>85</v>
      </c>
      <c r="L39" s="3">
        <f t="shared" ca="1" si="7"/>
        <v>1273</v>
      </c>
      <c r="N39" s="3">
        <f t="shared" ca="1" si="8"/>
        <v>90</v>
      </c>
      <c r="O39" s="3">
        <f t="shared" ca="1" si="9"/>
        <v>4377</v>
      </c>
    </row>
    <row r="40" spans="1:15" ht="15.6" x14ac:dyDescent="0.3">
      <c r="A40" s="40"/>
      <c r="B40" s="115"/>
      <c r="C40" s="38" t="str">
        <f t="shared" si="5"/>
        <v>F</v>
      </c>
      <c r="D40" s="38">
        <v>100</v>
      </c>
      <c r="E40" s="38">
        <v>4220</v>
      </c>
      <c r="F40" s="40"/>
      <c r="G40" s="40"/>
      <c r="K40" s="3">
        <f t="shared" ca="1" si="6"/>
        <v>105</v>
      </c>
      <c r="L40" s="3">
        <f t="shared" ca="1" si="7"/>
        <v>1118</v>
      </c>
      <c r="N40" s="3">
        <f t="shared" ca="1" si="8"/>
        <v>85</v>
      </c>
      <c r="O40" s="3">
        <f t="shared" ca="1" si="9"/>
        <v>4400</v>
      </c>
    </row>
    <row r="41" spans="1:15" ht="15.6" x14ac:dyDescent="0.3">
      <c r="A41" s="40"/>
      <c r="B41" s="115" t="s">
        <v>68</v>
      </c>
      <c r="C41" s="38" t="str">
        <f t="shared" si="5"/>
        <v>P</v>
      </c>
      <c r="D41" s="38">
        <v>85</v>
      </c>
      <c r="E41" s="38">
        <v>1298</v>
      </c>
      <c r="F41" s="40"/>
      <c r="G41" s="40"/>
      <c r="K41" s="3">
        <f t="shared" ca="1" si="6"/>
        <v>95</v>
      </c>
      <c r="L41" s="3">
        <f t="shared" ca="1" si="7"/>
        <v>1294</v>
      </c>
      <c r="N41" s="3">
        <f t="shared" ca="1" si="8"/>
        <v>90</v>
      </c>
      <c r="O41" s="3">
        <f t="shared" ca="1" si="9"/>
        <v>4320</v>
      </c>
    </row>
    <row r="42" spans="1:15" ht="15.6" x14ac:dyDescent="0.3">
      <c r="A42" s="40"/>
      <c r="B42" s="115"/>
      <c r="C42" s="38" t="str">
        <f t="shared" si="5"/>
        <v>M</v>
      </c>
      <c r="D42" s="38">
        <v>100</v>
      </c>
      <c r="E42" s="38">
        <v>2745</v>
      </c>
      <c r="F42" s="40"/>
      <c r="G42" s="40"/>
      <c r="K42" s="3">
        <f t="shared" ca="1" si="6"/>
        <v>100</v>
      </c>
      <c r="L42" s="3">
        <f t="shared" ca="1" si="7"/>
        <v>1203</v>
      </c>
      <c r="N42" s="3">
        <f t="shared" ca="1" si="8"/>
        <v>85</v>
      </c>
      <c r="O42" s="3">
        <f t="shared" ca="1" si="9"/>
        <v>4403</v>
      </c>
    </row>
    <row r="43" spans="1:15" ht="15.6" x14ac:dyDescent="0.3">
      <c r="A43" s="40"/>
      <c r="B43" s="115"/>
      <c r="C43" s="38" t="str">
        <f t="shared" si="5"/>
        <v>V</v>
      </c>
      <c r="D43" s="38">
        <v>90</v>
      </c>
      <c r="E43" s="38">
        <v>1208</v>
      </c>
      <c r="F43" s="40"/>
      <c r="G43" s="40"/>
      <c r="K43" s="3">
        <f t="shared" ca="1" si="6"/>
        <v>100</v>
      </c>
      <c r="L43" s="3">
        <f t="shared" ca="1" si="7"/>
        <v>1208</v>
      </c>
      <c r="N43" s="3">
        <f t="shared" ca="1" si="8"/>
        <v>100</v>
      </c>
      <c r="O43" s="3">
        <f t="shared" ca="1" si="9"/>
        <v>4368</v>
      </c>
    </row>
    <row r="44" spans="1:15" ht="15.6" x14ac:dyDescent="0.3">
      <c r="A44" s="40"/>
      <c r="B44" s="115"/>
      <c r="C44" s="38" t="str">
        <f t="shared" si="5"/>
        <v>F</v>
      </c>
      <c r="D44" s="38">
        <v>105</v>
      </c>
      <c r="E44" s="38">
        <v>4323</v>
      </c>
      <c r="F44" s="40"/>
      <c r="G44" s="40"/>
      <c r="K44" s="3">
        <f t="shared" ca="1" si="6"/>
        <v>100</v>
      </c>
      <c r="L44" s="3">
        <f t="shared" ca="1" si="7"/>
        <v>1197</v>
      </c>
      <c r="N44" s="3">
        <f t="shared" ca="1" si="8"/>
        <v>95</v>
      </c>
      <c r="O44" s="3">
        <f t="shared" ca="1" si="9"/>
        <v>4383</v>
      </c>
    </row>
    <row r="45" spans="1:15" ht="15.6" x14ac:dyDescent="0.3">
      <c r="A45" s="40"/>
      <c r="B45" s="115" t="s">
        <v>69</v>
      </c>
      <c r="C45" s="38" t="str">
        <f t="shared" si="5"/>
        <v>P</v>
      </c>
      <c r="D45" s="38">
        <v>100</v>
      </c>
      <c r="E45" s="38">
        <v>1149</v>
      </c>
      <c r="F45" s="40"/>
      <c r="G45" s="40"/>
      <c r="K45" s="3">
        <f t="shared" ca="1" si="6"/>
        <v>90</v>
      </c>
      <c r="L45" s="3">
        <f t="shared" ca="1" si="7"/>
        <v>1269</v>
      </c>
      <c r="N45" s="3">
        <f t="shared" ca="1" si="8"/>
        <v>95</v>
      </c>
      <c r="O45" s="3">
        <f t="shared" ca="1" si="9"/>
        <v>4233</v>
      </c>
    </row>
    <row r="46" spans="1:15" ht="15.6" x14ac:dyDescent="0.3">
      <c r="A46" s="40"/>
      <c r="B46" s="115"/>
      <c r="C46" s="38" t="str">
        <f t="shared" si="5"/>
        <v>M</v>
      </c>
      <c r="D46" s="38">
        <v>105</v>
      </c>
      <c r="E46" s="38">
        <v>2709</v>
      </c>
      <c r="F46" s="40"/>
      <c r="G46" s="40"/>
      <c r="K46" s="3">
        <f t="shared" ca="1" si="6"/>
        <v>90</v>
      </c>
      <c r="L46" s="3">
        <f t="shared" ca="1" si="7"/>
        <v>1150</v>
      </c>
      <c r="N46" s="3">
        <f t="shared" ca="1" si="8"/>
        <v>95</v>
      </c>
      <c r="O46" s="3">
        <f t="shared" ca="1" si="9"/>
        <v>4246</v>
      </c>
    </row>
    <row r="47" spans="1:15" ht="15.6" x14ac:dyDescent="0.3">
      <c r="A47" s="40"/>
      <c r="B47" s="115"/>
      <c r="C47" s="38" t="str">
        <f t="shared" si="5"/>
        <v>V</v>
      </c>
      <c r="D47" s="38">
        <v>95</v>
      </c>
      <c r="E47" s="38">
        <v>1141</v>
      </c>
      <c r="F47" s="40"/>
      <c r="G47" s="40"/>
      <c r="K47" s="3">
        <f t="shared" ca="1" si="6"/>
        <v>85</v>
      </c>
      <c r="L47" s="3">
        <f t="shared" ca="1" si="7"/>
        <v>1178</v>
      </c>
      <c r="N47" s="3">
        <f t="shared" ca="1" si="8"/>
        <v>105</v>
      </c>
      <c r="O47" s="3">
        <f t="shared" ca="1" si="9"/>
        <v>4398</v>
      </c>
    </row>
    <row r="48" spans="1:15" ht="15.6" x14ac:dyDescent="0.3">
      <c r="A48" s="40"/>
      <c r="B48" s="115"/>
      <c r="C48" s="38" t="str">
        <f t="shared" si="5"/>
        <v>F</v>
      </c>
      <c r="D48" s="38">
        <v>100</v>
      </c>
      <c r="E48" s="38">
        <v>4222</v>
      </c>
      <c r="F48" s="40"/>
      <c r="G48" s="40"/>
      <c r="K48" s="3">
        <f t="shared" ca="1" si="6"/>
        <v>95</v>
      </c>
      <c r="L48" s="3">
        <f t="shared" ca="1" si="7"/>
        <v>1259</v>
      </c>
      <c r="N48" s="3">
        <f t="shared" ca="1" si="8"/>
        <v>90</v>
      </c>
      <c r="O48" s="3">
        <f t="shared" ca="1" si="9"/>
        <v>4279</v>
      </c>
    </row>
    <row r="49" spans="1:15" ht="15.6" x14ac:dyDescent="0.3">
      <c r="A49" s="40"/>
      <c r="B49" s="115" t="s">
        <v>70</v>
      </c>
      <c r="C49" s="38" t="str">
        <f t="shared" si="5"/>
        <v>P</v>
      </c>
      <c r="D49" s="38">
        <v>90</v>
      </c>
      <c r="E49" s="38">
        <v>1217</v>
      </c>
      <c r="F49" s="40"/>
      <c r="G49" s="40"/>
      <c r="K49" s="3">
        <f t="shared" ca="1" si="6"/>
        <v>95</v>
      </c>
      <c r="L49" s="3">
        <f t="shared" ca="1" si="7"/>
        <v>1297</v>
      </c>
      <c r="N49" s="3">
        <f t="shared" ca="1" si="8"/>
        <v>100</v>
      </c>
      <c r="O49" s="3">
        <f t="shared" ca="1" si="9"/>
        <v>4174</v>
      </c>
    </row>
    <row r="50" spans="1:15" ht="15.6" x14ac:dyDescent="0.3">
      <c r="A50" s="40"/>
      <c r="B50" s="115"/>
      <c r="C50" s="38" t="str">
        <f t="shared" si="5"/>
        <v>M</v>
      </c>
      <c r="D50" s="38">
        <v>95</v>
      </c>
      <c r="E50" s="38">
        <v>2891</v>
      </c>
      <c r="F50" s="40"/>
      <c r="G50" s="40"/>
      <c r="K50" s="3">
        <f t="shared" ca="1" si="6"/>
        <v>95</v>
      </c>
      <c r="L50" s="3">
        <f t="shared" ca="1" si="7"/>
        <v>1271</v>
      </c>
      <c r="N50" s="3">
        <f t="shared" ca="1" si="8"/>
        <v>95</v>
      </c>
      <c r="O50" s="3">
        <f t="shared" ca="1" si="9"/>
        <v>4269</v>
      </c>
    </row>
    <row r="51" spans="1:15" ht="15.6" x14ac:dyDescent="0.3">
      <c r="A51" s="40"/>
      <c r="B51" s="115"/>
      <c r="C51" s="38" t="str">
        <f t="shared" si="5"/>
        <v>V</v>
      </c>
      <c r="D51" s="38">
        <v>85</v>
      </c>
      <c r="E51" s="38">
        <v>1273</v>
      </c>
      <c r="F51" s="40"/>
      <c r="G51" s="40"/>
      <c r="K51" s="3">
        <f t="shared" ca="1" si="6"/>
        <v>95</v>
      </c>
      <c r="L51" s="3">
        <f t="shared" ca="1" si="7"/>
        <v>1119</v>
      </c>
      <c r="N51" s="3">
        <f t="shared" ca="1" si="8"/>
        <v>95</v>
      </c>
      <c r="O51" s="3">
        <f t="shared" ca="1" si="9"/>
        <v>4174</v>
      </c>
    </row>
    <row r="52" spans="1:15" ht="15.6" x14ac:dyDescent="0.3">
      <c r="A52" s="40"/>
      <c r="B52" s="115"/>
      <c r="C52" s="38" t="str">
        <f t="shared" si="5"/>
        <v>F</v>
      </c>
      <c r="D52" s="38">
        <v>90</v>
      </c>
      <c r="E52" s="38">
        <v>4377</v>
      </c>
      <c r="F52" s="40"/>
      <c r="G52" s="40"/>
    </row>
    <row r="53" spans="1:15" ht="15.6" x14ac:dyDescent="0.3">
      <c r="A53" s="40"/>
      <c r="B53" s="115" t="s">
        <v>71</v>
      </c>
      <c r="C53" s="38" t="str">
        <f t="shared" si="5"/>
        <v>P</v>
      </c>
      <c r="D53" s="38">
        <v>90</v>
      </c>
      <c r="E53" s="38">
        <v>1198</v>
      </c>
      <c r="F53" s="40"/>
      <c r="G53" s="40"/>
    </row>
    <row r="54" spans="1:15" ht="15.6" x14ac:dyDescent="0.3">
      <c r="A54" s="40"/>
      <c r="B54" s="115"/>
      <c r="C54" s="38" t="str">
        <f t="shared" si="5"/>
        <v>M</v>
      </c>
      <c r="D54" s="38">
        <v>90</v>
      </c>
      <c r="E54" s="38">
        <v>2721</v>
      </c>
      <c r="F54" s="40"/>
      <c r="G54" s="40"/>
    </row>
    <row r="55" spans="1:15" ht="15.6" x14ac:dyDescent="0.3">
      <c r="A55" s="40"/>
      <c r="B55" s="115"/>
      <c r="C55" s="38" t="str">
        <f t="shared" si="5"/>
        <v>V</v>
      </c>
      <c r="D55" s="38">
        <v>105</v>
      </c>
      <c r="E55" s="38">
        <v>1118</v>
      </c>
      <c r="F55" s="40"/>
      <c r="G55" s="40"/>
    </row>
    <row r="56" spans="1:15" ht="15.6" x14ac:dyDescent="0.3">
      <c r="A56" s="40"/>
      <c r="B56" s="115"/>
      <c r="C56" s="38" t="str">
        <f t="shared" si="5"/>
        <v>F</v>
      </c>
      <c r="D56" s="38">
        <v>85</v>
      </c>
      <c r="E56" s="38">
        <v>4400</v>
      </c>
      <c r="F56" s="40"/>
      <c r="G56" s="40"/>
    </row>
    <row r="57" spans="1:15" ht="15.6" x14ac:dyDescent="0.3">
      <c r="A57" s="40"/>
      <c r="B57" s="115" t="s">
        <v>72</v>
      </c>
      <c r="C57" s="38" t="str">
        <f t="shared" si="5"/>
        <v>P</v>
      </c>
      <c r="D57" s="38">
        <v>95</v>
      </c>
      <c r="E57" s="38">
        <v>1145</v>
      </c>
      <c r="F57" s="40"/>
      <c r="G57" s="40"/>
    </row>
    <row r="58" spans="1:15" ht="15.6" x14ac:dyDescent="0.3">
      <c r="A58" s="40"/>
      <c r="B58" s="115"/>
      <c r="C58" s="38" t="str">
        <f t="shared" si="5"/>
        <v>M</v>
      </c>
      <c r="D58" s="38">
        <v>90</v>
      </c>
      <c r="E58" s="38">
        <v>2892</v>
      </c>
      <c r="F58" s="40"/>
      <c r="G58" s="40"/>
    </row>
    <row r="59" spans="1:15" ht="15.6" x14ac:dyDescent="0.3">
      <c r="A59" s="40"/>
      <c r="B59" s="115"/>
      <c r="C59" s="38" t="str">
        <f t="shared" si="5"/>
        <v>V</v>
      </c>
      <c r="D59" s="38">
        <v>95</v>
      </c>
      <c r="E59" s="38">
        <v>1294</v>
      </c>
      <c r="F59" s="40"/>
      <c r="G59" s="40"/>
    </row>
    <row r="60" spans="1:15" ht="15.6" x14ac:dyDescent="0.3">
      <c r="A60" s="40"/>
      <c r="B60" s="115"/>
      <c r="C60" s="38" t="str">
        <f t="shared" si="5"/>
        <v>F</v>
      </c>
      <c r="D60" s="38">
        <v>90</v>
      </c>
      <c r="E60" s="38">
        <v>4320</v>
      </c>
      <c r="F60" s="40"/>
      <c r="G60" s="40"/>
    </row>
    <row r="61" spans="1:15" ht="15.6" x14ac:dyDescent="0.3">
      <c r="A61" s="40"/>
      <c r="B61" s="115" t="s">
        <v>73</v>
      </c>
      <c r="C61" s="38" t="str">
        <f t="shared" si="5"/>
        <v>P</v>
      </c>
      <c r="D61" s="38">
        <v>100</v>
      </c>
      <c r="E61" s="38">
        <v>1246</v>
      </c>
      <c r="F61" s="40"/>
      <c r="G61" s="40"/>
    </row>
    <row r="62" spans="1:15" ht="15.6" x14ac:dyDescent="0.3">
      <c r="A62" s="40"/>
      <c r="B62" s="115"/>
      <c r="C62" s="38" t="str">
        <f t="shared" si="5"/>
        <v>M</v>
      </c>
      <c r="D62" s="38">
        <v>90</v>
      </c>
      <c r="E62" s="38">
        <v>2774</v>
      </c>
      <c r="F62" s="40"/>
      <c r="G62" s="40"/>
    </row>
    <row r="63" spans="1:15" ht="15.6" x14ac:dyDescent="0.3">
      <c r="A63" s="40"/>
      <c r="B63" s="115"/>
      <c r="C63" s="38" t="str">
        <f t="shared" si="5"/>
        <v>V</v>
      </c>
      <c r="D63" s="38">
        <v>100</v>
      </c>
      <c r="E63" s="38">
        <v>1203</v>
      </c>
      <c r="F63" s="40"/>
      <c r="G63" s="40"/>
    </row>
    <row r="64" spans="1:15" ht="15.6" x14ac:dyDescent="0.3">
      <c r="A64" s="40"/>
      <c r="B64" s="115"/>
      <c r="C64" s="38" t="str">
        <f t="shared" si="5"/>
        <v>F</v>
      </c>
      <c r="D64" s="38">
        <v>85</v>
      </c>
      <c r="E64" s="38">
        <v>4403</v>
      </c>
      <c r="F64" s="40"/>
      <c r="G64" s="40"/>
    </row>
    <row r="65" spans="1:7" ht="15.6" x14ac:dyDescent="0.3">
      <c r="A65" s="40"/>
      <c r="B65" s="115" t="s">
        <v>74</v>
      </c>
      <c r="C65" s="38" t="str">
        <f t="shared" si="5"/>
        <v>P</v>
      </c>
      <c r="D65" s="38">
        <v>90</v>
      </c>
      <c r="E65" s="38">
        <v>1104</v>
      </c>
      <c r="F65" s="40"/>
      <c r="G65" s="40"/>
    </row>
    <row r="66" spans="1:7" ht="15.6" x14ac:dyDescent="0.3">
      <c r="A66" s="40"/>
      <c r="B66" s="115"/>
      <c r="C66" s="38" t="str">
        <f t="shared" si="5"/>
        <v>M</v>
      </c>
      <c r="D66" s="38">
        <v>85</v>
      </c>
      <c r="E66" s="38">
        <v>2769</v>
      </c>
      <c r="F66" s="40"/>
      <c r="G66" s="40"/>
    </row>
    <row r="67" spans="1:7" ht="15.6" x14ac:dyDescent="0.3">
      <c r="A67" s="40"/>
      <c r="B67" s="115"/>
      <c r="C67" s="38" t="str">
        <f t="shared" si="5"/>
        <v>V</v>
      </c>
      <c r="D67" s="38">
        <v>100</v>
      </c>
      <c r="E67" s="38">
        <v>1208</v>
      </c>
      <c r="F67" s="40"/>
      <c r="G67" s="40"/>
    </row>
    <row r="68" spans="1:7" ht="15.6" x14ac:dyDescent="0.3">
      <c r="A68" s="40"/>
      <c r="B68" s="115"/>
      <c r="C68" s="38" t="str">
        <f t="shared" si="5"/>
        <v>F</v>
      </c>
      <c r="D68" s="38">
        <v>100</v>
      </c>
      <c r="E68" s="38">
        <v>4368</v>
      </c>
      <c r="F68" s="40"/>
      <c r="G68" s="40"/>
    </row>
    <row r="69" spans="1:7" ht="15.6" x14ac:dyDescent="0.3">
      <c r="A69" s="40"/>
      <c r="B69" s="115" t="s">
        <v>75</v>
      </c>
      <c r="C69" s="38" t="str">
        <f t="shared" si="5"/>
        <v>P</v>
      </c>
      <c r="D69" s="38">
        <v>90</v>
      </c>
      <c r="E69" s="38">
        <v>1290</v>
      </c>
      <c r="F69" s="40"/>
      <c r="G69" s="40"/>
    </row>
    <row r="70" spans="1:7" ht="15.6" x14ac:dyDescent="0.3">
      <c r="A70" s="40"/>
      <c r="B70" s="115"/>
      <c r="C70" s="38" t="str">
        <f t="shared" si="5"/>
        <v>M</v>
      </c>
      <c r="D70" s="38">
        <v>90</v>
      </c>
      <c r="E70" s="38">
        <v>2823</v>
      </c>
      <c r="F70" s="40"/>
      <c r="G70" s="40"/>
    </row>
    <row r="71" spans="1:7" ht="15.6" x14ac:dyDescent="0.3">
      <c r="A71" s="40"/>
      <c r="B71" s="115"/>
      <c r="C71" s="38" t="str">
        <f t="shared" si="5"/>
        <v>V</v>
      </c>
      <c r="D71" s="38">
        <v>100</v>
      </c>
      <c r="E71" s="38">
        <v>1197</v>
      </c>
      <c r="F71" s="40"/>
      <c r="G71" s="40"/>
    </row>
    <row r="72" spans="1:7" ht="15.6" x14ac:dyDescent="0.3">
      <c r="A72" s="40"/>
      <c r="B72" s="115"/>
      <c r="C72" s="38" t="str">
        <f t="shared" si="5"/>
        <v>F</v>
      </c>
      <c r="D72" s="38">
        <v>95</v>
      </c>
      <c r="E72" s="38">
        <v>4383</v>
      </c>
      <c r="F72" s="40"/>
      <c r="G72" s="40"/>
    </row>
    <row r="73" spans="1:7" ht="15.6" x14ac:dyDescent="0.3">
      <c r="A73" s="40"/>
      <c r="B73" s="115" t="s">
        <v>76</v>
      </c>
      <c r="C73" s="38" t="str">
        <f t="shared" si="5"/>
        <v>P</v>
      </c>
      <c r="D73" s="38">
        <v>95</v>
      </c>
      <c r="E73" s="38">
        <v>1265</v>
      </c>
      <c r="F73" s="40"/>
      <c r="G73" s="40"/>
    </row>
    <row r="74" spans="1:7" ht="15.6" x14ac:dyDescent="0.3">
      <c r="A74" s="40"/>
      <c r="B74" s="115"/>
      <c r="C74" s="38" t="str">
        <f t="shared" si="5"/>
        <v>M</v>
      </c>
      <c r="D74" s="38">
        <v>95</v>
      </c>
      <c r="E74" s="38">
        <v>2886</v>
      </c>
      <c r="F74" s="40"/>
      <c r="G74" s="40"/>
    </row>
    <row r="75" spans="1:7" ht="15.6" x14ac:dyDescent="0.3">
      <c r="A75" s="40"/>
      <c r="B75" s="115"/>
      <c r="C75" s="38" t="str">
        <f t="shared" si="5"/>
        <v>V</v>
      </c>
      <c r="D75" s="38">
        <v>90</v>
      </c>
      <c r="E75" s="38">
        <v>1269</v>
      </c>
      <c r="F75" s="40"/>
      <c r="G75" s="40"/>
    </row>
    <row r="76" spans="1:7" ht="15.6" x14ac:dyDescent="0.3">
      <c r="A76" s="40"/>
      <c r="B76" s="115"/>
      <c r="C76" s="38" t="str">
        <f t="shared" si="5"/>
        <v>F</v>
      </c>
      <c r="D76" s="38">
        <v>95</v>
      </c>
      <c r="E76" s="38">
        <v>4233</v>
      </c>
      <c r="F76" s="40"/>
      <c r="G76" s="40"/>
    </row>
    <row r="77" spans="1:7" ht="15.6" x14ac:dyDescent="0.3">
      <c r="A77" s="40"/>
      <c r="B77" s="115" t="s">
        <v>77</v>
      </c>
      <c r="C77" s="38" t="str">
        <f t="shared" si="5"/>
        <v>P</v>
      </c>
      <c r="D77" s="38">
        <v>90</v>
      </c>
      <c r="E77" s="38">
        <v>1179</v>
      </c>
      <c r="F77" s="40"/>
      <c r="G77" s="40"/>
    </row>
    <row r="78" spans="1:7" ht="15.6" x14ac:dyDescent="0.3">
      <c r="A78" s="40"/>
      <c r="B78" s="115"/>
      <c r="C78" s="38" t="str">
        <f t="shared" si="5"/>
        <v>M</v>
      </c>
      <c r="D78" s="38">
        <v>90</v>
      </c>
      <c r="E78" s="38">
        <v>2846</v>
      </c>
      <c r="F78" s="40"/>
      <c r="G78" s="40"/>
    </row>
    <row r="79" spans="1:7" ht="15.6" x14ac:dyDescent="0.3">
      <c r="A79" s="40"/>
      <c r="B79" s="115"/>
      <c r="C79" s="38" t="str">
        <f t="shared" si="5"/>
        <v>V</v>
      </c>
      <c r="D79" s="38">
        <v>90</v>
      </c>
      <c r="E79" s="38">
        <v>1150</v>
      </c>
      <c r="F79" s="40"/>
      <c r="G79" s="40"/>
    </row>
    <row r="80" spans="1:7" ht="15.6" x14ac:dyDescent="0.3">
      <c r="A80" s="40"/>
      <c r="B80" s="115"/>
      <c r="C80" s="38" t="str">
        <f t="shared" si="5"/>
        <v>F</v>
      </c>
      <c r="D80" s="38">
        <v>95</v>
      </c>
      <c r="E80" s="38">
        <v>4246</v>
      </c>
      <c r="F80" s="40"/>
      <c r="G80" s="40"/>
    </row>
    <row r="81" spans="1:7" ht="15.6" x14ac:dyDescent="0.3">
      <c r="A81" s="40"/>
      <c r="B81" s="115" t="s">
        <v>78</v>
      </c>
      <c r="C81" s="38" t="str">
        <f t="shared" si="5"/>
        <v>P</v>
      </c>
      <c r="D81" s="38">
        <v>85</v>
      </c>
      <c r="E81" s="38">
        <v>1256</v>
      </c>
      <c r="F81" s="40"/>
      <c r="G81" s="40"/>
    </row>
    <row r="82" spans="1:7" ht="15.6" x14ac:dyDescent="0.3">
      <c r="A82" s="40"/>
      <c r="B82" s="115"/>
      <c r="C82" s="38" t="str">
        <f t="shared" si="5"/>
        <v>M</v>
      </c>
      <c r="D82" s="38">
        <v>100</v>
      </c>
      <c r="E82" s="38">
        <v>2883</v>
      </c>
      <c r="F82" s="40"/>
      <c r="G82" s="40"/>
    </row>
    <row r="83" spans="1:7" ht="15.6" x14ac:dyDescent="0.3">
      <c r="A83" s="40"/>
      <c r="B83" s="115"/>
      <c r="C83" s="38" t="str">
        <f t="shared" si="5"/>
        <v>V</v>
      </c>
      <c r="D83" s="38">
        <v>85</v>
      </c>
      <c r="E83" s="38">
        <v>1178</v>
      </c>
      <c r="F83" s="40"/>
      <c r="G83" s="40"/>
    </row>
    <row r="84" spans="1:7" ht="15.6" x14ac:dyDescent="0.3">
      <c r="A84" s="40"/>
      <c r="B84" s="115"/>
      <c r="C84" s="38" t="str">
        <f t="shared" si="5"/>
        <v>F</v>
      </c>
      <c r="D84" s="38">
        <v>105</v>
      </c>
      <c r="E84" s="38">
        <v>4398</v>
      </c>
      <c r="F84" s="40"/>
      <c r="G84" s="40"/>
    </row>
    <row r="85" spans="1:7" ht="15.6" x14ac:dyDescent="0.3">
      <c r="A85" s="40"/>
      <c r="B85" s="115" t="s">
        <v>79</v>
      </c>
      <c r="C85" s="38" t="str">
        <f t="shared" si="5"/>
        <v>P</v>
      </c>
      <c r="D85" s="38">
        <v>105</v>
      </c>
      <c r="E85" s="38">
        <v>1214</v>
      </c>
      <c r="F85" s="40"/>
      <c r="G85" s="40"/>
    </row>
    <row r="86" spans="1:7" ht="15.6" x14ac:dyDescent="0.3">
      <c r="A86" s="40"/>
      <c r="B86" s="115"/>
      <c r="C86" s="38" t="str">
        <f t="shared" si="5"/>
        <v>M</v>
      </c>
      <c r="D86" s="38">
        <v>95</v>
      </c>
      <c r="E86" s="38">
        <v>2815</v>
      </c>
      <c r="F86" s="40"/>
      <c r="G86" s="40"/>
    </row>
    <row r="87" spans="1:7" ht="15.6" x14ac:dyDescent="0.3">
      <c r="A87" s="40"/>
      <c r="B87" s="115"/>
      <c r="C87" s="38" t="str">
        <f t="shared" si="5"/>
        <v>V</v>
      </c>
      <c r="D87" s="38">
        <v>95</v>
      </c>
      <c r="E87" s="38">
        <v>1259</v>
      </c>
      <c r="F87" s="40"/>
      <c r="G87" s="40"/>
    </row>
    <row r="88" spans="1:7" ht="15.6" x14ac:dyDescent="0.3">
      <c r="A88" s="40"/>
      <c r="B88" s="115"/>
      <c r="C88" s="38" t="str">
        <f t="shared" si="5"/>
        <v>F</v>
      </c>
      <c r="D88" s="38">
        <v>90</v>
      </c>
      <c r="E88" s="38">
        <v>4279</v>
      </c>
      <c r="F88" s="40"/>
      <c r="G88" s="40"/>
    </row>
    <row r="89" spans="1:7" ht="15.6" x14ac:dyDescent="0.3">
      <c r="A89" s="40"/>
      <c r="B89" s="115" t="s">
        <v>80</v>
      </c>
      <c r="C89" s="38" t="str">
        <f t="shared" si="5"/>
        <v>P</v>
      </c>
      <c r="D89" s="38">
        <v>90</v>
      </c>
      <c r="E89" s="38">
        <v>1296</v>
      </c>
      <c r="F89" s="40"/>
      <c r="G89" s="40"/>
    </row>
    <row r="90" spans="1:7" ht="15.6" x14ac:dyDescent="0.3">
      <c r="A90" s="40"/>
      <c r="B90" s="115"/>
      <c r="C90" s="38" t="str">
        <f t="shared" ref="C90:C100" si="10">+C86</f>
        <v>M</v>
      </c>
      <c r="D90" s="38">
        <v>100</v>
      </c>
      <c r="E90" s="38">
        <v>2729</v>
      </c>
      <c r="F90" s="40"/>
      <c r="G90" s="40"/>
    </row>
    <row r="91" spans="1:7" ht="15.6" x14ac:dyDescent="0.3">
      <c r="A91" s="40"/>
      <c r="B91" s="115"/>
      <c r="C91" s="38" t="str">
        <f t="shared" si="10"/>
        <v>V</v>
      </c>
      <c r="D91" s="38">
        <v>95</v>
      </c>
      <c r="E91" s="38">
        <v>1297</v>
      </c>
      <c r="F91" s="40"/>
      <c r="G91" s="40"/>
    </row>
    <row r="92" spans="1:7" ht="15.6" x14ac:dyDescent="0.3">
      <c r="A92" s="40"/>
      <c r="B92" s="115"/>
      <c r="C92" s="38" t="str">
        <f t="shared" si="10"/>
        <v>F</v>
      </c>
      <c r="D92" s="38">
        <v>100</v>
      </c>
      <c r="E92" s="38">
        <v>4174</v>
      </c>
      <c r="F92" s="40"/>
      <c r="G92" s="40"/>
    </row>
    <row r="93" spans="1:7" ht="15.6" x14ac:dyDescent="0.3">
      <c r="A93" s="40"/>
      <c r="B93" s="115" t="s">
        <v>81</v>
      </c>
      <c r="C93" s="38" t="str">
        <f t="shared" si="10"/>
        <v>P</v>
      </c>
      <c r="D93" s="38">
        <v>95</v>
      </c>
      <c r="E93" s="38">
        <v>1202</v>
      </c>
      <c r="F93" s="40"/>
      <c r="G93" s="40"/>
    </row>
    <row r="94" spans="1:7" ht="15.6" x14ac:dyDescent="0.3">
      <c r="A94" s="40"/>
      <c r="B94" s="115"/>
      <c r="C94" s="38" t="str">
        <f t="shared" si="10"/>
        <v>M</v>
      </c>
      <c r="D94" s="38">
        <v>100</v>
      </c>
      <c r="E94" s="38">
        <v>2716</v>
      </c>
      <c r="F94" s="40"/>
      <c r="G94" s="40"/>
    </row>
    <row r="95" spans="1:7" ht="15.6" x14ac:dyDescent="0.3">
      <c r="A95" s="40"/>
      <c r="B95" s="115"/>
      <c r="C95" s="38" t="str">
        <f t="shared" si="10"/>
        <v>V</v>
      </c>
      <c r="D95" s="38">
        <v>95</v>
      </c>
      <c r="E95" s="38">
        <v>1271</v>
      </c>
      <c r="F95" s="40"/>
      <c r="G95" s="40"/>
    </row>
    <row r="96" spans="1:7" ht="15.6" x14ac:dyDescent="0.3">
      <c r="A96" s="40"/>
      <c r="B96" s="115"/>
      <c r="C96" s="38" t="str">
        <f t="shared" si="10"/>
        <v>F</v>
      </c>
      <c r="D96" s="38">
        <v>95</v>
      </c>
      <c r="E96" s="38">
        <v>4269</v>
      </c>
      <c r="F96" s="40"/>
      <c r="G96" s="40"/>
    </row>
    <row r="97" spans="1:7" ht="15.6" x14ac:dyDescent="0.3">
      <c r="A97" s="40"/>
      <c r="B97" s="115" t="s">
        <v>82</v>
      </c>
      <c r="C97" s="38" t="str">
        <f t="shared" si="10"/>
        <v>P</v>
      </c>
      <c r="D97" s="38">
        <v>105</v>
      </c>
      <c r="E97" s="38">
        <v>1132</v>
      </c>
      <c r="F97" s="40"/>
      <c r="G97" s="40"/>
    </row>
    <row r="98" spans="1:7" ht="15.6" x14ac:dyDescent="0.3">
      <c r="A98" s="40"/>
      <c r="B98" s="115"/>
      <c r="C98" s="38" t="str">
        <f t="shared" si="10"/>
        <v>M</v>
      </c>
      <c r="D98" s="38">
        <v>105</v>
      </c>
      <c r="E98" s="38">
        <v>2765</v>
      </c>
      <c r="F98" s="40"/>
      <c r="G98" s="40"/>
    </row>
    <row r="99" spans="1:7" ht="15.6" x14ac:dyDescent="0.3">
      <c r="A99" s="40"/>
      <c r="B99" s="115"/>
      <c r="C99" s="38" t="str">
        <f t="shared" si="10"/>
        <v>V</v>
      </c>
      <c r="D99" s="38">
        <v>95</v>
      </c>
      <c r="E99" s="38">
        <v>1119</v>
      </c>
      <c r="F99" s="40"/>
      <c r="G99" s="40"/>
    </row>
    <row r="100" spans="1:7" ht="15.6" x14ac:dyDescent="0.3">
      <c r="A100" s="40"/>
      <c r="B100" s="115"/>
      <c r="C100" s="38" t="str">
        <f t="shared" si="10"/>
        <v>F</v>
      </c>
      <c r="D100" s="38">
        <v>95</v>
      </c>
      <c r="E100" s="38">
        <v>4174</v>
      </c>
      <c r="F100" s="40"/>
      <c r="G100" s="40"/>
    </row>
    <row r="101" spans="1:7" ht="15.6" x14ac:dyDescent="0.3">
      <c r="A101" s="40"/>
      <c r="B101" s="38" t="str">
        <f>+CONCATENATE("T = ",C9,"h",D9,"'",E9,"''")</f>
        <v>T = 9h53'26''</v>
      </c>
      <c r="C101" s="38" t="s">
        <v>12</v>
      </c>
      <c r="D101" s="38" t="s">
        <v>54</v>
      </c>
      <c r="E101" s="38">
        <v>2147</v>
      </c>
      <c r="F101" s="40"/>
      <c r="G101" s="40"/>
    </row>
    <row r="102" spans="1:7" ht="15.6" x14ac:dyDescent="0.3">
      <c r="A102" s="40"/>
      <c r="B102" s="38"/>
      <c r="C102" s="38"/>
      <c r="D102" s="38" t="s">
        <v>16</v>
      </c>
      <c r="E102" s="38">
        <f>+SUM(E20:E101)</f>
        <v>195567</v>
      </c>
      <c r="F102" s="40"/>
      <c r="G102" s="40"/>
    </row>
    <row r="103" spans="1:7" ht="15.6" x14ac:dyDescent="0.3">
      <c r="A103" s="40"/>
      <c r="B103" s="40"/>
      <c r="C103" s="40"/>
      <c r="D103" s="40"/>
      <c r="E103" s="40"/>
      <c r="F103" s="40"/>
      <c r="G103" s="40"/>
    </row>
    <row r="104" spans="1:7" ht="15.6" x14ac:dyDescent="0.3">
      <c r="A104" s="40"/>
      <c r="B104" s="40"/>
      <c r="C104" s="40"/>
      <c r="D104" s="40"/>
      <c r="E104" s="40">
        <f>+E102/100</f>
        <v>1955.67</v>
      </c>
      <c r="F104" s="40"/>
      <c r="G104" s="40"/>
    </row>
    <row r="105" spans="1:7" ht="15.6" x14ac:dyDescent="0.3">
      <c r="A105" s="40"/>
      <c r="B105" s="40"/>
      <c r="C105" s="40"/>
      <c r="D105" s="40"/>
      <c r="E105" s="40">
        <f>+E104/3600</f>
        <v>0.54324166666666673</v>
      </c>
      <c r="F105" s="40"/>
      <c r="G105" s="40"/>
    </row>
    <row r="106" spans="1:7" ht="15.6" x14ac:dyDescent="0.3">
      <c r="A106" s="40"/>
      <c r="B106" s="40"/>
      <c r="C106" s="40"/>
      <c r="D106" s="40"/>
      <c r="E106" s="40">
        <f>+(E105-F125)*60</f>
        <v>32.594500000000004</v>
      </c>
      <c r="F106" s="40"/>
      <c r="G106" s="40"/>
    </row>
    <row r="107" spans="1:7" x14ac:dyDescent="0.3">
      <c r="B107" s="20"/>
      <c r="C107" s="20"/>
      <c r="D107" s="20"/>
      <c r="E107" s="20">
        <f>+(E106-F126)*60</f>
        <v>35.670000000000215</v>
      </c>
    </row>
    <row r="108" spans="1:7" x14ac:dyDescent="0.3">
      <c r="B108" s="20"/>
      <c r="C108" s="20"/>
      <c r="D108" s="20"/>
      <c r="E108" s="20"/>
    </row>
    <row r="109" spans="1:7" x14ac:dyDescent="0.3">
      <c r="B109" s="20"/>
      <c r="C109" s="20"/>
      <c r="D109" s="20"/>
      <c r="E109" s="20"/>
    </row>
    <row r="110" spans="1:7" x14ac:dyDescent="0.3">
      <c r="B110" s="20"/>
      <c r="C110" s="20"/>
      <c r="D110" s="20"/>
      <c r="E110" s="20"/>
    </row>
    <row r="111" spans="1:7" x14ac:dyDescent="0.3">
      <c r="B111" s="20"/>
      <c r="C111" s="20"/>
      <c r="D111" s="20"/>
      <c r="E111" s="20"/>
    </row>
    <row r="112" spans="1:7" x14ac:dyDescent="0.3">
      <c r="B112" s="20"/>
      <c r="C112" s="20"/>
      <c r="D112" s="20"/>
      <c r="E112" s="20"/>
    </row>
    <row r="113" spans="2:6" x14ac:dyDescent="0.3">
      <c r="B113" s="20"/>
      <c r="C113" s="20"/>
      <c r="D113" s="20"/>
      <c r="E113" s="20"/>
    </row>
    <row r="114" spans="2:6" x14ac:dyDescent="0.3">
      <c r="B114" s="20"/>
      <c r="C114" s="20"/>
      <c r="D114" s="20"/>
      <c r="E114" s="20"/>
    </row>
    <row r="115" spans="2:6" x14ac:dyDescent="0.3">
      <c r="B115" s="20"/>
      <c r="C115" s="20"/>
      <c r="D115" s="20"/>
      <c r="E115" s="20"/>
    </row>
    <row r="116" spans="2:6" x14ac:dyDescent="0.3">
      <c r="B116" s="20"/>
      <c r="C116" s="20"/>
      <c r="D116" s="20"/>
      <c r="E116" s="20"/>
    </row>
    <row r="117" spans="2:6" x14ac:dyDescent="0.3">
      <c r="B117" s="20"/>
      <c r="C117" s="20"/>
      <c r="D117" s="20"/>
      <c r="E117" s="20"/>
    </row>
    <row r="118" spans="2:6" x14ac:dyDescent="0.3">
      <c r="B118" s="20"/>
      <c r="C118" s="20"/>
      <c r="D118" s="20"/>
      <c r="E118" s="20"/>
    </row>
    <row r="119" spans="2:6" x14ac:dyDescent="0.3">
      <c r="B119" s="20"/>
      <c r="C119" s="20"/>
      <c r="D119" s="20"/>
      <c r="E119" s="20"/>
    </row>
    <row r="120" spans="2:6" x14ac:dyDescent="0.3">
      <c r="B120" s="20"/>
      <c r="C120" s="20"/>
      <c r="D120" s="20"/>
      <c r="E120" s="20"/>
    </row>
    <row r="121" spans="2:6" x14ac:dyDescent="0.3">
      <c r="B121" s="20"/>
      <c r="C121" s="20"/>
      <c r="D121" s="20"/>
      <c r="E121" s="20"/>
    </row>
    <row r="122" spans="2:6" x14ac:dyDescent="0.3">
      <c r="B122" s="20"/>
      <c r="C122" s="20"/>
      <c r="D122" s="20"/>
      <c r="E122" s="20"/>
    </row>
    <row r="123" spans="2:6" x14ac:dyDescent="0.3">
      <c r="B123" s="20"/>
      <c r="C123" s="20"/>
      <c r="D123" s="20"/>
      <c r="E123" s="20"/>
    </row>
    <row r="124" spans="2:6" x14ac:dyDescent="0.3">
      <c r="B124" s="20"/>
      <c r="C124" s="20"/>
      <c r="D124" s="20"/>
      <c r="E124" s="20"/>
    </row>
    <row r="125" spans="2:6" x14ac:dyDescent="0.3">
      <c r="B125" s="20"/>
      <c r="C125" s="20"/>
      <c r="D125" s="20"/>
      <c r="E125" s="20"/>
      <c r="F125">
        <f>+INT(E105)</f>
        <v>0</v>
      </c>
    </row>
    <row r="126" spans="2:6" x14ac:dyDescent="0.3">
      <c r="B126" s="20"/>
      <c r="C126" s="20"/>
      <c r="D126" s="20"/>
      <c r="E126" s="20"/>
      <c r="F126" s="1">
        <f>+INT(E106)</f>
        <v>32</v>
      </c>
    </row>
    <row r="127" spans="2:6" x14ac:dyDescent="0.3">
      <c r="F127" s="21">
        <f>+ROUND(E107,0)</f>
        <v>36</v>
      </c>
    </row>
    <row r="128" spans="2:6" x14ac:dyDescent="0.3">
      <c r="B128" s="16"/>
      <c r="C128" s="16"/>
      <c r="D128" s="16"/>
      <c r="E128" s="16"/>
      <c r="F128" s="20"/>
    </row>
    <row r="129" spans="2:6" x14ac:dyDescent="0.3">
      <c r="B129" s="16"/>
      <c r="C129" s="16"/>
      <c r="D129" s="16"/>
      <c r="E129" s="16"/>
      <c r="F129" s="20"/>
    </row>
    <row r="130" spans="2:6" x14ac:dyDescent="0.3">
      <c r="B130" s="16"/>
      <c r="C130" s="16"/>
      <c r="D130" s="16"/>
      <c r="E130" s="16"/>
      <c r="F130" s="20"/>
    </row>
    <row r="131" spans="2:6" x14ac:dyDescent="0.3">
      <c r="B131" s="16"/>
      <c r="C131" s="16"/>
      <c r="D131" s="16"/>
      <c r="E131" s="16"/>
      <c r="F131" s="20"/>
    </row>
    <row r="132" spans="2:6" x14ac:dyDescent="0.3">
      <c r="B132" s="16"/>
      <c r="C132" s="16"/>
      <c r="D132" s="16"/>
      <c r="E132" s="16"/>
      <c r="F132" s="20"/>
    </row>
    <row r="133" spans="2:6" x14ac:dyDescent="0.3">
      <c r="F133" s="20"/>
    </row>
    <row r="134" spans="2:6" x14ac:dyDescent="0.3">
      <c r="F134" s="20"/>
    </row>
    <row r="135" spans="2:6" x14ac:dyDescent="0.3">
      <c r="F135" s="20"/>
    </row>
    <row r="136" spans="2:6" x14ac:dyDescent="0.3">
      <c r="F136" s="20"/>
    </row>
    <row r="137" spans="2:6" x14ac:dyDescent="0.3">
      <c r="F137" s="20"/>
    </row>
    <row r="138" spans="2:6" x14ac:dyDescent="0.3">
      <c r="F138" s="20"/>
    </row>
    <row r="139" spans="2:6" x14ac:dyDescent="0.3">
      <c r="F139" s="20"/>
    </row>
    <row r="140" spans="2:6" x14ac:dyDescent="0.3">
      <c r="F140" s="20"/>
    </row>
    <row r="141" spans="2:6" x14ac:dyDescent="0.3">
      <c r="F141" s="20"/>
    </row>
    <row r="142" spans="2:6" x14ac:dyDescent="0.3">
      <c r="F142" s="20"/>
    </row>
    <row r="143" spans="2:6" x14ac:dyDescent="0.3">
      <c r="F143" s="20"/>
    </row>
    <row r="144" spans="2:6" x14ac:dyDescent="0.3">
      <c r="F144" s="20"/>
    </row>
    <row r="145" spans="6:6" x14ac:dyDescent="0.3">
      <c r="F145" s="20"/>
    </row>
    <row r="146" spans="6:6" x14ac:dyDescent="0.3">
      <c r="F146" s="20"/>
    </row>
    <row r="148" spans="6:6" x14ac:dyDescent="0.3">
      <c r="F148" s="16"/>
    </row>
    <row r="149" spans="6:6" x14ac:dyDescent="0.3">
      <c r="F149" s="16"/>
    </row>
    <row r="150" spans="6:6" x14ac:dyDescent="0.3">
      <c r="F150" s="16"/>
    </row>
    <row r="151" spans="6:6" x14ac:dyDescent="0.3">
      <c r="F151" s="16"/>
    </row>
    <row r="152" spans="6:6" x14ac:dyDescent="0.3">
      <c r="F152" s="16"/>
    </row>
    <row r="181" spans="9:24" x14ac:dyDescent="0.3">
      <c r="I181" s="16"/>
    </row>
    <row r="182" spans="9:24" x14ac:dyDescent="0.3">
      <c r="I182" s="16"/>
      <c r="J182" s="16"/>
      <c r="K182" s="16"/>
      <c r="L182" s="16"/>
      <c r="M182" s="16"/>
      <c r="N182" s="16"/>
      <c r="O182" s="16"/>
      <c r="P182" s="16"/>
    </row>
    <row r="183" spans="9:24" x14ac:dyDescent="0.3">
      <c r="I183" s="16"/>
      <c r="J183" s="16"/>
      <c r="K183" s="16"/>
      <c r="L183" s="16"/>
      <c r="M183" s="16"/>
      <c r="N183" s="16"/>
      <c r="O183" s="16"/>
      <c r="P183" s="16"/>
      <c r="S183" s="16"/>
      <c r="T183" s="16"/>
      <c r="U183" s="16"/>
      <c r="V183" s="16"/>
      <c r="W183" s="16"/>
      <c r="X183" s="16"/>
    </row>
    <row r="184" spans="9:24" x14ac:dyDescent="0.3">
      <c r="I184" s="16"/>
      <c r="J184" s="16"/>
      <c r="K184" s="16"/>
      <c r="L184" s="16"/>
      <c r="M184" s="16"/>
      <c r="N184" s="16"/>
      <c r="O184" s="16"/>
      <c r="P184" s="16"/>
      <c r="S184" s="16"/>
      <c r="T184" s="16"/>
      <c r="U184" s="16"/>
      <c r="V184" s="16"/>
      <c r="W184" s="16"/>
      <c r="X184" s="16"/>
    </row>
    <row r="185" spans="9:24" x14ac:dyDescent="0.3">
      <c r="I185" s="16"/>
      <c r="J185" s="16"/>
      <c r="K185" s="16"/>
      <c r="L185" s="16"/>
      <c r="M185" s="16"/>
      <c r="N185" s="16"/>
      <c r="O185" s="16"/>
      <c r="P185" s="16"/>
      <c r="S185" s="16"/>
      <c r="T185" s="16"/>
      <c r="U185" s="16"/>
      <c r="V185" s="16"/>
      <c r="W185" s="16"/>
      <c r="X185" s="16"/>
    </row>
    <row r="186" spans="9:24" x14ac:dyDescent="0.3">
      <c r="S186" s="16"/>
      <c r="T186" s="16"/>
      <c r="U186" s="16"/>
      <c r="V186" s="16"/>
      <c r="W186" s="16"/>
      <c r="X186" s="16"/>
    </row>
    <row r="187" spans="9:24" x14ac:dyDescent="0.3">
      <c r="S187" s="16"/>
      <c r="T187" s="16"/>
      <c r="U187" s="16"/>
      <c r="V187" s="16"/>
      <c r="W187" s="16"/>
      <c r="X187" s="16"/>
    </row>
  </sheetData>
  <mergeCells count="25">
    <mergeCell ref="B93:B96"/>
    <mergeCell ref="B97:B100"/>
    <mergeCell ref="C15:F15"/>
    <mergeCell ref="B73:B76"/>
    <mergeCell ref="B77:B80"/>
    <mergeCell ref="B81:B84"/>
    <mergeCell ref="B85:B88"/>
    <mergeCell ref="B89:B92"/>
    <mergeCell ref="B53:B56"/>
    <mergeCell ref="B57:B60"/>
    <mergeCell ref="B61:B64"/>
    <mergeCell ref="B65:B68"/>
    <mergeCell ref="B69:B72"/>
    <mergeCell ref="B33:B36"/>
    <mergeCell ref="B37:B40"/>
    <mergeCell ref="B41:B44"/>
    <mergeCell ref="B45:B48"/>
    <mergeCell ref="B49:B52"/>
    <mergeCell ref="K29:L29"/>
    <mergeCell ref="K4:L4"/>
    <mergeCell ref="N4:O4"/>
    <mergeCell ref="N29:O29"/>
    <mergeCell ref="B21:B24"/>
    <mergeCell ref="B25:B28"/>
    <mergeCell ref="B29:B32"/>
  </mergeCells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62949-2F54-4185-9423-3D4CA45E3054}">
  <dimension ref="A1:Q18"/>
  <sheetViews>
    <sheetView showGridLines="0" workbookViewId="0">
      <selection activeCell="S21" sqref="S21"/>
    </sheetView>
  </sheetViews>
  <sheetFormatPr baseColWidth="10" defaultRowHeight="14.4" x14ac:dyDescent="0.3"/>
  <cols>
    <col min="2" max="2" width="3" bestFit="1" customWidth="1"/>
    <col min="3" max="3" width="6" bestFit="1" customWidth="1"/>
    <col min="4" max="4" width="8.33203125" bestFit="1" customWidth="1"/>
    <col min="5" max="5" width="9.5546875" bestFit="1" customWidth="1"/>
    <col min="6" max="6" width="2" bestFit="1" customWidth="1"/>
    <col min="7" max="7" width="7.6640625" bestFit="1" customWidth="1"/>
    <col min="8" max="8" width="2.6640625" bestFit="1" customWidth="1"/>
    <col min="10" max="10" width="5.88671875" bestFit="1" customWidth="1"/>
    <col min="11" max="11" width="2" bestFit="1" customWidth="1"/>
    <col min="12" max="12" width="7.6640625" bestFit="1" customWidth="1"/>
    <col min="13" max="13" width="2.6640625" bestFit="1" customWidth="1"/>
  </cols>
  <sheetData>
    <row r="1" spans="1:17" x14ac:dyDescent="0.3">
      <c r="A1" s="1"/>
    </row>
    <row r="2" spans="1:17" ht="15" thickBot="1" x14ac:dyDescent="0.35">
      <c r="A2" s="1"/>
      <c r="C2" s="1"/>
      <c r="P2" s="17"/>
      <c r="Q2" s="17"/>
    </row>
    <row r="3" spans="1:17" ht="16.2" thickBot="1" x14ac:dyDescent="0.35">
      <c r="A3" s="1"/>
      <c r="B3" s="6"/>
      <c r="C3" s="30" t="s">
        <v>0</v>
      </c>
      <c r="D3" s="30" t="s">
        <v>1</v>
      </c>
      <c r="E3" s="30" t="s">
        <v>2</v>
      </c>
      <c r="J3" s="9" t="s">
        <v>11</v>
      </c>
      <c r="K3" s="10" t="s">
        <v>4</v>
      </c>
      <c r="L3" s="33">
        <f>+'Hoja de cronometraje'!E20</f>
        <v>3372</v>
      </c>
      <c r="M3" s="8" t="s">
        <v>7</v>
      </c>
      <c r="P3" s="47" t="s">
        <v>83</v>
      </c>
      <c r="Q3" s="48" t="s">
        <v>84</v>
      </c>
    </row>
    <row r="4" spans="1:17" ht="16.2" thickBot="1" x14ac:dyDescent="0.35">
      <c r="A4" s="1"/>
      <c r="B4" s="13" t="s">
        <v>3</v>
      </c>
      <c r="C4" s="3">
        <f>+'Hoja de cronometraje'!C9</f>
        <v>9</v>
      </c>
      <c r="D4" s="3">
        <f>+'Hoja de cronometraje'!D9</f>
        <v>53</v>
      </c>
      <c r="E4" s="3">
        <f>+'Hoja de cronometraje'!E9</f>
        <v>26</v>
      </c>
      <c r="F4" t="s">
        <v>4</v>
      </c>
      <c r="G4" s="4">
        <f>(C4*3600)+(D4*60)+E4</f>
        <v>35606</v>
      </c>
      <c r="H4" s="5" t="s">
        <v>5</v>
      </c>
      <c r="J4" s="9" t="s">
        <v>12</v>
      </c>
      <c r="K4" s="10" t="s">
        <v>4</v>
      </c>
      <c r="L4" s="32">
        <f>+'Hoja de cronometraje'!E101</f>
        <v>2147</v>
      </c>
      <c r="M4" s="8" t="s">
        <v>7</v>
      </c>
      <c r="P4" s="42" t="s">
        <v>85</v>
      </c>
      <c r="Q4" s="44" t="str">
        <f>+CONCATENATE(C4,"h ",D4,"'",E4,"""")</f>
        <v>9h 53'26"</v>
      </c>
    </row>
    <row r="5" spans="1:17" ht="16.2" thickBot="1" x14ac:dyDescent="0.35">
      <c r="A5" s="1"/>
      <c r="B5" s="15" t="s">
        <v>6</v>
      </c>
      <c r="C5" s="3">
        <f>+'Hoja de cronometraje'!C10</f>
        <v>9</v>
      </c>
      <c r="D5" s="3">
        <f>+'Hoja de cronometraje'!D10</f>
        <v>20</v>
      </c>
      <c r="E5" s="3">
        <f>+'Hoja de cronometraje'!E10</f>
        <v>50</v>
      </c>
      <c r="F5" t="s">
        <v>4</v>
      </c>
      <c r="G5" s="7">
        <f>(C5*3600)+(D5*60)+E5</f>
        <v>33650</v>
      </c>
      <c r="H5" s="8" t="s">
        <v>5</v>
      </c>
      <c r="J5" s="9" t="s">
        <v>14</v>
      </c>
      <c r="K5" s="10" t="s">
        <v>4</v>
      </c>
      <c r="L5" s="34">
        <v>0</v>
      </c>
      <c r="M5" s="8" t="s">
        <v>7</v>
      </c>
      <c r="P5" s="42" t="s">
        <v>86</v>
      </c>
      <c r="Q5" s="44" t="str">
        <f>+CONCATENATE(C5,"h ",D5,"'",E5,"""")</f>
        <v>9h 20'50"</v>
      </c>
    </row>
    <row r="6" spans="1:17" ht="15.6" x14ac:dyDescent="0.3">
      <c r="E6" s="1"/>
      <c r="J6" s="1"/>
      <c r="P6" s="43" t="s">
        <v>10</v>
      </c>
      <c r="Q6" s="45" t="str">
        <f>+CONCATENATE(G7," seg")</f>
        <v>1956 seg</v>
      </c>
    </row>
    <row r="7" spans="1:17" ht="16.2" thickBot="1" x14ac:dyDescent="0.35">
      <c r="E7" s="9" t="s">
        <v>10</v>
      </c>
      <c r="F7" s="10" t="s">
        <v>4</v>
      </c>
      <c r="G7" s="10">
        <f>G4-G5</f>
        <v>1956</v>
      </c>
      <c r="H7" s="8" t="s">
        <v>5</v>
      </c>
      <c r="J7" s="1"/>
      <c r="P7" s="43" t="s">
        <v>10</v>
      </c>
      <c r="Q7" s="45" t="str">
        <f>+CONCATENATE(G8," c.s.")</f>
        <v>195600 c.s.</v>
      </c>
    </row>
    <row r="8" spans="1:17" ht="16.2" thickBot="1" x14ac:dyDescent="0.35">
      <c r="E8" s="9" t="s">
        <v>10</v>
      </c>
      <c r="F8" s="10" t="s">
        <v>4</v>
      </c>
      <c r="G8" s="32">
        <f>G7*100</f>
        <v>195600</v>
      </c>
      <c r="H8" s="8" t="s">
        <v>7</v>
      </c>
      <c r="J8" s="9" t="s">
        <v>13</v>
      </c>
      <c r="K8" s="10" t="s">
        <v>4</v>
      </c>
      <c r="L8" s="10">
        <f>G8-L3-L4</f>
        <v>190081</v>
      </c>
      <c r="M8" s="8" t="s">
        <v>7</v>
      </c>
      <c r="P8" s="42" t="s">
        <v>11</v>
      </c>
      <c r="Q8" s="44" t="str">
        <f>+CONCATENATE(L3," c.s.")</f>
        <v>3372 c.s.</v>
      </c>
    </row>
    <row r="9" spans="1:17" ht="15.6" x14ac:dyDescent="0.3">
      <c r="J9" s="9" t="s">
        <v>15</v>
      </c>
      <c r="K9" s="10" t="s">
        <v>4</v>
      </c>
      <c r="L9" s="10">
        <f>L8-L5</f>
        <v>190081</v>
      </c>
      <c r="M9" s="8" t="s">
        <v>7</v>
      </c>
      <c r="P9" s="42" t="s">
        <v>12</v>
      </c>
      <c r="Q9" s="44" t="str">
        <f>+CONCATENATE(L4," c.s.")</f>
        <v>2147 c.s.</v>
      </c>
    </row>
    <row r="10" spans="1:17" ht="15.6" x14ac:dyDescent="0.3">
      <c r="J10" s="1"/>
      <c r="P10" s="43" t="s">
        <v>13</v>
      </c>
      <c r="Q10" s="45" t="str">
        <f>+CONCATENATE(L8," c.s.")</f>
        <v>190081 c.s.</v>
      </c>
    </row>
    <row r="11" spans="1:17" ht="15.6" x14ac:dyDescent="0.3">
      <c r="P11" s="43" t="s">
        <v>87</v>
      </c>
      <c r="Q11" s="45" t="str">
        <f>+CONCATENATE(L5," c.s.")</f>
        <v>0 c.s.</v>
      </c>
    </row>
    <row r="12" spans="1:17" ht="15.6" x14ac:dyDescent="0.3">
      <c r="J12" s="12" t="s">
        <v>16</v>
      </c>
      <c r="K12" s="10" t="s">
        <v>4</v>
      </c>
      <c r="L12" s="10">
        <f>+'Hoja de cronometraje'!E102</f>
        <v>195567</v>
      </c>
      <c r="M12" s="8" t="s">
        <v>7</v>
      </c>
      <c r="P12" s="43" t="s">
        <v>15</v>
      </c>
      <c r="Q12" s="45" t="str">
        <f>+CONCATENATE(L9," c.s.")</f>
        <v>190081 c.s.</v>
      </c>
    </row>
    <row r="13" spans="1:17" ht="15.6" x14ac:dyDescent="0.3">
      <c r="J13" s="12" t="s">
        <v>17</v>
      </c>
      <c r="K13" s="10" t="s">
        <v>4</v>
      </c>
      <c r="L13" s="10">
        <f>G8-L12</f>
        <v>33</v>
      </c>
      <c r="M13" s="8" t="s">
        <v>7</v>
      </c>
      <c r="P13" s="42" t="s">
        <v>16</v>
      </c>
      <c r="Q13" s="44" t="str">
        <f>+CONCATENATE(L12," c.s.")</f>
        <v>195567 c.s.</v>
      </c>
    </row>
    <row r="14" spans="1:17" ht="15.6" x14ac:dyDescent="0.3">
      <c r="J14" s="1"/>
      <c r="P14" s="43" t="s">
        <v>88</v>
      </c>
      <c r="Q14" s="45" t="str">
        <f>+CONCATENATE(L13," c.s.")</f>
        <v>33 c.s.</v>
      </c>
    </row>
    <row r="15" spans="1:17" ht="15.6" x14ac:dyDescent="0.3">
      <c r="J15" s="9" t="s">
        <v>9</v>
      </c>
      <c r="K15" s="10" t="s">
        <v>4</v>
      </c>
      <c r="L15" s="11">
        <f>(L13/G8)*100</f>
        <v>1.6871165644171779E-2</v>
      </c>
      <c r="M15" s="8" t="s">
        <v>8</v>
      </c>
      <c r="P15" s="43" t="s">
        <v>9</v>
      </c>
      <c r="Q15" s="46" t="str">
        <f>+CONCATENATE(ROUND(L15,2)," %")</f>
        <v>0.02 %</v>
      </c>
    </row>
    <row r="16" spans="1:17" x14ac:dyDescent="0.3">
      <c r="G16" s="2"/>
    </row>
    <row r="17" spans="9:17" x14ac:dyDescent="0.3">
      <c r="I17" s="120" t="str">
        <f>IF(ABS(L15)&lt;1,"Los tiempos son confiables","Los tiempos no son confiables")</f>
        <v>Los tiempos son confiables</v>
      </c>
      <c r="J17" s="121"/>
      <c r="K17" s="121"/>
      <c r="L17" s="121"/>
      <c r="M17" s="121"/>
      <c r="N17" s="122"/>
      <c r="P17" s="16"/>
      <c r="Q17" s="16"/>
    </row>
    <row r="18" spans="9:17" x14ac:dyDescent="0.3">
      <c r="I18" s="123"/>
      <c r="J18" s="124"/>
      <c r="K18" s="124"/>
      <c r="L18" s="124"/>
      <c r="M18" s="124"/>
      <c r="N18" s="125"/>
      <c r="P18" s="16"/>
      <c r="Q18" s="16"/>
    </row>
  </sheetData>
  <mergeCells count="1">
    <mergeCell ref="I17:N18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B1EFD-F44C-408F-9203-6AAB0AEBAC26}">
  <dimension ref="B2:S55"/>
  <sheetViews>
    <sheetView showGridLines="0" topLeftCell="A27" zoomScaleNormal="100" workbookViewId="0">
      <selection activeCell="K56" sqref="K56"/>
    </sheetView>
  </sheetViews>
  <sheetFormatPr baseColWidth="10" defaultRowHeight="14.4" x14ac:dyDescent="0.3"/>
  <cols>
    <col min="7" max="7" width="14.44140625" bestFit="1" customWidth="1"/>
    <col min="16" max="16" width="14.21875" bestFit="1" customWidth="1"/>
  </cols>
  <sheetData>
    <row r="2" spans="2:19" x14ac:dyDescent="0.3">
      <c r="B2" s="14"/>
      <c r="G2" s="130" t="str">
        <f>+'Hoja de cronometraje'!K4</f>
        <v>Elemento P</v>
      </c>
      <c r="H2" s="131"/>
      <c r="P2" s="130" t="str">
        <f>+'Hoja de cronometraje'!N4</f>
        <v>Elemento M</v>
      </c>
      <c r="Q2" s="131"/>
    </row>
    <row r="5" spans="2:19" ht="15.6" x14ac:dyDescent="0.3">
      <c r="D5" s="47" t="s">
        <v>18</v>
      </c>
      <c r="E5" s="48" t="s">
        <v>19</v>
      </c>
      <c r="F5" s="48" t="s">
        <v>20</v>
      </c>
      <c r="G5" s="48" t="s">
        <v>21</v>
      </c>
      <c r="M5" s="47" t="s">
        <v>18</v>
      </c>
      <c r="N5" s="48" t="s">
        <v>19</v>
      </c>
      <c r="O5" s="48" t="s">
        <v>20</v>
      </c>
      <c r="P5" s="48" t="s">
        <v>21</v>
      </c>
    </row>
    <row r="6" spans="2:19" ht="15.6" x14ac:dyDescent="0.3">
      <c r="D6" s="54">
        <f ca="1">+'Hoja de cronometraje'!K7</f>
        <v>95</v>
      </c>
      <c r="E6" s="59">
        <f ca="1">+'Hoja de cronometraje'!L7</f>
        <v>1276</v>
      </c>
      <c r="F6" s="59">
        <f ca="1">(D6*E6)/100</f>
        <v>1212.2</v>
      </c>
      <c r="G6" s="59">
        <f ca="1">POWER(F6,2)</f>
        <v>1469428.84</v>
      </c>
      <c r="M6" s="54">
        <f ca="1">+'Hoja de cronometraje'!N7</f>
        <v>100</v>
      </c>
      <c r="N6" s="59">
        <f ca="1">+'Hoja de cronometraje'!O7</f>
        <v>2833</v>
      </c>
      <c r="O6" s="59">
        <f ca="1">(M6*N6)/100</f>
        <v>2833</v>
      </c>
      <c r="P6" s="59">
        <f ca="1">POWER(O6,2)</f>
        <v>8025889</v>
      </c>
    </row>
    <row r="7" spans="2:19" ht="15.6" x14ac:dyDescent="0.3">
      <c r="D7" s="54">
        <f ca="1">+'Hoja de cronometraje'!K8</f>
        <v>100</v>
      </c>
      <c r="E7" s="59">
        <f ca="1">+'Hoja de cronometraje'!L8</f>
        <v>1106</v>
      </c>
      <c r="F7" s="59">
        <f t="shared" ref="F7:F25" ca="1" si="0">(D7*E7)/100</f>
        <v>1106</v>
      </c>
      <c r="G7" s="59">
        <f t="shared" ref="G7:G25" ca="1" si="1">POWER(F7,2)</f>
        <v>1223236</v>
      </c>
      <c r="I7" s="15" t="s">
        <v>23</v>
      </c>
      <c r="J7" s="3">
        <f ca="1">COUNTA(E6:E25)</f>
        <v>20</v>
      </c>
      <c r="M7" s="54">
        <f ca="1">+'Hoja de cronometraje'!N8</f>
        <v>105</v>
      </c>
      <c r="N7" s="59">
        <f ca="1">+'Hoja de cronometraje'!O8</f>
        <v>2761</v>
      </c>
      <c r="O7" s="59">
        <f t="shared" ref="O7:O25" ca="1" si="2">(M7*N7)/100</f>
        <v>2899.05</v>
      </c>
      <c r="P7" s="59">
        <f t="shared" ref="P7:P25" ca="1" si="3">POWER(O7,2)</f>
        <v>8404490.9025000017</v>
      </c>
      <c r="R7" s="15" t="s">
        <v>23</v>
      </c>
      <c r="S7" s="3">
        <f ca="1">COUNTA(N6:N25)</f>
        <v>20</v>
      </c>
    </row>
    <row r="8" spans="2:19" ht="15.6" x14ac:dyDescent="0.3">
      <c r="D8" s="54">
        <f ca="1">+'Hoja de cronometraje'!K9</f>
        <v>95</v>
      </c>
      <c r="E8" s="59">
        <f ca="1">+'Hoja de cronometraje'!L9</f>
        <v>1225</v>
      </c>
      <c r="F8" s="59">
        <f t="shared" ca="1" si="0"/>
        <v>1163.75</v>
      </c>
      <c r="G8" s="59">
        <f t="shared" ca="1" si="1"/>
        <v>1354314.0625</v>
      </c>
      <c r="I8" s="1"/>
      <c r="M8" s="54">
        <f ca="1">+'Hoja de cronometraje'!N9</f>
        <v>95</v>
      </c>
      <c r="N8" s="59">
        <f ca="1">+'Hoja de cronometraje'!O9</f>
        <v>2819</v>
      </c>
      <c r="O8" s="59">
        <f t="shared" ca="1" si="2"/>
        <v>2678.05</v>
      </c>
      <c r="P8" s="59">
        <f t="shared" ca="1" si="3"/>
        <v>7171951.8025000012</v>
      </c>
      <c r="R8" s="1"/>
    </row>
    <row r="9" spans="2:19" ht="15.6" x14ac:dyDescent="0.3">
      <c r="D9" s="54">
        <f ca="1">+'Hoja de cronometraje'!K10</f>
        <v>90</v>
      </c>
      <c r="E9" s="59">
        <f ca="1">+'Hoja de cronometraje'!L10</f>
        <v>1205</v>
      </c>
      <c r="F9" s="59">
        <f t="shared" ca="1" si="0"/>
        <v>1084.5</v>
      </c>
      <c r="G9" s="59">
        <f t="shared" ca="1" si="1"/>
        <v>1176140.25</v>
      </c>
      <c r="I9" s="1"/>
      <c r="M9" s="54">
        <f ca="1">+'Hoja de cronometraje'!N10</f>
        <v>85</v>
      </c>
      <c r="N9" s="59">
        <f ca="1">+'Hoja de cronometraje'!O10</f>
        <v>2743</v>
      </c>
      <c r="O9" s="59">
        <f t="shared" ca="1" si="2"/>
        <v>2331.5500000000002</v>
      </c>
      <c r="P9" s="59">
        <f t="shared" ca="1" si="3"/>
        <v>5436125.4025000008</v>
      </c>
      <c r="R9" s="1"/>
    </row>
    <row r="10" spans="2:19" ht="15.6" x14ac:dyDescent="0.3">
      <c r="D10" s="54">
        <f ca="1">+'Hoja de cronometraje'!K11</f>
        <v>95</v>
      </c>
      <c r="E10" s="59">
        <f ca="1">+'Hoja de cronometraje'!L11</f>
        <v>1117</v>
      </c>
      <c r="F10" s="59">
        <f t="shared" ca="1" si="0"/>
        <v>1061.1500000000001</v>
      </c>
      <c r="G10" s="59">
        <f t="shared" ca="1" si="1"/>
        <v>1126039.3225000002</v>
      </c>
      <c r="M10" s="54">
        <f ca="1">+'Hoja de cronometraje'!N11</f>
        <v>95</v>
      </c>
      <c r="N10" s="59">
        <f ca="1">+'Hoja de cronometraje'!O11</f>
        <v>2729</v>
      </c>
      <c r="O10" s="59">
        <f t="shared" ca="1" si="2"/>
        <v>2592.5500000000002</v>
      </c>
      <c r="P10" s="59">
        <f t="shared" ca="1" si="3"/>
        <v>6721315.5025000013</v>
      </c>
    </row>
    <row r="11" spans="2:19" ht="15.6" x14ac:dyDescent="0.3">
      <c r="D11" s="54">
        <f ca="1">+'Hoja de cronometraje'!K12</f>
        <v>85</v>
      </c>
      <c r="E11" s="59">
        <f ca="1">+'Hoja de cronometraje'!L12</f>
        <v>1298</v>
      </c>
      <c r="F11" s="59">
        <f t="shared" ca="1" si="0"/>
        <v>1103.3</v>
      </c>
      <c r="G11" s="59">
        <f t="shared" ca="1" si="1"/>
        <v>1217270.8899999999</v>
      </c>
      <c r="M11" s="54">
        <f ca="1">+'Hoja de cronometraje'!N12</f>
        <v>100</v>
      </c>
      <c r="N11" s="59">
        <f ca="1">+'Hoja de cronometraje'!O12</f>
        <v>2745</v>
      </c>
      <c r="O11" s="59">
        <f t="shared" ca="1" si="2"/>
        <v>2745</v>
      </c>
      <c r="P11" s="59">
        <f t="shared" ca="1" si="3"/>
        <v>7535025</v>
      </c>
    </row>
    <row r="12" spans="2:19" ht="15.6" x14ac:dyDescent="0.3">
      <c r="D12" s="54">
        <f ca="1">+'Hoja de cronometraje'!K13</f>
        <v>100</v>
      </c>
      <c r="E12" s="59">
        <f ca="1">+'Hoja de cronometraje'!L13</f>
        <v>1149</v>
      </c>
      <c r="F12" s="59">
        <f t="shared" ca="1" si="0"/>
        <v>1149</v>
      </c>
      <c r="G12" s="59">
        <f t="shared" ca="1" si="1"/>
        <v>1320201</v>
      </c>
      <c r="I12" s="15" t="s">
        <v>22</v>
      </c>
      <c r="J12" s="3">
        <f ca="1">ROUNDUP(POWER(((40*SQRT((J7*G26)-POWER(F26,2)))/F26),2),0)</f>
        <v>6</v>
      </c>
      <c r="M12" s="54">
        <f ca="1">+'Hoja de cronometraje'!N13</f>
        <v>105</v>
      </c>
      <c r="N12" s="59">
        <f ca="1">+'Hoja de cronometraje'!O13</f>
        <v>2709</v>
      </c>
      <c r="O12" s="59">
        <f t="shared" ca="1" si="2"/>
        <v>2844.45</v>
      </c>
      <c r="P12" s="59">
        <f t="shared" ca="1" si="3"/>
        <v>8090895.8024999993</v>
      </c>
      <c r="R12" s="15" t="s">
        <v>22</v>
      </c>
      <c r="S12" s="3">
        <f ca="1">ROUNDUP(POWER(((40*SQRT((S7*P26)-POWER(O26,2)))/O26),2),0)</f>
        <v>7</v>
      </c>
    </row>
    <row r="13" spans="2:19" ht="15.6" x14ac:dyDescent="0.3">
      <c r="D13" s="54">
        <f ca="1">+'Hoja de cronometraje'!K14</f>
        <v>90</v>
      </c>
      <c r="E13" s="59">
        <f ca="1">+'Hoja de cronometraje'!L14</f>
        <v>1217</v>
      </c>
      <c r="F13" s="59">
        <f t="shared" ca="1" si="0"/>
        <v>1095.3</v>
      </c>
      <c r="G13" s="59">
        <f t="shared" ca="1" si="1"/>
        <v>1199682.0899999999</v>
      </c>
      <c r="M13" s="54">
        <f ca="1">+'Hoja de cronometraje'!N14</f>
        <v>95</v>
      </c>
      <c r="N13" s="59">
        <f ca="1">+'Hoja de cronometraje'!O14</f>
        <v>2891</v>
      </c>
      <c r="O13" s="59">
        <f t="shared" ca="1" si="2"/>
        <v>2746.45</v>
      </c>
      <c r="P13" s="59">
        <f t="shared" ca="1" si="3"/>
        <v>7542987.6024999991</v>
      </c>
    </row>
    <row r="14" spans="2:19" ht="15.6" x14ac:dyDescent="0.3">
      <c r="D14" s="54">
        <f ca="1">+'Hoja de cronometraje'!K15</f>
        <v>90</v>
      </c>
      <c r="E14" s="59">
        <f ca="1">+'Hoja de cronometraje'!L15</f>
        <v>1198</v>
      </c>
      <c r="F14" s="59">
        <f t="shared" ca="1" si="0"/>
        <v>1078.2</v>
      </c>
      <c r="G14" s="59">
        <f t="shared" ca="1" si="1"/>
        <v>1162515.24</v>
      </c>
      <c r="M14" s="54">
        <f ca="1">+'Hoja de cronometraje'!N15</f>
        <v>90</v>
      </c>
      <c r="N14" s="59">
        <f ca="1">+'Hoja de cronometraje'!O15</f>
        <v>2721</v>
      </c>
      <c r="O14" s="59">
        <f t="shared" ca="1" si="2"/>
        <v>2448.9</v>
      </c>
      <c r="P14" s="59">
        <f t="shared" ca="1" si="3"/>
        <v>5997111.2100000009</v>
      </c>
    </row>
    <row r="15" spans="2:19" ht="15.6" x14ac:dyDescent="0.3">
      <c r="D15" s="54">
        <f ca="1">+'Hoja de cronometraje'!K16</f>
        <v>95</v>
      </c>
      <c r="E15" s="59">
        <f ca="1">+'Hoja de cronometraje'!L16</f>
        <v>1145</v>
      </c>
      <c r="F15" s="59">
        <f t="shared" ca="1" si="0"/>
        <v>1087.75</v>
      </c>
      <c r="G15" s="59">
        <f t="shared" ca="1" si="1"/>
        <v>1183200.0625</v>
      </c>
      <c r="M15" s="54">
        <f ca="1">+'Hoja de cronometraje'!N16</f>
        <v>90</v>
      </c>
      <c r="N15" s="59">
        <f ca="1">+'Hoja de cronometraje'!O16</f>
        <v>2892</v>
      </c>
      <c r="O15" s="59">
        <f t="shared" ca="1" si="2"/>
        <v>2602.8000000000002</v>
      </c>
      <c r="P15" s="59">
        <f t="shared" ca="1" si="3"/>
        <v>6774567.8400000008</v>
      </c>
    </row>
    <row r="16" spans="2:19" ht="15.6" x14ac:dyDescent="0.3">
      <c r="D16" s="54">
        <f ca="1">+'Hoja de cronometraje'!K17</f>
        <v>100</v>
      </c>
      <c r="E16" s="59">
        <f ca="1">+'Hoja de cronometraje'!L17</f>
        <v>1246</v>
      </c>
      <c r="F16" s="59">
        <f t="shared" ca="1" si="0"/>
        <v>1246</v>
      </c>
      <c r="G16" s="59">
        <f t="shared" ca="1" si="1"/>
        <v>1552516</v>
      </c>
      <c r="M16" s="54">
        <f ca="1">+'Hoja de cronometraje'!N17</f>
        <v>90</v>
      </c>
      <c r="N16" s="59">
        <f ca="1">+'Hoja de cronometraje'!O17</f>
        <v>2774</v>
      </c>
      <c r="O16" s="59">
        <f t="shared" ca="1" si="2"/>
        <v>2496.6</v>
      </c>
      <c r="P16" s="59">
        <f t="shared" ca="1" si="3"/>
        <v>6233011.5599999996</v>
      </c>
    </row>
    <row r="17" spans="4:17" ht="15.6" x14ac:dyDescent="0.3">
      <c r="D17" s="54">
        <f ca="1">+'Hoja de cronometraje'!K18</f>
        <v>90</v>
      </c>
      <c r="E17" s="59">
        <f ca="1">+'Hoja de cronometraje'!L18</f>
        <v>1104</v>
      </c>
      <c r="F17" s="59">
        <f t="shared" ca="1" si="0"/>
        <v>993.6</v>
      </c>
      <c r="G17" s="59">
        <f t="shared" ca="1" si="1"/>
        <v>987240.96000000008</v>
      </c>
      <c r="M17" s="54">
        <f ca="1">+'Hoja de cronometraje'!N18</f>
        <v>85</v>
      </c>
      <c r="N17" s="59">
        <f ca="1">+'Hoja de cronometraje'!O18</f>
        <v>2769</v>
      </c>
      <c r="O17" s="59">
        <f t="shared" ca="1" si="2"/>
        <v>2353.65</v>
      </c>
      <c r="P17" s="59">
        <f t="shared" ca="1" si="3"/>
        <v>5539668.3225000007</v>
      </c>
    </row>
    <row r="18" spans="4:17" ht="15.6" x14ac:dyDescent="0.3">
      <c r="D18" s="54">
        <f ca="1">+'Hoja de cronometraje'!K19</f>
        <v>90</v>
      </c>
      <c r="E18" s="59">
        <f ca="1">+'Hoja de cronometraje'!L19</f>
        <v>1290</v>
      </c>
      <c r="F18" s="59">
        <f t="shared" ca="1" si="0"/>
        <v>1161</v>
      </c>
      <c r="G18" s="59">
        <f t="shared" ca="1" si="1"/>
        <v>1347921</v>
      </c>
      <c r="M18" s="54">
        <f ca="1">+'Hoja de cronometraje'!N19</f>
        <v>90</v>
      </c>
      <c r="N18" s="59">
        <f ca="1">+'Hoja de cronometraje'!O19</f>
        <v>2823</v>
      </c>
      <c r="O18" s="59">
        <f t="shared" ca="1" si="2"/>
        <v>2540.6999999999998</v>
      </c>
      <c r="P18" s="59">
        <f t="shared" ca="1" si="3"/>
        <v>6455156.4899999993</v>
      </c>
    </row>
    <row r="19" spans="4:17" ht="15.6" x14ac:dyDescent="0.3">
      <c r="D19" s="54">
        <f ca="1">+'Hoja de cronometraje'!K20</f>
        <v>95</v>
      </c>
      <c r="E19" s="59">
        <f ca="1">+'Hoja de cronometraje'!L20</f>
        <v>1265</v>
      </c>
      <c r="F19" s="59">
        <f t="shared" ca="1" si="0"/>
        <v>1201.75</v>
      </c>
      <c r="G19" s="59">
        <f t="shared" ca="1" si="1"/>
        <v>1444203.0625</v>
      </c>
      <c r="M19" s="54">
        <f ca="1">+'Hoja de cronometraje'!N20</f>
        <v>95</v>
      </c>
      <c r="N19" s="59">
        <f ca="1">+'Hoja de cronometraje'!O20</f>
        <v>2886</v>
      </c>
      <c r="O19" s="59">
        <f t="shared" ca="1" si="2"/>
        <v>2741.7</v>
      </c>
      <c r="P19" s="59">
        <f t="shared" ca="1" si="3"/>
        <v>7516918.8899999987</v>
      </c>
    </row>
    <row r="20" spans="4:17" ht="15.6" x14ac:dyDescent="0.3">
      <c r="D20" s="54">
        <f ca="1">+'Hoja de cronometraje'!K21</f>
        <v>90</v>
      </c>
      <c r="E20" s="59">
        <f ca="1">+'Hoja de cronometraje'!L21</f>
        <v>1179</v>
      </c>
      <c r="F20" s="59">
        <f t="shared" ca="1" si="0"/>
        <v>1061.0999999999999</v>
      </c>
      <c r="G20" s="59">
        <f t="shared" ca="1" si="1"/>
        <v>1125933.2099999997</v>
      </c>
      <c r="M20" s="54">
        <f ca="1">+'Hoja de cronometraje'!N21</f>
        <v>90</v>
      </c>
      <c r="N20" s="59">
        <f ca="1">+'Hoja de cronometraje'!O21</f>
        <v>2846</v>
      </c>
      <c r="O20" s="59">
        <f t="shared" ca="1" si="2"/>
        <v>2561.4</v>
      </c>
      <c r="P20" s="59">
        <f t="shared" ca="1" si="3"/>
        <v>6560769.9600000009</v>
      </c>
    </row>
    <row r="21" spans="4:17" ht="15.6" x14ac:dyDescent="0.3">
      <c r="D21" s="54">
        <f ca="1">+'Hoja de cronometraje'!K22</f>
        <v>85</v>
      </c>
      <c r="E21" s="59">
        <f ca="1">+'Hoja de cronometraje'!L22</f>
        <v>1256</v>
      </c>
      <c r="F21" s="59">
        <f t="shared" ca="1" si="0"/>
        <v>1067.5999999999999</v>
      </c>
      <c r="G21" s="59">
        <f t="shared" ca="1" si="1"/>
        <v>1139769.7599999998</v>
      </c>
      <c r="M21" s="54">
        <f ca="1">+'Hoja de cronometraje'!N22</f>
        <v>100</v>
      </c>
      <c r="N21" s="59">
        <f ca="1">+'Hoja de cronometraje'!O22</f>
        <v>2883</v>
      </c>
      <c r="O21" s="59">
        <f t="shared" ca="1" si="2"/>
        <v>2883</v>
      </c>
      <c r="P21" s="59">
        <f t="shared" ca="1" si="3"/>
        <v>8311689</v>
      </c>
    </row>
    <row r="22" spans="4:17" ht="15.6" x14ac:dyDescent="0.3">
      <c r="D22" s="54">
        <f ca="1">+'Hoja de cronometraje'!K23</f>
        <v>105</v>
      </c>
      <c r="E22" s="59">
        <f ca="1">+'Hoja de cronometraje'!L23</f>
        <v>1214</v>
      </c>
      <c r="F22" s="59">
        <f t="shared" ca="1" si="0"/>
        <v>1274.7</v>
      </c>
      <c r="G22" s="59">
        <f t="shared" ca="1" si="1"/>
        <v>1624860.09</v>
      </c>
      <c r="M22" s="54">
        <f ca="1">+'Hoja de cronometraje'!N23</f>
        <v>95</v>
      </c>
      <c r="N22" s="59">
        <f ca="1">+'Hoja de cronometraje'!O23</f>
        <v>2815</v>
      </c>
      <c r="O22" s="59">
        <f t="shared" ca="1" si="2"/>
        <v>2674.25</v>
      </c>
      <c r="P22" s="59">
        <f t="shared" ca="1" si="3"/>
        <v>7151613.0625</v>
      </c>
    </row>
    <row r="23" spans="4:17" ht="15.6" x14ac:dyDescent="0.3">
      <c r="D23" s="54">
        <f ca="1">+'Hoja de cronometraje'!K24</f>
        <v>90</v>
      </c>
      <c r="E23" s="59">
        <f ca="1">+'Hoja de cronometraje'!L24</f>
        <v>1296</v>
      </c>
      <c r="F23" s="59">
        <f t="shared" ca="1" si="0"/>
        <v>1166.4000000000001</v>
      </c>
      <c r="G23" s="59">
        <f t="shared" ca="1" si="1"/>
        <v>1360488.9600000002</v>
      </c>
      <c r="M23" s="54">
        <f ca="1">+'Hoja de cronometraje'!N24</f>
        <v>100</v>
      </c>
      <c r="N23" s="59">
        <f ca="1">+'Hoja de cronometraje'!O24</f>
        <v>2729</v>
      </c>
      <c r="O23" s="59">
        <f t="shared" ca="1" si="2"/>
        <v>2729</v>
      </c>
      <c r="P23" s="59">
        <f t="shared" ca="1" si="3"/>
        <v>7447441</v>
      </c>
    </row>
    <row r="24" spans="4:17" ht="15.6" x14ac:dyDescent="0.3">
      <c r="D24" s="54">
        <f ca="1">+'Hoja de cronometraje'!K25</f>
        <v>95</v>
      </c>
      <c r="E24" s="59">
        <f ca="1">+'Hoja de cronometraje'!L25</f>
        <v>1202</v>
      </c>
      <c r="F24" s="59">
        <f t="shared" ca="1" si="0"/>
        <v>1141.9000000000001</v>
      </c>
      <c r="G24" s="59">
        <f t="shared" ca="1" si="1"/>
        <v>1303935.6100000001</v>
      </c>
      <c r="M24" s="54">
        <f ca="1">+'Hoja de cronometraje'!N25</f>
        <v>100</v>
      </c>
      <c r="N24" s="59">
        <f ca="1">+'Hoja de cronometraje'!O25</f>
        <v>2716</v>
      </c>
      <c r="O24" s="59">
        <f t="shared" ca="1" si="2"/>
        <v>2716</v>
      </c>
      <c r="P24" s="59">
        <f t="shared" ca="1" si="3"/>
        <v>7376656</v>
      </c>
    </row>
    <row r="25" spans="4:17" ht="15.6" x14ac:dyDescent="0.3">
      <c r="D25" s="56">
        <f ca="1">+'Hoja de cronometraje'!K26</f>
        <v>105</v>
      </c>
      <c r="E25" s="60">
        <f ca="1">+'Hoja de cronometraje'!L26</f>
        <v>1132</v>
      </c>
      <c r="F25" s="60">
        <f t="shared" ca="1" si="0"/>
        <v>1188.5999999999999</v>
      </c>
      <c r="G25" s="60">
        <f t="shared" ca="1" si="1"/>
        <v>1412769.9599999997</v>
      </c>
      <c r="M25" s="56">
        <f ca="1">+'Hoja de cronometraje'!N26</f>
        <v>105</v>
      </c>
      <c r="N25" s="60">
        <f ca="1">+'Hoja de cronometraje'!O26</f>
        <v>2765</v>
      </c>
      <c r="O25" s="60">
        <f t="shared" ca="1" si="2"/>
        <v>2903.25</v>
      </c>
      <c r="P25" s="60">
        <f t="shared" ca="1" si="3"/>
        <v>8428860.5625</v>
      </c>
    </row>
    <row r="26" spans="4:17" ht="15.6" x14ac:dyDescent="0.3">
      <c r="D26" s="126" t="s">
        <v>89</v>
      </c>
      <c r="E26" s="127"/>
      <c r="F26" s="58">
        <f ca="1">SUM(F6:F25)</f>
        <v>22643.800000000003</v>
      </c>
      <c r="G26" s="58">
        <f ca="1">SUM(G6:G25)</f>
        <v>25731666.370000001</v>
      </c>
      <c r="M26" s="126" t="s">
        <v>89</v>
      </c>
      <c r="N26" s="127"/>
      <c r="O26" s="58">
        <f ca="1">SUM(O6:O25)</f>
        <v>53321.35</v>
      </c>
      <c r="P26" s="58">
        <f ca="1">SUM(P6:P25)</f>
        <v>142722144.91249999</v>
      </c>
    </row>
    <row r="27" spans="4:17" ht="15.6" x14ac:dyDescent="0.3">
      <c r="D27" s="128" t="s">
        <v>90</v>
      </c>
      <c r="E27" s="129"/>
      <c r="F27" s="51">
        <f ca="1">+J12</f>
        <v>6</v>
      </c>
      <c r="G27" s="41" t="s">
        <v>139</v>
      </c>
      <c r="M27" s="128" t="s">
        <v>90</v>
      </c>
      <c r="N27" s="129"/>
      <c r="O27" s="51">
        <f ca="1">+S12</f>
        <v>7</v>
      </c>
      <c r="P27" s="41" t="s">
        <v>139</v>
      </c>
    </row>
    <row r="30" spans="4:17" x14ac:dyDescent="0.3">
      <c r="G30" s="130" t="str">
        <f>+'Hoja de cronometraje'!K29</f>
        <v>Elemento V</v>
      </c>
      <c r="H30" s="131"/>
      <c r="P30" s="130" t="str">
        <f>+'Hoja de cronometraje'!N29</f>
        <v>Elemento F</v>
      </c>
      <c r="Q30" s="131"/>
    </row>
    <row r="33" spans="4:19" ht="15.6" x14ac:dyDescent="0.3">
      <c r="D33" s="47" t="s">
        <v>18</v>
      </c>
      <c r="E33" s="48" t="s">
        <v>19</v>
      </c>
      <c r="F33" s="48" t="s">
        <v>20</v>
      </c>
      <c r="G33" s="48" t="s">
        <v>21</v>
      </c>
      <c r="M33" s="47" t="s">
        <v>18</v>
      </c>
      <c r="N33" s="48" t="s">
        <v>19</v>
      </c>
      <c r="O33" s="48" t="s">
        <v>20</v>
      </c>
      <c r="P33" s="48" t="s">
        <v>21</v>
      </c>
    </row>
    <row r="34" spans="4:19" ht="15.6" x14ac:dyDescent="0.3">
      <c r="D34" s="54">
        <f ca="1">+'Hoja de cronometraje'!K32</f>
        <v>105</v>
      </c>
      <c r="E34" s="59">
        <f ca="1">+'Hoja de cronometraje'!L32</f>
        <v>1121</v>
      </c>
      <c r="F34" s="59">
        <f ca="1">(D34*E34)/100</f>
        <v>1177.05</v>
      </c>
      <c r="G34" s="59">
        <f ca="1">POWER(F34,2)</f>
        <v>1385446.7024999999</v>
      </c>
      <c r="M34" s="54">
        <f ca="1">+'Hoja de cronometraje'!N32</f>
        <v>95</v>
      </c>
      <c r="N34" s="59">
        <f ca="1">+'Hoja de cronometraje'!O32</f>
        <v>4378</v>
      </c>
      <c r="O34" s="59">
        <f ca="1">(M34*N34)/100</f>
        <v>4159.1000000000004</v>
      </c>
      <c r="P34" s="59">
        <f ca="1">POWER(O34,2)</f>
        <v>17298112.810000002</v>
      </c>
    </row>
    <row r="35" spans="4:19" ht="15.6" x14ac:dyDescent="0.3">
      <c r="D35" s="54">
        <f ca="1">+'Hoja de cronometraje'!K33</f>
        <v>85</v>
      </c>
      <c r="E35" s="59">
        <f ca="1">+'Hoja de cronometraje'!L33</f>
        <v>1228</v>
      </c>
      <c r="F35" s="59">
        <f t="shared" ref="F35:F53" ca="1" si="4">(D35*E35)/100</f>
        <v>1043.8</v>
      </c>
      <c r="G35" s="59">
        <f t="shared" ref="G35:G53" ca="1" si="5">POWER(F35,2)</f>
        <v>1089518.44</v>
      </c>
      <c r="I35" s="15" t="s">
        <v>23</v>
      </c>
      <c r="J35" s="3">
        <f ca="1">COUNTA(E34:E53)</f>
        <v>20</v>
      </c>
      <c r="M35" s="54">
        <f ca="1">+'Hoja de cronometraje'!N33</f>
        <v>105</v>
      </c>
      <c r="N35" s="59">
        <f ca="1">+'Hoja de cronometraje'!O33</f>
        <v>4164</v>
      </c>
      <c r="O35" s="59">
        <f t="shared" ref="O35:O53" ca="1" si="6">(M35*N35)/100</f>
        <v>4372.2</v>
      </c>
      <c r="P35" s="59">
        <f t="shared" ref="P35:P53" ca="1" si="7">POWER(O35,2)</f>
        <v>19116132.84</v>
      </c>
      <c r="R35" s="15" t="s">
        <v>23</v>
      </c>
      <c r="S35" s="3">
        <f ca="1">COUNTA(N34:N53)</f>
        <v>20</v>
      </c>
    </row>
    <row r="36" spans="4:19" ht="15.6" x14ac:dyDescent="0.3">
      <c r="D36" s="54">
        <f ca="1">+'Hoja de cronometraje'!K34</f>
        <v>95</v>
      </c>
      <c r="E36" s="59">
        <f ca="1">+'Hoja de cronometraje'!L34</f>
        <v>1189</v>
      </c>
      <c r="F36" s="59">
        <f t="shared" ca="1" si="4"/>
        <v>1129.55</v>
      </c>
      <c r="G36" s="59">
        <f t="shared" ca="1" si="5"/>
        <v>1275883.2024999999</v>
      </c>
      <c r="I36" s="1"/>
      <c r="M36" s="54">
        <f ca="1">+'Hoja de cronometraje'!N34</f>
        <v>85</v>
      </c>
      <c r="N36" s="59">
        <f ca="1">+'Hoja de cronometraje'!O34</f>
        <v>4414</v>
      </c>
      <c r="O36" s="59">
        <f t="shared" ca="1" si="6"/>
        <v>3751.9</v>
      </c>
      <c r="P36" s="59">
        <f t="shared" ca="1" si="7"/>
        <v>14076753.610000001</v>
      </c>
      <c r="R36" s="1"/>
    </row>
    <row r="37" spans="4:19" ht="15.6" x14ac:dyDescent="0.3">
      <c r="D37" s="54">
        <f ca="1">+'Hoja de cronometraje'!K35</f>
        <v>90</v>
      </c>
      <c r="E37" s="59">
        <f ca="1">+'Hoja de cronometraje'!L35</f>
        <v>1233</v>
      </c>
      <c r="F37" s="59">
        <f t="shared" ca="1" si="4"/>
        <v>1109.7</v>
      </c>
      <c r="G37" s="59">
        <f t="shared" ca="1" si="5"/>
        <v>1231434.0900000001</v>
      </c>
      <c r="I37" s="1"/>
      <c r="M37" s="54">
        <f ca="1">+'Hoja de cronometraje'!N35</f>
        <v>105</v>
      </c>
      <c r="N37" s="59">
        <f ca="1">+'Hoja de cronometraje'!O35</f>
        <v>4193</v>
      </c>
      <c r="O37" s="59">
        <f t="shared" ca="1" si="6"/>
        <v>4402.6499999999996</v>
      </c>
      <c r="P37" s="59">
        <f t="shared" ca="1" si="7"/>
        <v>19383327.022499997</v>
      </c>
      <c r="R37" s="1"/>
    </row>
    <row r="38" spans="4:19" ht="15.6" x14ac:dyDescent="0.3">
      <c r="D38" s="54">
        <f ca="1">+'Hoja de cronometraje'!K36</f>
        <v>90</v>
      </c>
      <c r="E38" s="59">
        <f ca="1">+'Hoja de cronometraje'!L36</f>
        <v>1185</v>
      </c>
      <c r="F38" s="59">
        <f t="shared" ca="1" si="4"/>
        <v>1066.5</v>
      </c>
      <c r="G38" s="59">
        <f t="shared" ca="1" si="5"/>
        <v>1137422.25</v>
      </c>
      <c r="M38" s="54">
        <f ca="1">+'Hoja de cronometraje'!N36</f>
        <v>100</v>
      </c>
      <c r="N38" s="59">
        <f ca="1">+'Hoja de cronometraje'!O36</f>
        <v>4220</v>
      </c>
      <c r="O38" s="59">
        <f t="shared" ca="1" si="6"/>
        <v>4220</v>
      </c>
      <c r="P38" s="59">
        <f t="shared" ca="1" si="7"/>
        <v>17808400</v>
      </c>
    </row>
    <row r="39" spans="4:19" ht="15.6" x14ac:dyDescent="0.3">
      <c r="D39" s="54">
        <f ca="1">+'Hoja de cronometraje'!K37</f>
        <v>90</v>
      </c>
      <c r="E39" s="59">
        <f ca="1">+'Hoja de cronometraje'!L37</f>
        <v>1208</v>
      </c>
      <c r="F39" s="59">
        <f t="shared" ca="1" si="4"/>
        <v>1087.2</v>
      </c>
      <c r="G39" s="59">
        <f t="shared" ca="1" si="5"/>
        <v>1182003.8400000001</v>
      </c>
      <c r="M39" s="54">
        <f ca="1">+'Hoja de cronometraje'!N37</f>
        <v>105</v>
      </c>
      <c r="N39" s="59">
        <f ca="1">+'Hoja de cronometraje'!O37</f>
        <v>4323</v>
      </c>
      <c r="O39" s="59">
        <f t="shared" ca="1" si="6"/>
        <v>4539.1499999999996</v>
      </c>
      <c r="P39" s="59">
        <f t="shared" ca="1" si="7"/>
        <v>20603882.722499996</v>
      </c>
    </row>
    <row r="40" spans="4:19" ht="15.6" x14ac:dyDescent="0.3">
      <c r="D40" s="54">
        <f ca="1">+'Hoja de cronometraje'!K38</f>
        <v>95</v>
      </c>
      <c r="E40" s="59">
        <f ca="1">+'Hoja de cronometraje'!L38</f>
        <v>1141</v>
      </c>
      <c r="F40" s="59">
        <f t="shared" ca="1" si="4"/>
        <v>1083.95</v>
      </c>
      <c r="G40" s="59">
        <f t="shared" ca="1" si="5"/>
        <v>1174947.6025</v>
      </c>
      <c r="I40" s="15" t="s">
        <v>22</v>
      </c>
      <c r="J40" s="3">
        <f ca="1">ROUNDUP(POWER(((40*SQRT((J35*G54)-POWER(F54,2)))/F54),2),0)</f>
        <v>7</v>
      </c>
      <c r="M40" s="54">
        <f ca="1">+'Hoja de cronometraje'!N38</f>
        <v>100</v>
      </c>
      <c r="N40" s="59">
        <f ca="1">+'Hoja de cronometraje'!O38</f>
        <v>4222</v>
      </c>
      <c r="O40" s="59">
        <f t="shared" ca="1" si="6"/>
        <v>4222</v>
      </c>
      <c r="P40" s="59">
        <f t="shared" ca="1" si="7"/>
        <v>17825284</v>
      </c>
      <c r="R40" s="15" t="s">
        <v>22</v>
      </c>
      <c r="S40" s="3">
        <f ca="1">ROUNDUP(POWER(((40*SQRT((S35*P54)-POWER(O54,2)))/O54),2),0)</f>
        <v>7</v>
      </c>
    </row>
    <row r="41" spans="4:19" ht="15.6" x14ac:dyDescent="0.3">
      <c r="D41" s="54">
        <f ca="1">+'Hoja de cronometraje'!K39</f>
        <v>85</v>
      </c>
      <c r="E41" s="59">
        <f ca="1">+'Hoja de cronometraje'!L39</f>
        <v>1273</v>
      </c>
      <c r="F41" s="59">
        <f t="shared" ca="1" si="4"/>
        <v>1082.05</v>
      </c>
      <c r="G41" s="59">
        <f t="shared" ca="1" si="5"/>
        <v>1170832.2024999999</v>
      </c>
      <c r="M41" s="54">
        <f ca="1">+'Hoja de cronometraje'!N39</f>
        <v>90</v>
      </c>
      <c r="N41" s="59">
        <f ca="1">+'Hoja de cronometraje'!O39</f>
        <v>4377</v>
      </c>
      <c r="O41" s="59">
        <f t="shared" ca="1" si="6"/>
        <v>3939.3</v>
      </c>
      <c r="P41" s="59">
        <f t="shared" ca="1" si="7"/>
        <v>15518084.490000002</v>
      </c>
    </row>
    <row r="42" spans="4:19" ht="15.6" x14ac:dyDescent="0.3">
      <c r="D42" s="54">
        <f ca="1">+'Hoja de cronometraje'!K40</f>
        <v>105</v>
      </c>
      <c r="E42" s="59">
        <f ca="1">+'Hoja de cronometraje'!L40</f>
        <v>1118</v>
      </c>
      <c r="F42" s="59">
        <f t="shared" ca="1" si="4"/>
        <v>1173.9000000000001</v>
      </c>
      <c r="G42" s="59">
        <f t="shared" ca="1" si="5"/>
        <v>1378041.2100000002</v>
      </c>
      <c r="M42" s="54">
        <f ca="1">+'Hoja de cronometraje'!N40</f>
        <v>85</v>
      </c>
      <c r="N42" s="59">
        <f ca="1">+'Hoja de cronometraje'!O40</f>
        <v>4400</v>
      </c>
      <c r="O42" s="59">
        <f t="shared" ca="1" si="6"/>
        <v>3740</v>
      </c>
      <c r="P42" s="59">
        <f t="shared" ca="1" si="7"/>
        <v>13987600</v>
      </c>
    </row>
    <row r="43" spans="4:19" ht="15.6" x14ac:dyDescent="0.3">
      <c r="D43" s="54">
        <f ca="1">+'Hoja de cronometraje'!K41</f>
        <v>95</v>
      </c>
      <c r="E43" s="59">
        <f ca="1">+'Hoja de cronometraje'!L41</f>
        <v>1294</v>
      </c>
      <c r="F43" s="59">
        <f t="shared" ca="1" si="4"/>
        <v>1229.3</v>
      </c>
      <c r="G43" s="59">
        <f t="shared" ca="1" si="5"/>
        <v>1511178.49</v>
      </c>
      <c r="M43" s="54">
        <f ca="1">+'Hoja de cronometraje'!N41</f>
        <v>90</v>
      </c>
      <c r="N43" s="59">
        <f ca="1">+'Hoja de cronometraje'!O41</f>
        <v>4320</v>
      </c>
      <c r="O43" s="59">
        <f t="shared" ca="1" si="6"/>
        <v>3888</v>
      </c>
      <c r="P43" s="59">
        <f t="shared" ca="1" si="7"/>
        <v>15116544</v>
      </c>
    </row>
    <row r="44" spans="4:19" ht="15.6" x14ac:dyDescent="0.3">
      <c r="D44" s="54">
        <f ca="1">+'Hoja de cronometraje'!K42</f>
        <v>100</v>
      </c>
      <c r="E44" s="59">
        <f ca="1">+'Hoja de cronometraje'!L42</f>
        <v>1203</v>
      </c>
      <c r="F44" s="59">
        <f t="shared" ca="1" si="4"/>
        <v>1203</v>
      </c>
      <c r="G44" s="59">
        <f t="shared" ca="1" si="5"/>
        <v>1447209</v>
      </c>
      <c r="M44" s="54">
        <f ca="1">+'Hoja de cronometraje'!N42</f>
        <v>85</v>
      </c>
      <c r="N44" s="59">
        <f ca="1">+'Hoja de cronometraje'!O42</f>
        <v>4403</v>
      </c>
      <c r="O44" s="59">
        <f t="shared" ca="1" si="6"/>
        <v>3742.55</v>
      </c>
      <c r="P44" s="59">
        <f t="shared" ca="1" si="7"/>
        <v>14006680.502500001</v>
      </c>
    </row>
    <row r="45" spans="4:19" ht="15.6" x14ac:dyDescent="0.3">
      <c r="D45" s="54">
        <f ca="1">+'Hoja de cronometraje'!K43</f>
        <v>100</v>
      </c>
      <c r="E45" s="59">
        <f ca="1">+'Hoja de cronometraje'!L43</f>
        <v>1208</v>
      </c>
      <c r="F45" s="59">
        <f t="shared" ca="1" si="4"/>
        <v>1208</v>
      </c>
      <c r="G45" s="59">
        <f t="shared" ca="1" si="5"/>
        <v>1459264</v>
      </c>
      <c r="M45" s="54">
        <f ca="1">+'Hoja de cronometraje'!N43</f>
        <v>100</v>
      </c>
      <c r="N45" s="59">
        <f ca="1">+'Hoja de cronometraje'!O43</f>
        <v>4368</v>
      </c>
      <c r="O45" s="59">
        <f t="shared" ca="1" si="6"/>
        <v>4368</v>
      </c>
      <c r="P45" s="59">
        <f t="shared" ca="1" si="7"/>
        <v>19079424</v>
      </c>
    </row>
    <row r="46" spans="4:19" ht="15.6" x14ac:dyDescent="0.3">
      <c r="D46" s="54">
        <f ca="1">+'Hoja de cronometraje'!K44</f>
        <v>100</v>
      </c>
      <c r="E46" s="59">
        <f ca="1">+'Hoja de cronometraje'!L44</f>
        <v>1197</v>
      </c>
      <c r="F46" s="59">
        <f t="shared" ca="1" si="4"/>
        <v>1197</v>
      </c>
      <c r="G46" s="59">
        <f t="shared" ca="1" si="5"/>
        <v>1432809</v>
      </c>
      <c r="M46" s="54">
        <f ca="1">+'Hoja de cronometraje'!N44</f>
        <v>95</v>
      </c>
      <c r="N46" s="59">
        <f ca="1">+'Hoja de cronometraje'!O44</f>
        <v>4383</v>
      </c>
      <c r="O46" s="59">
        <f t="shared" ca="1" si="6"/>
        <v>4163.8500000000004</v>
      </c>
      <c r="P46" s="59">
        <f t="shared" ca="1" si="7"/>
        <v>17337646.822500002</v>
      </c>
    </row>
    <row r="47" spans="4:19" ht="15.6" x14ac:dyDescent="0.3">
      <c r="D47" s="54">
        <f ca="1">+'Hoja de cronometraje'!K45</f>
        <v>90</v>
      </c>
      <c r="E47" s="59">
        <f ca="1">+'Hoja de cronometraje'!L45</f>
        <v>1269</v>
      </c>
      <c r="F47" s="59">
        <f t="shared" ca="1" si="4"/>
        <v>1142.0999999999999</v>
      </c>
      <c r="G47" s="59">
        <f t="shared" ca="1" si="5"/>
        <v>1304392.4099999997</v>
      </c>
      <c r="M47" s="54">
        <f ca="1">+'Hoja de cronometraje'!N45</f>
        <v>95</v>
      </c>
      <c r="N47" s="59">
        <f ca="1">+'Hoja de cronometraje'!O45</f>
        <v>4233</v>
      </c>
      <c r="O47" s="59">
        <f t="shared" ca="1" si="6"/>
        <v>4021.35</v>
      </c>
      <c r="P47" s="59">
        <f t="shared" ca="1" si="7"/>
        <v>16171255.8225</v>
      </c>
    </row>
    <row r="48" spans="4:19" ht="15.6" x14ac:dyDescent="0.3">
      <c r="D48" s="54">
        <f ca="1">+'Hoja de cronometraje'!K46</f>
        <v>90</v>
      </c>
      <c r="E48" s="59">
        <f ca="1">+'Hoja de cronometraje'!L46</f>
        <v>1150</v>
      </c>
      <c r="F48" s="59">
        <f t="shared" ca="1" si="4"/>
        <v>1035</v>
      </c>
      <c r="G48" s="59">
        <f t="shared" ca="1" si="5"/>
        <v>1071225</v>
      </c>
      <c r="M48" s="54">
        <f ca="1">+'Hoja de cronometraje'!N46</f>
        <v>95</v>
      </c>
      <c r="N48" s="59">
        <f ca="1">+'Hoja de cronometraje'!O46</f>
        <v>4246</v>
      </c>
      <c r="O48" s="59">
        <f t="shared" ca="1" si="6"/>
        <v>4033.7</v>
      </c>
      <c r="P48" s="59">
        <f t="shared" ca="1" si="7"/>
        <v>16270735.689999998</v>
      </c>
    </row>
    <row r="49" spans="4:16" ht="15.6" x14ac:dyDescent="0.3">
      <c r="D49" s="54">
        <f ca="1">+'Hoja de cronometraje'!K47</f>
        <v>85</v>
      </c>
      <c r="E49" s="59">
        <f ca="1">+'Hoja de cronometraje'!L47</f>
        <v>1178</v>
      </c>
      <c r="F49" s="59">
        <f t="shared" ca="1" si="4"/>
        <v>1001.3</v>
      </c>
      <c r="G49" s="59">
        <f t="shared" ca="1" si="5"/>
        <v>1002601.69</v>
      </c>
      <c r="M49" s="54">
        <f ca="1">+'Hoja de cronometraje'!N47</f>
        <v>105</v>
      </c>
      <c r="N49" s="59">
        <f ca="1">+'Hoja de cronometraje'!O47</f>
        <v>4398</v>
      </c>
      <c r="O49" s="59">
        <f t="shared" ca="1" si="6"/>
        <v>4617.8999999999996</v>
      </c>
      <c r="P49" s="59">
        <f t="shared" ca="1" si="7"/>
        <v>21325000.409999996</v>
      </c>
    </row>
    <row r="50" spans="4:16" ht="15.6" x14ac:dyDescent="0.3">
      <c r="D50" s="54">
        <f ca="1">+'Hoja de cronometraje'!K48</f>
        <v>95</v>
      </c>
      <c r="E50" s="59">
        <f ca="1">+'Hoja de cronometraje'!L48</f>
        <v>1259</v>
      </c>
      <c r="F50" s="59">
        <f t="shared" ca="1" si="4"/>
        <v>1196.05</v>
      </c>
      <c r="G50" s="59">
        <f t="shared" ca="1" si="5"/>
        <v>1430535.6024999998</v>
      </c>
      <c r="M50" s="54">
        <f ca="1">+'Hoja de cronometraje'!N48</f>
        <v>90</v>
      </c>
      <c r="N50" s="59">
        <f ca="1">+'Hoja de cronometraje'!O48</f>
        <v>4279</v>
      </c>
      <c r="O50" s="59">
        <f t="shared" ca="1" si="6"/>
        <v>3851.1</v>
      </c>
      <c r="P50" s="59">
        <f t="shared" ca="1" si="7"/>
        <v>14830971.209999999</v>
      </c>
    </row>
    <row r="51" spans="4:16" ht="15.6" x14ac:dyDescent="0.3">
      <c r="D51" s="54">
        <f ca="1">+'Hoja de cronometraje'!K49</f>
        <v>95</v>
      </c>
      <c r="E51" s="59">
        <f ca="1">+'Hoja de cronometraje'!L49</f>
        <v>1297</v>
      </c>
      <c r="F51" s="59">
        <f t="shared" ca="1" si="4"/>
        <v>1232.1500000000001</v>
      </c>
      <c r="G51" s="59">
        <f t="shared" ca="1" si="5"/>
        <v>1518193.6225000003</v>
      </c>
      <c r="M51" s="54">
        <f ca="1">+'Hoja de cronometraje'!N49</f>
        <v>100</v>
      </c>
      <c r="N51" s="59">
        <f ca="1">+'Hoja de cronometraje'!O49</f>
        <v>4174</v>
      </c>
      <c r="O51" s="59">
        <f t="shared" ca="1" si="6"/>
        <v>4174</v>
      </c>
      <c r="P51" s="59">
        <f t="shared" ca="1" si="7"/>
        <v>17422276</v>
      </c>
    </row>
    <row r="52" spans="4:16" ht="15.6" x14ac:dyDescent="0.3">
      <c r="D52" s="54">
        <f ca="1">+'Hoja de cronometraje'!K50</f>
        <v>95</v>
      </c>
      <c r="E52" s="59">
        <f ca="1">+'Hoja de cronometraje'!L50</f>
        <v>1271</v>
      </c>
      <c r="F52" s="59">
        <f t="shared" ca="1" si="4"/>
        <v>1207.45</v>
      </c>
      <c r="G52" s="59">
        <f t="shared" ca="1" si="5"/>
        <v>1457935.5025000002</v>
      </c>
      <c r="M52" s="54">
        <f ca="1">+'Hoja de cronometraje'!N50</f>
        <v>95</v>
      </c>
      <c r="N52" s="59">
        <f ca="1">+'Hoja de cronometraje'!O50</f>
        <v>4269</v>
      </c>
      <c r="O52" s="59">
        <f t="shared" ca="1" si="6"/>
        <v>4055.55</v>
      </c>
      <c r="P52" s="59">
        <f t="shared" ca="1" si="7"/>
        <v>16447485.802500002</v>
      </c>
    </row>
    <row r="53" spans="4:16" ht="15.6" x14ac:dyDescent="0.3">
      <c r="D53" s="56">
        <f ca="1">+'Hoja de cronometraje'!K51</f>
        <v>95</v>
      </c>
      <c r="E53" s="60">
        <f ca="1">+'Hoja de cronometraje'!L51</f>
        <v>1119</v>
      </c>
      <c r="F53" s="60">
        <f t="shared" ca="1" si="4"/>
        <v>1063.05</v>
      </c>
      <c r="G53" s="60">
        <f t="shared" ca="1" si="5"/>
        <v>1130075.3025</v>
      </c>
      <c r="M53" s="56">
        <f ca="1">+'Hoja de cronometraje'!N51</f>
        <v>95</v>
      </c>
      <c r="N53" s="60">
        <f ca="1">+'Hoja de cronometraje'!O51</f>
        <v>4174</v>
      </c>
      <c r="O53" s="60">
        <f t="shared" ca="1" si="6"/>
        <v>3965.3</v>
      </c>
      <c r="P53" s="60">
        <f t="shared" ca="1" si="7"/>
        <v>15723604.090000002</v>
      </c>
    </row>
    <row r="54" spans="4:16" ht="15.6" x14ac:dyDescent="0.3">
      <c r="D54" s="126" t="s">
        <v>89</v>
      </c>
      <c r="E54" s="127"/>
      <c r="F54" s="58">
        <f ca="1">SUM(F34:F53)</f>
        <v>22668.1</v>
      </c>
      <c r="G54" s="58">
        <f ca="1">SUM(G34:G53)</f>
        <v>25790949.16</v>
      </c>
      <c r="M54" s="126" t="s">
        <v>89</v>
      </c>
      <c r="N54" s="127"/>
      <c r="O54" s="58">
        <f ca="1">SUM(O34:O53)</f>
        <v>82227.600000000006</v>
      </c>
      <c r="P54" s="58">
        <f ca="1">SUM(P34:P53)</f>
        <v>339349201.84499991</v>
      </c>
    </row>
    <row r="55" spans="4:16" ht="15.6" x14ac:dyDescent="0.3">
      <c r="D55" s="128" t="s">
        <v>90</v>
      </c>
      <c r="E55" s="129"/>
      <c r="F55" s="51">
        <f ca="1">+J40</f>
        <v>7</v>
      </c>
      <c r="G55" s="41" t="s">
        <v>139</v>
      </c>
      <c r="M55" s="128" t="s">
        <v>90</v>
      </c>
      <c r="N55" s="129"/>
      <c r="O55" s="51">
        <f ca="1">+S40</f>
        <v>7</v>
      </c>
      <c r="P55" s="41" t="s">
        <v>139</v>
      </c>
    </row>
  </sheetData>
  <mergeCells count="12">
    <mergeCell ref="D26:E26"/>
    <mergeCell ref="D27:E27"/>
    <mergeCell ref="D54:E54"/>
    <mergeCell ref="D55:E55"/>
    <mergeCell ref="P2:Q2"/>
    <mergeCell ref="P30:Q30"/>
    <mergeCell ref="M26:N26"/>
    <mergeCell ref="M27:N27"/>
    <mergeCell ref="M54:N54"/>
    <mergeCell ref="M55:N55"/>
    <mergeCell ref="G2:H2"/>
    <mergeCell ref="G30:H3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E101C-885D-46D0-8E9B-C8F9CC311774}">
  <dimension ref="A1:M169"/>
  <sheetViews>
    <sheetView topLeftCell="A142" zoomScaleNormal="100" workbookViewId="0">
      <selection activeCell="H118" sqref="H118"/>
    </sheetView>
  </sheetViews>
  <sheetFormatPr baseColWidth="10" defaultRowHeight="14.4" x14ac:dyDescent="0.3"/>
  <cols>
    <col min="4" max="4" width="14.44140625" bestFit="1" customWidth="1"/>
  </cols>
  <sheetData>
    <row r="1" spans="1:11" x14ac:dyDescent="0.3">
      <c r="C1" s="16"/>
      <c r="D1" s="16"/>
      <c r="E1" s="16"/>
      <c r="F1" s="16"/>
      <c r="G1" s="16"/>
    </row>
    <row r="2" spans="1:11" x14ac:dyDescent="0.3">
      <c r="C2" s="16"/>
      <c r="D2" s="16"/>
      <c r="E2" s="16"/>
      <c r="F2" s="16"/>
      <c r="G2" s="16"/>
    </row>
    <row r="3" spans="1:11" x14ac:dyDescent="0.3">
      <c r="C3" s="16"/>
      <c r="D3" s="16"/>
      <c r="E3" s="130" t="str">
        <f>+'N° de Obs.'!G2</f>
        <v>Elemento P</v>
      </c>
      <c r="F3" s="131"/>
      <c r="G3" s="16"/>
    </row>
    <row r="4" spans="1:11" ht="15.6" x14ac:dyDescent="0.3">
      <c r="A4" s="49"/>
      <c r="B4" s="49"/>
      <c r="C4" s="49"/>
      <c r="D4" s="49"/>
      <c r="E4" s="49"/>
      <c r="F4" s="49"/>
      <c r="G4" s="49"/>
      <c r="H4" s="49"/>
      <c r="I4" s="49"/>
    </row>
    <row r="5" spans="1:11" ht="15.6" x14ac:dyDescent="0.3">
      <c r="A5" s="49"/>
      <c r="B5" s="50"/>
      <c r="C5" s="50"/>
      <c r="D5" s="50"/>
      <c r="E5" s="50"/>
      <c r="F5" s="50"/>
      <c r="G5" s="49"/>
      <c r="H5" s="49"/>
      <c r="I5" s="49"/>
    </row>
    <row r="6" spans="1:11" ht="15.6" x14ac:dyDescent="0.3">
      <c r="A6" s="49"/>
      <c r="B6" s="47" t="s">
        <v>26</v>
      </c>
      <c r="C6" s="48" t="s">
        <v>91</v>
      </c>
      <c r="D6" s="61" t="s">
        <v>92</v>
      </c>
      <c r="E6" s="48" t="s">
        <v>27</v>
      </c>
      <c r="F6" s="62" t="s">
        <v>93</v>
      </c>
      <c r="G6" s="49"/>
      <c r="H6" s="49"/>
      <c r="I6" s="49"/>
    </row>
    <row r="7" spans="1:11" ht="15.6" x14ac:dyDescent="0.3">
      <c r="A7" s="49"/>
      <c r="B7" s="54">
        <f ca="1">+'N° de Obs.'!D6</f>
        <v>95</v>
      </c>
      <c r="C7" s="59">
        <f ca="1">+'N° de Obs.'!E6</f>
        <v>1276</v>
      </c>
      <c r="D7" s="49">
        <f ca="1">+ROUND($B$29*$C$29/C7,2)</f>
        <v>88.71</v>
      </c>
      <c r="E7" s="59">
        <f ca="1">+J7</f>
        <v>90</v>
      </c>
      <c r="F7" s="55">
        <f ca="1">+B7-E7</f>
        <v>5</v>
      </c>
      <c r="G7" s="49"/>
      <c r="H7" s="49">
        <f ca="1">+ROUND(D7,1)</f>
        <v>88.7</v>
      </c>
      <c r="I7" s="63" t="str">
        <f ca="1">+RIGHT(H7*10,2)</f>
        <v>87</v>
      </c>
      <c r="J7" s="16" cm="1">
        <f t="array" aca="1" ref="J7" ca="1">+_xlfn.IFS(AND(I7&gt;="0",I7&lt;"25"),H7-(I7/10),AND(I7&gt;="25",I7&lt;"50"),H7+(5-(I7/10)),AND(I7&gt;="50",I7&lt;"75"),H7-((I7-50)/10),I7&gt;="75",H7+(10-(I7/10)))</f>
        <v>90</v>
      </c>
      <c r="K7" s="16">
        <f ca="1">+ABS(F7)</f>
        <v>5</v>
      </c>
    </row>
    <row r="8" spans="1:11" ht="15.6" x14ac:dyDescent="0.3">
      <c r="A8" s="49"/>
      <c r="B8" s="54">
        <f ca="1">+'N° de Obs.'!D7</f>
        <v>100</v>
      </c>
      <c r="C8" s="59">
        <f ca="1">+'N° de Obs.'!E7</f>
        <v>1106</v>
      </c>
      <c r="D8" s="49">
        <f t="shared" ref="D8:D26" ca="1" si="0">+ROUND($B$29*$C$29/C8,2)</f>
        <v>102.35</v>
      </c>
      <c r="E8" s="59">
        <f t="shared" ref="E8:E26" ca="1" si="1">+J8</f>
        <v>100</v>
      </c>
      <c r="F8" s="55">
        <f t="shared" ref="F8:F26" ca="1" si="2">+B8-E8</f>
        <v>0</v>
      </c>
      <c r="G8" s="49"/>
      <c r="H8" s="49">
        <f t="shared" ref="H8:H26" ca="1" si="3">+ROUND(D8,1)</f>
        <v>102.4</v>
      </c>
      <c r="I8" s="63" t="str">
        <f t="shared" ref="I8:I26" ca="1" si="4">+RIGHT(H8*10,2)</f>
        <v>24</v>
      </c>
      <c r="J8" s="16" cm="1">
        <f t="array" aca="1" ref="J8" ca="1">+_xlfn.IFS(AND(I8&gt;="0",I8&lt;"25"),H8-(I8/10),AND(I8&gt;="25",I8&lt;"50"),H8+(5-(I8/10)),AND(I8&gt;="50",I8&lt;"75"),H8-((I8-50)/10),I8&gt;="75",H8+(10-(I8/10)))</f>
        <v>100</v>
      </c>
      <c r="K8" s="16">
        <f t="shared" ref="K8:K26" ca="1" si="5">+ABS(F8)</f>
        <v>0</v>
      </c>
    </row>
    <row r="9" spans="1:11" ht="15.6" x14ac:dyDescent="0.3">
      <c r="A9" s="49"/>
      <c r="B9" s="54">
        <f ca="1">+'N° de Obs.'!D8</f>
        <v>95</v>
      </c>
      <c r="C9" s="59">
        <f ca="1">+'N° de Obs.'!E8</f>
        <v>1225</v>
      </c>
      <c r="D9" s="49">
        <f t="shared" ca="1" si="0"/>
        <v>92.41</v>
      </c>
      <c r="E9" s="59">
        <f t="shared" ca="1" si="1"/>
        <v>90</v>
      </c>
      <c r="F9" s="55">
        <f t="shared" ca="1" si="2"/>
        <v>5</v>
      </c>
      <c r="G9" s="49"/>
      <c r="H9" s="49">
        <f t="shared" ca="1" si="3"/>
        <v>92.4</v>
      </c>
      <c r="I9" s="63" t="str">
        <f t="shared" ca="1" si="4"/>
        <v>24</v>
      </c>
      <c r="J9" s="16" cm="1">
        <f t="array" aca="1" ref="J9" ca="1">+_xlfn.IFS(AND(I9&gt;="0",I9&lt;"25"),H9-(I9/10),AND(I9&gt;="25",I9&lt;"50"),H9+(5-(I9/10)),AND(I9&gt;="50",I9&lt;"75"),H9-((I9-50)/10),I9&gt;="75",H9+(10-(I9/10)))</f>
        <v>90</v>
      </c>
      <c r="K9" s="16">
        <f t="shared" ca="1" si="5"/>
        <v>5</v>
      </c>
    </row>
    <row r="10" spans="1:11" ht="15.6" x14ac:dyDescent="0.3">
      <c r="A10" s="49"/>
      <c r="B10" s="54">
        <f ca="1">+'N° de Obs.'!D9</f>
        <v>90</v>
      </c>
      <c r="C10" s="59">
        <f ca="1">+'N° de Obs.'!E9</f>
        <v>1205</v>
      </c>
      <c r="D10" s="49">
        <f t="shared" ca="1" si="0"/>
        <v>93.94</v>
      </c>
      <c r="E10" s="59">
        <f t="shared" ca="1" si="1"/>
        <v>95</v>
      </c>
      <c r="F10" s="55">
        <f t="shared" ca="1" si="2"/>
        <v>-5</v>
      </c>
      <c r="G10" s="49"/>
      <c r="H10" s="49">
        <f t="shared" ca="1" si="3"/>
        <v>93.9</v>
      </c>
      <c r="I10" s="63" t="str">
        <f t="shared" ca="1" si="4"/>
        <v>39</v>
      </c>
      <c r="J10" s="16" cm="1">
        <f t="array" aca="1" ref="J10" ca="1">+_xlfn.IFS(AND(I10&gt;="0",I10&lt;"25"),H10-(I10/10),AND(I10&gt;="25",I10&lt;"50"),H10+(5-(I10/10)),AND(I10&gt;="50",I10&lt;"75"),H10-((I10-50)/10),I10&gt;="75",H10+(10-(I10/10)))</f>
        <v>95</v>
      </c>
      <c r="K10" s="16">
        <f t="shared" ca="1" si="5"/>
        <v>5</v>
      </c>
    </row>
    <row r="11" spans="1:11" ht="15.6" x14ac:dyDescent="0.3">
      <c r="A11" s="49"/>
      <c r="B11" s="54">
        <f ca="1">+'N° de Obs.'!D10</f>
        <v>95</v>
      </c>
      <c r="C11" s="59">
        <f ca="1">+'N° de Obs.'!E10</f>
        <v>1117</v>
      </c>
      <c r="D11" s="49">
        <f t="shared" ca="1" si="0"/>
        <v>101.34</v>
      </c>
      <c r="E11" s="59">
        <f t="shared" ca="1" si="1"/>
        <v>100</v>
      </c>
      <c r="F11" s="55">
        <f t="shared" ca="1" si="2"/>
        <v>-5</v>
      </c>
      <c r="G11" s="49"/>
      <c r="H11" s="49">
        <f t="shared" ca="1" si="3"/>
        <v>101.3</v>
      </c>
      <c r="I11" s="63" t="str">
        <f t="shared" ca="1" si="4"/>
        <v>13</v>
      </c>
      <c r="J11" s="16" cm="1">
        <f t="array" aca="1" ref="J11" ca="1">+_xlfn.IFS(AND(I11&gt;="0",I11&lt;"25"),H11-(I11/10),AND(I11&gt;="25",I11&lt;"50"),H11+(5-(I11/10)),AND(I11&gt;="50",I11&lt;"75"),H11-((I11-50)/10),I11&gt;="75",H11+(10-(I11/10)))</f>
        <v>100</v>
      </c>
      <c r="K11" s="16">
        <f t="shared" ca="1" si="5"/>
        <v>5</v>
      </c>
    </row>
    <row r="12" spans="1:11" ht="15.6" x14ac:dyDescent="0.3">
      <c r="A12" s="49"/>
      <c r="B12" s="54">
        <f ca="1">+'N° de Obs.'!D11</f>
        <v>85</v>
      </c>
      <c r="C12" s="59">
        <f ca="1">+'N° de Obs.'!E11</f>
        <v>1298</v>
      </c>
      <c r="D12" s="49">
        <f t="shared" ca="1" si="0"/>
        <v>87.21</v>
      </c>
      <c r="E12" s="59">
        <f t="shared" ca="1" si="1"/>
        <v>85</v>
      </c>
      <c r="F12" s="55">
        <f t="shared" ca="1" si="2"/>
        <v>0</v>
      </c>
      <c r="G12" s="49"/>
      <c r="H12" s="49">
        <f t="shared" ca="1" si="3"/>
        <v>87.2</v>
      </c>
      <c r="I12" s="63" t="str">
        <f t="shared" ca="1" si="4"/>
        <v>72</v>
      </c>
      <c r="J12" s="16" cm="1">
        <f t="array" aca="1" ref="J12" ca="1">+_xlfn.IFS(AND(I12&gt;="0",I12&lt;"25"),H12-(I12/10),AND(I12&gt;="25",I12&lt;"50"),H12+(5-(I12/10)),AND(I12&gt;="50",I12&lt;"75"),H12-((I12-50)/10),I12&gt;="75",H12+(10-(I12/10)))</f>
        <v>85</v>
      </c>
      <c r="K12" s="16">
        <f t="shared" ca="1" si="5"/>
        <v>0</v>
      </c>
    </row>
    <row r="13" spans="1:11" ht="15.6" x14ac:dyDescent="0.3">
      <c r="A13" s="49"/>
      <c r="B13" s="54">
        <f ca="1">+'N° de Obs.'!D12</f>
        <v>100</v>
      </c>
      <c r="C13" s="59">
        <f ca="1">+'N° de Obs.'!E12</f>
        <v>1149</v>
      </c>
      <c r="D13" s="49">
        <f t="shared" ca="1" si="0"/>
        <v>98.52</v>
      </c>
      <c r="E13" s="59">
        <f t="shared" ca="1" si="1"/>
        <v>100</v>
      </c>
      <c r="F13" s="55">
        <f t="shared" ca="1" si="2"/>
        <v>0</v>
      </c>
      <c r="G13" s="49"/>
      <c r="H13" s="49">
        <f t="shared" ca="1" si="3"/>
        <v>98.5</v>
      </c>
      <c r="I13" s="63" t="str">
        <f t="shared" ca="1" si="4"/>
        <v>85</v>
      </c>
      <c r="J13" s="16" cm="1">
        <f t="array" aca="1" ref="J13" ca="1">+_xlfn.IFS(AND(I13&gt;="0",I13&lt;"25"),H13-(I13/10),AND(I13&gt;="25",I13&lt;"50"),H13+(5-(I13/10)),AND(I13&gt;="50",I13&lt;"75"),H13-((I13-50)/10),I13&gt;="75",H13+(10-(I13/10)))</f>
        <v>100</v>
      </c>
      <c r="K13" s="16">
        <f t="shared" ca="1" si="5"/>
        <v>0</v>
      </c>
    </row>
    <row r="14" spans="1:11" ht="15.6" x14ac:dyDescent="0.3">
      <c r="A14" s="49"/>
      <c r="B14" s="54">
        <f ca="1">+'N° de Obs.'!D13</f>
        <v>90</v>
      </c>
      <c r="C14" s="59">
        <f ca="1">+'N° de Obs.'!E13</f>
        <v>1217</v>
      </c>
      <c r="D14" s="49">
        <f t="shared" ca="1" si="0"/>
        <v>93.02</v>
      </c>
      <c r="E14" s="59">
        <f t="shared" ca="1" si="1"/>
        <v>95</v>
      </c>
      <c r="F14" s="55">
        <f t="shared" ca="1" si="2"/>
        <v>-5</v>
      </c>
      <c r="G14" s="49"/>
      <c r="H14" s="49">
        <f t="shared" ca="1" si="3"/>
        <v>93</v>
      </c>
      <c r="I14" s="63" t="str">
        <f t="shared" ca="1" si="4"/>
        <v>30</v>
      </c>
      <c r="J14" s="16" cm="1">
        <f t="array" aca="1" ref="J14" ca="1">+_xlfn.IFS(AND(I14&gt;="0",I14&lt;"25"),H14-(I14/10),AND(I14&gt;="25",I14&lt;"50"),H14+(5-(I14/10)),AND(I14&gt;="50",I14&lt;"75"),H14-((I14-50)/10),I14&gt;="75",H14+(10-(I14/10)))</f>
        <v>95</v>
      </c>
      <c r="K14" s="16">
        <f t="shared" ca="1" si="5"/>
        <v>5</v>
      </c>
    </row>
    <row r="15" spans="1:11" ht="15.6" x14ac:dyDescent="0.3">
      <c r="A15" s="49"/>
      <c r="B15" s="54">
        <f ca="1">+'N° de Obs.'!D14</f>
        <v>90</v>
      </c>
      <c r="C15" s="59">
        <f ca="1">+'N° de Obs.'!E14</f>
        <v>1198</v>
      </c>
      <c r="D15" s="49">
        <f t="shared" ca="1" si="0"/>
        <v>94.49</v>
      </c>
      <c r="E15" s="59">
        <f t="shared" ca="1" si="1"/>
        <v>95</v>
      </c>
      <c r="F15" s="55">
        <f t="shared" ca="1" si="2"/>
        <v>-5</v>
      </c>
      <c r="G15" s="49"/>
      <c r="H15" s="49">
        <f t="shared" ca="1" si="3"/>
        <v>94.5</v>
      </c>
      <c r="I15" s="63" t="str">
        <f t="shared" ca="1" si="4"/>
        <v>45</v>
      </c>
      <c r="J15" s="16" cm="1">
        <f t="array" aca="1" ref="J15" ca="1">+_xlfn.IFS(AND(I15&gt;="0",I15&lt;"25"),H15-(I15/10),AND(I15&gt;="25",I15&lt;"50"),H15+(5-(I15/10)),AND(I15&gt;="50",I15&lt;"75"),H15-((I15-50)/10),I15&gt;="75",H15+(10-(I15/10)))</f>
        <v>95</v>
      </c>
      <c r="K15" s="16">
        <f t="shared" ca="1" si="5"/>
        <v>5</v>
      </c>
    </row>
    <row r="16" spans="1:11" ht="15.6" x14ac:dyDescent="0.3">
      <c r="A16" s="49"/>
      <c r="B16" s="54">
        <f ca="1">+'N° de Obs.'!D15</f>
        <v>95</v>
      </c>
      <c r="C16" s="59">
        <f ca="1">+'N° de Obs.'!E15</f>
        <v>1145</v>
      </c>
      <c r="D16" s="49">
        <f t="shared" ca="1" si="0"/>
        <v>98.86</v>
      </c>
      <c r="E16" s="59">
        <f t="shared" ca="1" si="1"/>
        <v>100</v>
      </c>
      <c r="F16" s="55">
        <f t="shared" ca="1" si="2"/>
        <v>-5</v>
      </c>
      <c r="G16" s="49"/>
      <c r="H16" s="49">
        <f t="shared" ca="1" si="3"/>
        <v>98.9</v>
      </c>
      <c r="I16" s="63" t="str">
        <f t="shared" ca="1" si="4"/>
        <v>89</v>
      </c>
      <c r="J16" s="16" cm="1">
        <f t="array" aca="1" ref="J16" ca="1">+_xlfn.IFS(AND(I16&gt;="0",I16&lt;"25"),H16-(I16/10),AND(I16&gt;="25",I16&lt;"50"),H16+(5-(I16/10)),AND(I16&gt;="50",I16&lt;"75"),H16-((I16-50)/10),I16&gt;="75",H16+(10-(I16/10)))</f>
        <v>100</v>
      </c>
      <c r="K16" s="16">
        <f t="shared" ca="1" si="5"/>
        <v>5</v>
      </c>
    </row>
    <row r="17" spans="1:13" ht="15.6" x14ac:dyDescent="0.3">
      <c r="A17" s="49"/>
      <c r="B17" s="54">
        <f ca="1">+'N° de Obs.'!D16</f>
        <v>100</v>
      </c>
      <c r="C17" s="59">
        <f ca="1">+'N° de Obs.'!E16</f>
        <v>1246</v>
      </c>
      <c r="D17" s="49">
        <f t="shared" ca="1" si="0"/>
        <v>90.85</v>
      </c>
      <c r="E17" s="59">
        <f t="shared" ca="1" si="1"/>
        <v>90</v>
      </c>
      <c r="F17" s="55">
        <f t="shared" ca="1" si="2"/>
        <v>10</v>
      </c>
      <c r="G17" s="49"/>
      <c r="H17" s="49">
        <f t="shared" ca="1" si="3"/>
        <v>90.9</v>
      </c>
      <c r="I17" s="63" t="str">
        <f t="shared" ca="1" si="4"/>
        <v>09</v>
      </c>
      <c r="J17" s="16" cm="1">
        <f t="array" aca="1" ref="J17" ca="1">+_xlfn.IFS(AND(I17&gt;="0",I17&lt;"25"),H17-(I17/10),AND(I17&gt;="25",I17&lt;"50"),H17+(5-(I17/10)),AND(I17&gt;="50",I17&lt;"75"),H17-((I17-50)/10),I17&gt;="75",H17+(10-(I17/10)))</f>
        <v>90</v>
      </c>
      <c r="K17" s="16">
        <f t="shared" ca="1" si="5"/>
        <v>10</v>
      </c>
    </row>
    <row r="18" spans="1:13" ht="15.6" x14ac:dyDescent="0.3">
      <c r="A18" s="49"/>
      <c r="B18" s="54">
        <f ca="1">+'N° de Obs.'!D17</f>
        <v>90</v>
      </c>
      <c r="C18" s="59">
        <f ca="1">+'N° de Obs.'!E17</f>
        <v>1104</v>
      </c>
      <c r="D18" s="49">
        <f t="shared" ca="1" si="0"/>
        <v>102.54</v>
      </c>
      <c r="E18" s="59">
        <f t="shared" ca="1" si="1"/>
        <v>105</v>
      </c>
      <c r="F18" s="55">
        <f t="shared" ca="1" si="2"/>
        <v>-15</v>
      </c>
      <c r="G18" s="49"/>
      <c r="H18" s="49">
        <f t="shared" ca="1" si="3"/>
        <v>102.5</v>
      </c>
      <c r="I18" s="63" t="str">
        <f t="shared" ca="1" si="4"/>
        <v>25</v>
      </c>
      <c r="J18" s="16" cm="1">
        <f t="array" aca="1" ref="J18" ca="1">+_xlfn.IFS(AND(I18&gt;="0",I18&lt;"25"),H18-(I18/10),AND(I18&gt;="25",I18&lt;"50"),H18+(5-(I18/10)),AND(I18&gt;="50",I18&lt;"75"),H18-((I18-50)/10),I18&gt;="75",H18+(10-(I18/10)))</f>
        <v>105</v>
      </c>
      <c r="K18" s="16">
        <f t="shared" ca="1" si="5"/>
        <v>15</v>
      </c>
    </row>
    <row r="19" spans="1:13" ht="15.6" x14ac:dyDescent="0.3">
      <c r="A19" s="49"/>
      <c r="B19" s="54">
        <f ca="1">+'N° de Obs.'!D18</f>
        <v>90</v>
      </c>
      <c r="C19" s="59">
        <f ca="1">+'N° de Obs.'!E18</f>
        <v>1290</v>
      </c>
      <c r="D19" s="49">
        <f t="shared" ca="1" si="0"/>
        <v>87.75</v>
      </c>
      <c r="E19" s="59">
        <f t="shared" ca="1" si="1"/>
        <v>90</v>
      </c>
      <c r="F19" s="55">
        <f t="shared" ca="1" si="2"/>
        <v>0</v>
      </c>
      <c r="G19" s="49"/>
      <c r="H19" s="49">
        <f t="shared" ca="1" si="3"/>
        <v>87.8</v>
      </c>
      <c r="I19" s="63" t="str">
        <f t="shared" ca="1" si="4"/>
        <v>78</v>
      </c>
      <c r="J19" s="16" cm="1">
        <f t="array" aca="1" ref="J19" ca="1">+_xlfn.IFS(AND(I19&gt;="0",I19&lt;"25"),H19-(I19/10),AND(I19&gt;="25",I19&lt;"50"),H19+(5-(I19/10)),AND(I19&gt;="50",I19&lt;"75"),H19-((I19-50)/10),I19&gt;="75",H19+(10-(I19/10)))</f>
        <v>90</v>
      </c>
      <c r="K19" s="16">
        <f t="shared" ca="1" si="5"/>
        <v>0</v>
      </c>
    </row>
    <row r="20" spans="1:13" ht="15.6" x14ac:dyDescent="0.3">
      <c r="A20" s="49"/>
      <c r="B20" s="54">
        <f ca="1">+'N° de Obs.'!D19</f>
        <v>95</v>
      </c>
      <c r="C20" s="59">
        <f ca="1">+'N° de Obs.'!E19</f>
        <v>1265</v>
      </c>
      <c r="D20" s="49">
        <f t="shared" ca="1" si="0"/>
        <v>89.49</v>
      </c>
      <c r="E20" s="59">
        <f t="shared" ca="1" si="1"/>
        <v>90</v>
      </c>
      <c r="F20" s="55">
        <f t="shared" ca="1" si="2"/>
        <v>5</v>
      </c>
      <c r="G20" s="49"/>
      <c r="H20" s="49">
        <f t="shared" ca="1" si="3"/>
        <v>89.5</v>
      </c>
      <c r="I20" s="63" t="str">
        <f t="shared" ca="1" si="4"/>
        <v>95</v>
      </c>
      <c r="J20" s="16" cm="1">
        <f t="array" aca="1" ref="J20" ca="1">+_xlfn.IFS(AND(I20&gt;="0",I20&lt;"25"),H20-(I20/10),AND(I20&gt;="25",I20&lt;"50"),H20+(5-(I20/10)),AND(I20&gt;="50",I20&lt;"75"),H20-((I20-50)/10),I20&gt;="75",H20+(10-(I20/10)))</f>
        <v>90</v>
      </c>
      <c r="K20" s="16">
        <f t="shared" ca="1" si="5"/>
        <v>5</v>
      </c>
    </row>
    <row r="21" spans="1:13" ht="15.6" x14ac:dyDescent="0.3">
      <c r="A21" s="49"/>
      <c r="B21" s="54">
        <f ca="1">+'N° de Obs.'!D20</f>
        <v>90</v>
      </c>
      <c r="C21" s="59">
        <f ca="1">+'N° de Obs.'!E20</f>
        <v>1179</v>
      </c>
      <c r="D21" s="49">
        <f t="shared" ca="1" si="0"/>
        <v>96.01</v>
      </c>
      <c r="E21" s="59">
        <f t="shared" ca="1" si="1"/>
        <v>95</v>
      </c>
      <c r="F21" s="55">
        <f t="shared" ca="1" si="2"/>
        <v>-5</v>
      </c>
      <c r="G21" s="49"/>
      <c r="H21" s="49">
        <f t="shared" ca="1" si="3"/>
        <v>96</v>
      </c>
      <c r="I21" s="63" t="str">
        <f t="shared" ca="1" si="4"/>
        <v>60</v>
      </c>
      <c r="J21" s="16" cm="1">
        <f t="array" aca="1" ref="J21" ca="1">+_xlfn.IFS(AND(I21&gt;="0",I21&lt;"25"),H21-(I21/10),AND(I21&gt;="25",I21&lt;"50"),H21+(5-(I21/10)),AND(I21&gt;="50",I21&lt;"75"),H21-((I21-50)/10),I21&gt;="75",H21+(10-(I21/10)))</f>
        <v>95</v>
      </c>
      <c r="K21" s="16">
        <f t="shared" ca="1" si="5"/>
        <v>5</v>
      </c>
    </row>
    <row r="22" spans="1:13" ht="15.6" x14ac:dyDescent="0.3">
      <c r="A22" s="49"/>
      <c r="B22" s="54">
        <f ca="1">+'N° de Obs.'!D21</f>
        <v>85</v>
      </c>
      <c r="C22" s="59">
        <f ca="1">+'N° de Obs.'!E21</f>
        <v>1256</v>
      </c>
      <c r="D22" s="49">
        <f t="shared" ca="1" si="0"/>
        <v>90.13</v>
      </c>
      <c r="E22" s="59">
        <f t="shared" ca="1" si="1"/>
        <v>90</v>
      </c>
      <c r="F22" s="55">
        <f t="shared" ca="1" si="2"/>
        <v>-5</v>
      </c>
      <c r="G22" s="49"/>
      <c r="H22" s="49">
        <f t="shared" ca="1" si="3"/>
        <v>90.1</v>
      </c>
      <c r="I22" s="63" t="str">
        <f t="shared" ca="1" si="4"/>
        <v>01</v>
      </c>
      <c r="J22" s="16" cm="1">
        <f t="array" aca="1" ref="J22" ca="1">+_xlfn.IFS(AND(I22&gt;="0",I22&lt;"25"),H22-(I22/10),AND(I22&gt;="25",I22&lt;"50"),H22+(5-(I22/10)),AND(I22&gt;="50",I22&lt;"75"),H22-((I22-50)/10),I22&gt;="75",H22+(10-(I22/10)))</f>
        <v>90</v>
      </c>
      <c r="K22" s="16">
        <f t="shared" ca="1" si="5"/>
        <v>5</v>
      </c>
    </row>
    <row r="23" spans="1:13" ht="15.6" x14ac:dyDescent="0.3">
      <c r="A23" s="49"/>
      <c r="B23" s="54">
        <f ca="1">+'N° de Obs.'!D22</f>
        <v>105</v>
      </c>
      <c r="C23" s="59">
        <f ca="1">+'N° de Obs.'!E22</f>
        <v>1214</v>
      </c>
      <c r="D23" s="49">
        <f t="shared" ca="1" si="0"/>
        <v>93.25</v>
      </c>
      <c r="E23" s="59">
        <f t="shared" ca="1" si="1"/>
        <v>95</v>
      </c>
      <c r="F23" s="55">
        <f t="shared" ca="1" si="2"/>
        <v>10</v>
      </c>
      <c r="G23" s="49"/>
      <c r="H23" s="49">
        <f t="shared" ca="1" si="3"/>
        <v>93.3</v>
      </c>
      <c r="I23" s="63" t="str">
        <f t="shared" ca="1" si="4"/>
        <v>33</v>
      </c>
      <c r="J23" s="16" cm="1">
        <f t="array" aca="1" ref="J23" ca="1">+_xlfn.IFS(AND(I23&gt;="0",I23&lt;"25"),H23-(I23/10),AND(I23&gt;="25",I23&lt;"50"),H23+(5-(I23/10)),AND(I23&gt;="50",I23&lt;"75"),H23-((I23-50)/10),I23&gt;="75",H23+(10-(I23/10)))</f>
        <v>95</v>
      </c>
      <c r="K23" s="16">
        <f t="shared" ca="1" si="5"/>
        <v>10</v>
      </c>
    </row>
    <row r="24" spans="1:13" ht="15.6" x14ac:dyDescent="0.3">
      <c r="A24" s="49"/>
      <c r="B24" s="54">
        <f ca="1">+'N° de Obs.'!D23</f>
        <v>90</v>
      </c>
      <c r="C24" s="59">
        <f ca="1">+'N° de Obs.'!E23</f>
        <v>1296</v>
      </c>
      <c r="D24" s="49">
        <f t="shared" ca="1" si="0"/>
        <v>87.35</v>
      </c>
      <c r="E24" s="59">
        <f t="shared" ca="1" si="1"/>
        <v>85</v>
      </c>
      <c r="F24" s="55">
        <f t="shared" ca="1" si="2"/>
        <v>5</v>
      </c>
      <c r="G24" s="49"/>
      <c r="H24" s="49">
        <f t="shared" ca="1" si="3"/>
        <v>87.4</v>
      </c>
      <c r="I24" s="63" t="str">
        <f t="shared" ca="1" si="4"/>
        <v>74</v>
      </c>
      <c r="J24" s="16" cm="1">
        <f t="array" aca="1" ref="J24" ca="1">+_xlfn.IFS(AND(I24&gt;="0",I24&lt;"25"),H24-(I24/10),AND(I24&gt;="25",I24&lt;"50"),H24+(5-(I24/10)),AND(I24&gt;="50",I24&lt;"75"),H24-((I24-50)/10),I24&gt;="75",H24+(10-(I24/10)))</f>
        <v>85</v>
      </c>
      <c r="K24" s="16">
        <f t="shared" ca="1" si="5"/>
        <v>5</v>
      </c>
    </row>
    <row r="25" spans="1:13" ht="15.6" x14ac:dyDescent="0.3">
      <c r="A25" s="49"/>
      <c r="B25" s="54">
        <f ca="1">+'N° de Obs.'!D24</f>
        <v>95</v>
      </c>
      <c r="C25" s="59">
        <f ca="1">+'N° de Obs.'!E24</f>
        <v>1202</v>
      </c>
      <c r="D25" s="49">
        <f t="shared" ca="1" si="0"/>
        <v>94.18</v>
      </c>
      <c r="E25" s="59">
        <f t="shared" ca="1" si="1"/>
        <v>95</v>
      </c>
      <c r="F25" s="55">
        <f t="shared" ca="1" si="2"/>
        <v>0</v>
      </c>
      <c r="G25" s="49"/>
      <c r="H25" s="49">
        <f t="shared" ca="1" si="3"/>
        <v>94.2</v>
      </c>
      <c r="I25" s="63" t="str">
        <f t="shared" ca="1" si="4"/>
        <v>42</v>
      </c>
      <c r="J25" s="16" cm="1">
        <f t="array" aca="1" ref="J25" ca="1">+_xlfn.IFS(AND(I25&gt;="0",I25&lt;"25"),H25-(I25/10),AND(I25&gt;="25",I25&lt;"50"),H25+(5-(I25/10)),AND(I25&gt;="50",I25&lt;"75"),H25-((I25-50)/10),I25&gt;="75",H25+(10-(I25/10)))</f>
        <v>95</v>
      </c>
      <c r="K25" s="16">
        <f t="shared" ca="1" si="5"/>
        <v>0</v>
      </c>
    </row>
    <row r="26" spans="1:13" ht="15.6" x14ac:dyDescent="0.3">
      <c r="A26" s="49"/>
      <c r="B26" s="54">
        <f ca="1">+'N° de Obs.'!D25</f>
        <v>105</v>
      </c>
      <c r="C26" s="60">
        <f ca="1">+'N° de Obs.'!E25</f>
        <v>1132</v>
      </c>
      <c r="D26" s="50">
        <f t="shared" ca="1" si="0"/>
        <v>100</v>
      </c>
      <c r="E26" s="60">
        <f t="shared" ca="1" si="1"/>
        <v>100</v>
      </c>
      <c r="F26" s="57">
        <f t="shared" ca="1" si="2"/>
        <v>5</v>
      </c>
      <c r="G26" s="49"/>
      <c r="H26" s="49">
        <f t="shared" ca="1" si="3"/>
        <v>100</v>
      </c>
      <c r="I26" s="63" t="str">
        <f t="shared" ca="1" si="4"/>
        <v>00</v>
      </c>
      <c r="J26" s="16" cm="1">
        <f t="array" aca="1" ref="J26" ca="1">+_xlfn.IFS(AND(I26&gt;="0",I26&lt;"25"),H26-(I26/10),AND(I26&gt;="25",I26&lt;"50"),H26+(5-(I26/10)),AND(I26&gt;="50",I26&lt;"75"),H26-((I26-50)/10),I26&gt;="75",H26+(10-(I26/10)))</f>
        <v>100</v>
      </c>
      <c r="K26" s="16">
        <f t="shared" ca="1" si="5"/>
        <v>5</v>
      </c>
    </row>
    <row r="27" spans="1:13" ht="15.6" x14ac:dyDescent="0.3">
      <c r="A27" s="49"/>
      <c r="B27" s="126" t="s">
        <v>89</v>
      </c>
      <c r="C27" s="127"/>
      <c r="D27" s="127"/>
      <c r="E27" s="127"/>
      <c r="F27" s="53">
        <f ca="1">+SUMIF(K7:K26,"&lt;=10",F7:F26)</f>
        <v>10</v>
      </c>
      <c r="G27" s="49"/>
      <c r="H27" s="49"/>
      <c r="I27" s="49"/>
      <c r="K27" s="16">
        <f ca="1">+COUNTIF(K7:K26,"&lt;=10")</f>
        <v>19</v>
      </c>
    </row>
    <row r="28" spans="1:13" ht="15.6" x14ac:dyDescent="0.3">
      <c r="A28" s="49"/>
      <c r="B28" s="49"/>
      <c r="C28" s="49"/>
      <c r="D28" s="49"/>
      <c r="E28" s="49"/>
      <c r="F28" s="49"/>
      <c r="G28" s="49"/>
      <c r="H28" s="49"/>
      <c r="I28" s="49"/>
      <c r="K28" s="16"/>
    </row>
    <row r="29" spans="1:13" ht="15.6" x14ac:dyDescent="0.3">
      <c r="A29" s="49"/>
      <c r="B29" s="64">
        <v>100</v>
      </c>
      <c r="C29" s="49">
        <f ca="1">+ROUND(AVERAGE('N° de Obs.'!F6:F25),0)</f>
        <v>1132</v>
      </c>
      <c r="D29" s="49"/>
      <c r="E29" s="49"/>
      <c r="F29" s="49"/>
      <c r="G29" s="49"/>
      <c r="H29" s="49"/>
      <c r="I29" s="49"/>
    </row>
    <row r="30" spans="1:13" ht="15.6" x14ac:dyDescent="0.3">
      <c r="A30" s="49"/>
      <c r="B30" s="49"/>
      <c r="C30" s="49"/>
      <c r="D30" s="50"/>
      <c r="E30" s="50"/>
      <c r="F30" s="49"/>
      <c r="G30" s="49"/>
      <c r="H30" s="49"/>
      <c r="I30" s="49"/>
    </row>
    <row r="31" spans="1:13" ht="15.6" x14ac:dyDescent="0.3">
      <c r="A31" s="49"/>
      <c r="B31" s="49"/>
      <c r="C31" s="49"/>
      <c r="D31" s="47" t="s">
        <v>83</v>
      </c>
      <c r="E31" s="48" t="s">
        <v>84</v>
      </c>
      <c r="F31" s="49"/>
      <c r="G31" s="49"/>
      <c r="H31" s="49"/>
      <c r="I31" s="49"/>
    </row>
    <row r="32" spans="1:13" ht="15.6" x14ac:dyDescent="0.3">
      <c r="A32" s="49"/>
      <c r="B32" s="49"/>
      <c r="C32" s="49"/>
      <c r="D32" s="54" t="s">
        <v>86</v>
      </c>
      <c r="E32" s="59" t="s">
        <v>25</v>
      </c>
      <c r="F32" s="49"/>
      <c r="G32" s="49"/>
      <c r="H32" s="49"/>
      <c r="I32" s="49"/>
      <c r="K32" s="132" t="s">
        <v>97</v>
      </c>
      <c r="L32" s="132"/>
      <c r="M32" s="132"/>
    </row>
    <row r="33" spans="1:13" ht="15.6" x14ac:dyDescent="0.3">
      <c r="A33" s="49"/>
      <c r="B33" s="49"/>
      <c r="C33" s="49"/>
      <c r="D33" s="54" t="s">
        <v>94</v>
      </c>
      <c r="E33" s="69">
        <f>+B29</f>
        <v>100</v>
      </c>
      <c r="F33" s="49"/>
      <c r="G33" s="49"/>
      <c r="H33" s="49"/>
      <c r="I33" s="49"/>
      <c r="K33" s="132"/>
      <c r="L33" s="132"/>
      <c r="M33" s="132"/>
    </row>
    <row r="34" spans="1:13" ht="15.6" x14ac:dyDescent="0.3">
      <c r="A34" s="49"/>
      <c r="B34" s="49"/>
      <c r="C34" s="49"/>
      <c r="D34" s="54" t="s">
        <v>20</v>
      </c>
      <c r="E34" s="59">
        <f ca="1">+C29</f>
        <v>1132</v>
      </c>
      <c r="F34" s="49"/>
      <c r="G34" s="49"/>
      <c r="H34" s="49"/>
      <c r="I34" s="49"/>
      <c r="K34" s="132"/>
      <c r="L34" s="132"/>
      <c r="M34" s="132"/>
    </row>
    <row r="35" spans="1:13" ht="31.2" x14ac:dyDescent="0.3">
      <c r="A35" s="49"/>
      <c r="B35" s="49"/>
      <c r="C35" s="49"/>
      <c r="D35" s="66" t="s">
        <v>96</v>
      </c>
      <c r="E35" s="59">
        <f ca="1">+K27</f>
        <v>19</v>
      </c>
      <c r="F35" s="49"/>
      <c r="G35" s="49"/>
      <c r="H35" s="49"/>
      <c r="I35" s="49"/>
      <c r="K35" s="132"/>
      <c r="L35" s="132"/>
      <c r="M35" s="132"/>
    </row>
    <row r="36" spans="1:13" ht="15.6" x14ac:dyDescent="0.3">
      <c r="A36" s="49"/>
      <c r="B36" s="49"/>
      <c r="C36" s="49"/>
      <c r="D36" s="67" t="s">
        <v>93</v>
      </c>
      <c r="E36" s="60">
        <f ca="1">+F27</f>
        <v>10</v>
      </c>
      <c r="F36" s="49"/>
      <c r="G36" s="49"/>
      <c r="H36" s="49"/>
      <c r="I36" s="49"/>
    </row>
    <row r="37" spans="1:13" ht="31.2" x14ac:dyDescent="0.3">
      <c r="A37" s="49"/>
      <c r="B37" s="49"/>
      <c r="C37" s="49"/>
      <c r="D37" s="68" t="s">
        <v>95</v>
      </c>
      <c r="E37" s="58" t="str">
        <f ca="1">+CONCATENATE(ROUND((F27/K27*5)/5,2)," %")</f>
        <v>0.53 %</v>
      </c>
      <c r="F37" s="49"/>
      <c r="G37" s="49"/>
      <c r="H37" s="49"/>
      <c r="I37" s="49"/>
    </row>
    <row r="38" spans="1:13" ht="15.6" x14ac:dyDescent="0.3">
      <c r="A38" s="49"/>
      <c r="B38" s="49"/>
      <c r="C38" s="49"/>
      <c r="D38" s="49"/>
      <c r="E38" s="49"/>
      <c r="F38" s="49"/>
      <c r="G38" s="49"/>
      <c r="H38" s="49"/>
      <c r="I38" s="49"/>
    </row>
    <row r="39" spans="1:13" ht="15.6" x14ac:dyDescent="0.3">
      <c r="A39" s="49"/>
      <c r="B39" s="49"/>
      <c r="C39" s="49"/>
      <c r="D39" s="49"/>
      <c r="E39" s="49"/>
      <c r="F39" s="49"/>
      <c r="G39" s="49"/>
      <c r="H39" s="49"/>
      <c r="I39" s="49"/>
    </row>
    <row r="40" spans="1:13" ht="15.6" x14ac:dyDescent="0.3">
      <c r="A40" s="49"/>
      <c r="B40" s="64"/>
      <c r="C40" s="49"/>
      <c r="D40" s="49"/>
      <c r="E40" s="49"/>
      <c r="F40" s="49"/>
      <c r="G40" s="49"/>
      <c r="H40" s="49"/>
      <c r="I40" s="49"/>
    </row>
    <row r="41" spans="1:13" ht="15.6" x14ac:dyDescent="0.3">
      <c r="A41" s="49"/>
      <c r="B41" s="49"/>
      <c r="C41" s="49"/>
      <c r="D41" s="49"/>
      <c r="E41" s="49"/>
      <c r="F41" s="49"/>
      <c r="G41" s="49"/>
      <c r="H41" s="49"/>
      <c r="I41" s="49"/>
    </row>
    <row r="45" spans="1:13" x14ac:dyDescent="0.3">
      <c r="C45" s="16"/>
      <c r="D45" s="16"/>
      <c r="E45" s="130" t="str">
        <f>+'N° de Obs.'!P2</f>
        <v>Elemento M</v>
      </c>
      <c r="F45" s="131"/>
      <c r="G45" s="16"/>
    </row>
    <row r="46" spans="1:13" ht="15.6" x14ac:dyDescent="0.3">
      <c r="A46" s="49"/>
      <c r="B46" s="49"/>
      <c r="C46" s="49"/>
      <c r="D46" s="49"/>
      <c r="E46" s="49"/>
      <c r="F46" s="49"/>
      <c r="G46" s="49"/>
      <c r="H46" s="49"/>
      <c r="I46" s="49"/>
      <c r="J46" s="49"/>
      <c r="K46" s="49"/>
      <c r="L46" s="49"/>
    </row>
    <row r="47" spans="1:13" ht="15.6" x14ac:dyDescent="0.3">
      <c r="A47" s="49"/>
      <c r="B47" s="50"/>
      <c r="C47" s="50"/>
      <c r="D47" s="50"/>
      <c r="E47" s="50"/>
      <c r="F47" s="50"/>
      <c r="G47" s="49"/>
      <c r="H47" s="49"/>
      <c r="I47" s="49"/>
      <c r="J47" s="49"/>
      <c r="K47" s="49"/>
      <c r="L47" s="49"/>
    </row>
    <row r="48" spans="1:13" ht="15.6" x14ac:dyDescent="0.3">
      <c r="A48" s="49"/>
      <c r="B48" s="47" t="s">
        <v>26</v>
      </c>
      <c r="C48" s="48" t="s">
        <v>91</v>
      </c>
      <c r="D48" s="61" t="s">
        <v>92</v>
      </c>
      <c r="E48" s="48" t="s">
        <v>27</v>
      </c>
      <c r="F48" s="62" t="s">
        <v>93</v>
      </c>
      <c r="G48" s="49"/>
      <c r="H48" s="49"/>
      <c r="I48" s="49"/>
      <c r="J48" s="49"/>
      <c r="K48" s="49"/>
      <c r="L48" s="49"/>
    </row>
    <row r="49" spans="1:12" ht="15.6" x14ac:dyDescent="0.3">
      <c r="A49" s="49"/>
      <c r="B49" s="54">
        <f ca="1">+'N° de Obs.'!M6</f>
        <v>100</v>
      </c>
      <c r="C49" s="59">
        <f ca="1">+'N° de Obs.'!N6</f>
        <v>2833</v>
      </c>
      <c r="D49" s="49">
        <f ca="1">+ROUND($B$71*$C$71/C49,2)</f>
        <v>94.11</v>
      </c>
      <c r="E49" s="59">
        <f ca="1">+J49</f>
        <v>95</v>
      </c>
      <c r="F49" s="55">
        <f ca="1">+B49-E49</f>
        <v>5</v>
      </c>
      <c r="G49" s="49"/>
      <c r="H49" s="49">
        <f ca="1">+ROUND(D49,1)</f>
        <v>94.1</v>
      </c>
      <c r="I49" s="63" t="str">
        <f ca="1">+RIGHT(H49*10,2)</f>
        <v>41</v>
      </c>
      <c r="J49" s="49" cm="1">
        <f t="array" aca="1" ref="J49" ca="1">+_xlfn.IFS(AND(I49&gt;="0",I49&lt;"25"),H49-(I49/10),AND(I49&gt;="25",I49&lt;"50"),H49+(5-(I49/10)),AND(I49&gt;="50",I49&lt;"75"),H49-((I49-50)/10),I49&gt;="75",H49+(10-(I49/10)))</f>
        <v>95</v>
      </c>
      <c r="K49" s="49">
        <f ca="1">+ABS(F49)</f>
        <v>5</v>
      </c>
      <c r="L49" s="49"/>
    </row>
    <row r="50" spans="1:12" ht="15.6" x14ac:dyDescent="0.3">
      <c r="A50" s="49"/>
      <c r="B50" s="54">
        <f ca="1">+'N° de Obs.'!M7</f>
        <v>105</v>
      </c>
      <c r="C50" s="59">
        <f ca="1">+'N° de Obs.'!N7</f>
        <v>2761</v>
      </c>
      <c r="D50" s="49">
        <f t="shared" ref="D50:D68" ca="1" si="6">+ROUND($B$71*$C$71/C50,2)</f>
        <v>96.56</v>
      </c>
      <c r="E50" s="59">
        <f t="shared" ref="E50:E68" ca="1" si="7">+J50</f>
        <v>95</v>
      </c>
      <c r="F50" s="55">
        <f t="shared" ref="F50:F68" ca="1" si="8">+B50-E50</f>
        <v>10</v>
      </c>
      <c r="G50" s="49"/>
      <c r="H50" s="49">
        <f t="shared" ref="H50:H68" ca="1" si="9">+ROUND(D50,1)</f>
        <v>96.6</v>
      </c>
      <c r="I50" s="63" t="str">
        <f t="shared" ref="I50:I68" ca="1" si="10">+RIGHT(H50*10,2)</f>
        <v>66</v>
      </c>
      <c r="J50" s="49" cm="1">
        <f t="array" aca="1" ref="J50" ca="1">+_xlfn.IFS(AND(I50&gt;="0",I50&lt;"25"),H50-(I50/10),AND(I50&gt;="25",I50&lt;"50"),H50+(5-(I50/10)),AND(I50&gt;="50",I50&lt;"75"),H50-((I50-50)/10),I50&gt;="75",H50+(10-(I50/10)))</f>
        <v>95</v>
      </c>
      <c r="K50" s="49">
        <f t="shared" ref="K50:K68" ca="1" si="11">+ABS(F50)</f>
        <v>10</v>
      </c>
      <c r="L50" s="49"/>
    </row>
    <row r="51" spans="1:12" ht="15.6" x14ac:dyDescent="0.3">
      <c r="A51" s="49"/>
      <c r="B51" s="54">
        <f ca="1">+'N° de Obs.'!M8</f>
        <v>95</v>
      </c>
      <c r="C51" s="59">
        <f ca="1">+'N° de Obs.'!N8</f>
        <v>2819</v>
      </c>
      <c r="D51" s="49">
        <f t="shared" ca="1" si="6"/>
        <v>94.57</v>
      </c>
      <c r="E51" s="59">
        <f t="shared" ca="1" si="7"/>
        <v>95</v>
      </c>
      <c r="F51" s="55">
        <f t="shared" ca="1" si="8"/>
        <v>0</v>
      </c>
      <c r="G51" s="49"/>
      <c r="H51" s="49">
        <f t="shared" ca="1" si="9"/>
        <v>94.6</v>
      </c>
      <c r="I51" s="63" t="str">
        <f t="shared" ca="1" si="10"/>
        <v>46</v>
      </c>
      <c r="J51" s="49" cm="1">
        <f t="array" aca="1" ref="J51" ca="1">+_xlfn.IFS(AND(I51&gt;="0",I51&lt;"25"),H51-(I51/10),AND(I51&gt;="25",I51&lt;"50"),H51+(5-(I51/10)),AND(I51&gt;="50",I51&lt;"75"),H51-((I51-50)/10),I51&gt;="75",H51+(10-(I51/10)))</f>
        <v>95</v>
      </c>
      <c r="K51" s="49">
        <f t="shared" ca="1" si="11"/>
        <v>0</v>
      </c>
      <c r="L51" s="49"/>
    </row>
    <row r="52" spans="1:12" ht="15.6" x14ac:dyDescent="0.3">
      <c r="A52" s="49"/>
      <c r="B52" s="54">
        <f ca="1">+'N° de Obs.'!M9</f>
        <v>85</v>
      </c>
      <c r="C52" s="59">
        <f ca="1">+'N° de Obs.'!N9</f>
        <v>2743</v>
      </c>
      <c r="D52" s="49">
        <f t="shared" ca="1" si="6"/>
        <v>97.19</v>
      </c>
      <c r="E52" s="59">
        <f t="shared" ca="1" si="7"/>
        <v>95</v>
      </c>
      <c r="F52" s="55">
        <f t="shared" ca="1" si="8"/>
        <v>-10</v>
      </c>
      <c r="G52" s="49"/>
      <c r="H52" s="49">
        <f t="shared" ca="1" si="9"/>
        <v>97.2</v>
      </c>
      <c r="I52" s="63" t="str">
        <f t="shared" ca="1" si="10"/>
        <v>72</v>
      </c>
      <c r="J52" s="49" cm="1">
        <f t="array" aca="1" ref="J52" ca="1">+_xlfn.IFS(AND(I52&gt;="0",I52&lt;"25"),H52-(I52/10),AND(I52&gt;="25",I52&lt;"50"),H52+(5-(I52/10)),AND(I52&gt;="50",I52&lt;"75"),H52-((I52-50)/10),I52&gt;="75",H52+(10-(I52/10)))</f>
        <v>95</v>
      </c>
      <c r="K52" s="49">
        <f t="shared" ca="1" si="11"/>
        <v>10</v>
      </c>
      <c r="L52" s="49"/>
    </row>
    <row r="53" spans="1:12" ht="15.6" x14ac:dyDescent="0.3">
      <c r="A53" s="49"/>
      <c r="B53" s="54">
        <f ca="1">+'N° de Obs.'!M10</f>
        <v>95</v>
      </c>
      <c r="C53" s="59">
        <f ca="1">+'N° de Obs.'!N10</f>
        <v>2729</v>
      </c>
      <c r="D53" s="49">
        <f t="shared" ca="1" si="6"/>
        <v>97.69</v>
      </c>
      <c r="E53" s="59">
        <f t="shared" ca="1" si="7"/>
        <v>100</v>
      </c>
      <c r="F53" s="55">
        <f t="shared" ca="1" si="8"/>
        <v>-5</v>
      </c>
      <c r="G53" s="49"/>
      <c r="H53" s="49">
        <f t="shared" ca="1" si="9"/>
        <v>97.7</v>
      </c>
      <c r="I53" s="63" t="str">
        <f t="shared" ca="1" si="10"/>
        <v>77</v>
      </c>
      <c r="J53" s="49" cm="1">
        <f t="array" aca="1" ref="J53" ca="1">+_xlfn.IFS(AND(I53&gt;="0",I53&lt;"25"),H53-(I53/10),AND(I53&gt;="25",I53&lt;"50"),H53+(5-(I53/10)),AND(I53&gt;="50",I53&lt;"75"),H53-((I53-50)/10),I53&gt;="75",H53+(10-(I53/10)))</f>
        <v>100</v>
      </c>
      <c r="K53" s="49">
        <f t="shared" ca="1" si="11"/>
        <v>5</v>
      </c>
      <c r="L53" s="49"/>
    </row>
    <row r="54" spans="1:12" ht="15.6" x14ac:dyDescent="0.3">
      <c r="A54" s="49"/>
      <c r="B54" s="54">
        <f ca="1">+'N° de Obs.'!M11</f>
        <v>100</v>
      </c>
      <c r="C54" s="59">
        <f ca="1">+'N° de Obs.'!N11</f>
        <v>2745</v>
      </c>
      <c r="D54" s="49">
        <f t="shared" ca="1" si="6"/>
        <v>97.12</v>
      </c>
      <c r="E54" s="59">
        <f t="shared" ca="1" si="7"/>
        <v>95</v>
      </c>
      <c r="F54" s="55">
        <f t="shared" ca="1" si="8"/>
        <v>5</v>
      </c>
      <c r="G54" s="49"/>
      <c r="H54" s="49">
        <f t="shared" ca="1" si="9"/>
        <v>97.1</v>
      </c>
      <c r="I54" s="63" t="str">
        <f t="shared" ca="1" si="10"/>
        <v>71</v>
      </c>
      <c r="J54" s="49" cm="1">
        <f t="array" aca="1" ref="J54" ca="1">+_xlfn.IFS(AND(I54&gt;="0",I54&lt;"25"),H54-(I54/10),AND(I54&gt;="25",I54&lt;"50"),H54+(5-(I54/10)),AND(I54&gt;="50",I54&lt;"75"),H54-((I54-50)/10),I54&gt;="75",H54+(10-(I54/10)))</f>
        <v>95</v>
      </c>
      <c r="K54" s="49">
        <f t="shared" ca="1" si="11"/>
        <v>5</v>
      </c>
      <c r="L54" s="49"/>
    </row>
    <row r="55" spans="1:12" ht="15.6" x14ac:dyDescent="0.3">
      <c r="A55" s="49"/>
      <c r="B55" s="54">
        <f ca="1">+'N° de Obs.'!M12</f>
        <v>105</v>
      </c>
      <c r="C55" s="59">
        <f ca="1">+'N° de Obs.'!N12</f>
        <v>2709</v>
      </c>
      <c r="D55" s="49">
        <f t="shared" ca="1" si="6"/>
        <v>98.41</v>
      </c>
      <c r="E55" s="59">
        <f t="shared" ca="1" si="7"/>
        <v>100</v>
      </c>
      <c r="F55" s="55">
        <f t="shared" ca="1" si="8"/>
        <v>5</v>
      </c>
      <c r="G55" s="49"/>
      <c r="H55" s="49">
        <f t="shared" ca="1" si="9"/>
        <v>98.4</v>
      </c>
      <c r="I55" s="63" t="str">
        <f t="shared" ca="1" si="10"/>
        <v>84</v>
      </c>
      <c r="J55" s="49" cm="1">
        <f t="array" aca="1" ref="J55" ca="1">+_xlfn.IFS(AND(I55&gt;="0",I55&lt;"25"),H55-(I55/10),AND(I55&gt;="25",I55&lt;"50"),H55+(5-(I55/10)),AND(I55&gt;="50",I55&lt;"75"),H55-((I55-50)/10),I55&gt;="75",H55+(10-(I55/10)))</f>
        <v>100</v>
      </c>
      <c r="K55" s="49">
        <f t="shared" ca="1" si="11"/>
        <v>5</v>
      </c>
      <c r="L55" s="49"/>
    </row>
    <row r="56" spans="1:12" ht="15.6" x14ac:dyDescent="0.3">
      <c r="A56" s="49"/>
      <c r="B56" s="54">
        <f ca="1">+'N° de Obs.'!M13</f>
        <v>95</v>
      </c>
      <c r="C56" s="59">
        <f ca="1">+'N° de Obs.'!N13</f>
        <v>2891</v>
      </c>
      <c r="D56" s="49">
        <f t="shared" ca="1" si="6"/>
        <v>92.22</v>
      </c>
      <c r="E56" s="59">
        <f t="shared" ca="1" si="7"/>
        <v>90</v>
      </c>
      <c r="F56" s="55">
        <f t="shared" ca="1" si="8"/>
        <v>5</v>
      </c>
      <c r="G56" s="49"/>
      <c r="H56" s="49">
        <f t="shared" ca="1" si="9"/>
        <v>92.2</v>
      </c>
      <c r="I56" s="63" t="str">
        <f t="shared" ca="1" si="10"/>
        <v>22</v>
      </c>
      <c r="J56" s="49" cm="1">
        <f t="array" aca="1" ref="J56" ca="1">+_xlfn.IFS(AND(I56&gt;="0",I56&lt;"25"),H56-(I56/10),AND(I56&gt;="25",I56&lt;"50"),H56+(5-(I56/10)),AND(I56&gt;="50",I56&lt;"75"),H56-((I56-50)/10),I56&gt;="75",H56+(10-(I56/10)))</f>
        <v>90</v>
      </c>
      <c r="K56" s="49">
        <f t="shared" ca="1" si="11"/>
        <v>5</v>
      </c>
      <c r="L56" s="49"/>
    </row>
    <row r="57" spans="1:12" ht="15.6" x14ac:dyDescent="0.3">
      <c r="A57" s="49"/>
      <c r="B57" s="54">
        <f ca="1">+'N° de Obs.'!M14</f>
        <v>90</v>
      </c>
      <c r="C57" s="59">
        <f ca="1">+'N° de Obs.'!N14</f>
        <v>2721</v>
      </c>
      <c r="D57" s="49">
        <f t="shared" ca="1" si="6"/>
        <v>97.98</v>
      </c>
      <c r="E57" s="59">
        <f t="shared" ca="1" si="7"/>
        <v>100</v>
      </c>
      <c r="F57" s="55">
        <f t="shared" ca="1" si="8"/>
        <v>-10</v>
      </c>
      <c r="G57" s="49"/>
      <c r="H57" s="49">
        <f t="shared" ca="1" si="9"/>
        <v>98</v>
      </c>
      <c r="I57" s="63" t="str">
        <f t="shared" ca="1" si="10"/>
        <v>80</v>
      </c>
      <c r="J57" s="49" cm="1">
        <f t="array" aca="1" ref="J57" ca="1">+_xlfn.IFS(AND(I57&gt;="0",I57&lt;"25"),H57-(I57/10),AND(I57&gt;="25",I57&lt;"50"),H57+(5-(I57/10)),AND(I57&gt;="50",I57&lt;"75"),H57-((I57-50)/10),I57&gt;="75",H57+(10-(I57/10)))</f>
        <v>100</v>
      </c>
      <c r="K57" s="49">
        <f t="shared" ca="1" si="11"/>
        <v>10</v>
      </c>
      <c r="L57" s="49"/>
    </row>
    <row r="58" spans="1:12" ht="15.6" x14ac:dyDescent="0.3">
      <c r="A58" s="49"/>
      <c r="B58" s="54">
        <f ca="1">+'N° de Obs.'!M15</f>
        <v>90</v>
      </c>
      <c r="C58" s="59">
        <f ca="1">+'N° de Obs.'!N15</f>
        <v>2892</v>
      </c>
      <c r="D58" s="49">
        <f t="shared" ca="1" si="6"/>
        <v>92.19</v>
      </c>
      <c r="E58" s="59">
        <f t="shared" ca="1" si="7"/>
        <v>90</v>
      </c>
      <c r="F58" s="55">
        <f t="shared" ca="1" si="8"/>
        <v>0</v>
      </c>
      <c r="G58" s="49"/>
      <c r="H58" s="49">
        <f t="shared" ca="1" si="9"/>
        <v>92.2</v>
      </c>
      <c r="I58" s="63" t="str">
        <f t="shared" ca="1" si="10"/>
        <v>22</v>
      </c>
      <c r="J58" s="49" cm="1">
        <f t="array" aca="1" ref="J58" ca="1">+_xlfn.IFS(AND(I58&gt;="0",I58&lt;"25"),H58-(I58/10),AND(I58&gt;="25",I58&lt;"50"),H58+(5-(I58/10)),AND(I58&gt;="50",I58&lt;"75"),H58-((I58-50)/10),I58&gt;="75",H58+(10-(I58/10)))</f>
        <v>90</v>
      </c>
      <c r="K58" s="49">
        <f t="shared" ca="1" si="11"/>
        <v>0</v>
      </c>
      <c r="L58" s="49"/>
    </row>
    <row r="59" spans="1:12" ht="15.6" x14ac:dyDescent="0.3">
      <c r="A59" s="49"/>
      <c r="B59" s="54">
        <f ca="1">+'N° de Obs.'!M16</f>
        <v>90</v>
      </c>
      <c r="C59" s="59">
        <f ca="1">+'N° de Obs.'!N16</f>
        <v>2774</v>
      </c>
      <c r="D59" s="49">
        <f t="shared" ca="1" si="6"/>
        <v>96.11</v>
      </c>
      <c r="E59" s="59">
        <f t="shared" ca="1" si="7"/>
        <v>95</v>
      </c>
      <c r="F59" s="55">
        <f t="shared" ca="1" si="8"/>
        <v>-5</v>
      </c>
      <c r="G59" s="49"/>
      <c r="H59" s="49">
        <f t="shared" ca="1" si="9"/>
        <v>96.1</v>
      </c>
      <c r="I59" s="63" t="str">
        <f t="shared" ca="1" si="10"/>
        <v>61</v>
      </c>
      <c r="J59" s="49" cm="1">
        <f t="array" aca="1" ref="J59" ca="1">+_xlfn.IFS(AND(I59&gt;="0",I59&lt;"25"),H59-(I59/10),AND(I59&gt;="25",I59&lt;"50"),H59+(5-(I59/10)),AND(I59&gt;="50",I59&lt;"75"),H59-((I59-50)/10),I59&gt;="75",H59+(10-(I59/10)))</f>
        <v>95</v>
      </c>
      <c r="K59" s="49">
        <f t="shared" ca="1" si="11"/>
        <v>5</v>
      </c>
      <c r="L59" s="49"/>
    </row>
    <row r="60" spans="1:12" ht="15.6" x14ac:dyDescent="0.3">
      <c r="A60" s="49"/>
      <c r="B60" s="54">
        <f ca="1">+'N° de Obs.'!M17</f>
        <v>85</v>
      </c>
      <c r="C60" s="59">
        <f ca="1">+'N° de Obs.'!N17</f>
        <v>2769</v>
      </c>
      <c r="D60" s="49">
        <f t="shared" ca="1" si="6"/>
        <v>96.28</v>
      </c>
      <c r="E60" s="59">
        <f t="shared" ca="1" si="7"/>
        <v>95</v>
      </c>
      <c r="F60" s="55">
        <f t="shared" ca="1" si="8"/>
        <v>-10</v>
      </c>
      <c r="G60" s="49"/>
      <c r="H60" s="49">
        <f t="shared" ca="1" si="9"/>
        <v>96.3</v>
      </c>
      <c r="I60" s="63" t="str">
        <f t="shared" ca="1" si="10"/>
        <v>63</v>
      </c>
      <c r="J60" s="49" cm="1">
        <f t="array" aca="1" ref="J60" ca="1">+_xlfn.IFS(AND(I60&gt;="0",I60&lt;"25"),H60-(I60/10),AND(I60&gt;="25",I60&lt;"50"),H60+(5-(I60/10)),AND(I60&gt;="50",I60&lt;"75"),H60-((I60-50)/10),I60&gt;="75",H60+(10-(I60/10)))</f>
        <v>95</v>
      </c>
      <c r="K60" s="49">
        <f t="shared" ca="1" si="11"/>
        <v>10</v>
      </c>
      <c r="L60" s="49"/>
    </row>
    <row r="61" spans="1:12" ht="15.6" x14ac:dyDescent="0.3">
      <c r="A61" s="49"/>
      <c r="B61" s="54">
        <f ca="1">+'N° de Obs.'!M18</f>
        <v>90</v>
      </c>
      <c r="C61" s="59">
        <f ca="1">+'N° de Obs.'!N18</f>
        <v>2823</v>
      </c>
      <c r="D61" s="49">
        <f t="shared" ca="1" si="6"/>
        <v>94.44</v>
      </c>
      <c r="E61" s="59">
        <f t="shared" ca="1" si="7"/>
        <v>95</v>
      </c>
      <c r="F61" s="55">
        <f t="shared" ca="1" si="8"/>
        <v>-5</v>
      </c>
      <c r="G61" s="49"/>
      <c r="H61" s="49">
        <f t="shared" ca="1" si="9"/>
        <v>94.4</v>
      </c>
      <c r="I61" s="63" t="str">
        <f t="shared" ca="1" si="10"/>
        <v>44</v>
      </c>
      <c r="J61" s="49" cm="1">
        <f t="array" aca="1" ref="J61" ca="1">+_xlfn.IFS(AND(I61&gt;="0",I61&lt;"25"),H61-(I61/10),AND(I61&gt;="25",I61&lt;"50"),H61+(5-(I61/10)),AND(I61&gt;="50",I61&lt;"75"),H61-((I61-50)/10),I61&gt;="75",H61+(10-(I61/10)))</f>
        <v>95</v>
      </c>
      <c r="K61" s="49">
        <f t="shared" ca="1" si="11"/>
        <v>5</v>
      </c>
      <c r="L61" s="49"/>
    </row>
    <row r="62" spans="1:12" ht="15.6" x14ac:dyDescent="0.3">
      <c r="A62" s="49"/>
      <c r="B62" s="54">
        <f ca="1">+'N° de Obs.'!M19</f>
        <v>95</v>
      </c>
      <c r="C62" s="59">
        <f ca="1">+'N° de Obs.'!N19</f>
        <v>2886</v>
      </c>
      <c r="D62" s="49">
        <f t="shared" ca="1" si="6"/>
        <v>92.38</v>
      </c>
      <c r="E62" s="59">
        <f t="shared" ca="1" si="7"/>
        <v>90</v>
      </c>
      <c r="F62" s="55">
        <f t="shared" ca="1" si="8"/>
        <v>5</v>
      </c>
      <c r="G62" s="49"/>
      <c r="H62" s="49">
        <f t="shared" ca="1" si="9"/>
        <v>92.4</v>
      </c>
      <c r="I62" s="63" t="str">
        <f t="shared" ca="1" si="10"/>
        <v>24</v>
      </c>
      <c r="J62" s="49" cm="1">
        <f t="array" aca="1" ref="J62" ca="1">+_xlfn.IFS(AND(I62&gt;="0",I62&lt;"25"),H62-(I62/10),AND(I62&gt;="25",I62&lt;"50"),H62+(5-(I62/10)),AND(I62&gt;="50",I62&lt;"75"),H62-((I62-50)/10),I62&gt;="75",H62+(10-(I62/10)))</f>
        <v>90</v>
      </c>
      <c r="K62" s="49">
        <f t="shared" ca="1" si="11"/>
        <v>5</v>
      </c>
      <c r="L62" s="49"/>
    </row>
    <row r="63" spans="1:12" ht="15.6" x14ac:dyDescent="0.3">
      <c r="A63" s="49"/>
      <c r="B63" s="54">
        <f ca="1">+'N° de Obs.'!M20</f>
        <v>90</v>
      </c>
      <c r="C63" s="59">
        <f ca="1">+'N° de Obs.'!N20</f>
        <v>2846</v>
      </c>
      <c r="D63" s="49">
        <f t="shared" ca="1" si="6"/>
        <v>93.68</v>
      </c>
      <c r="E63" s="59">
        <f t="shared" ca="1" si="7"/>
        <v>95</v>
      </c>
      <c r="F63" s="55">
        <f t="shared" ca="1" si="8"/>
        <v>-5</v>
      </c>
      <c r="G63" s="49"/>
      <c r="H63" s="49">
        <f t="shared" ca="1" si="9"/>
        <v>93.7</v>
      </c>
      <c r="I63" s="63" t="str">
        <f t="shared" ca="1" si="10"/>
        <v>37</v>
      </c>
      <c r="J63" s="49" cm="1">
        <f t="array" aca="1" ref="J63" ca="1">+_xlfn.IFS(AND(I63&gt;="0",I63&lt;"25"),H63-(I63/10),AND(I63&gt;="25",I63&lt;"50"),H63+(5-(I63/10)),AND(I63&gt;="50",I63&lt;"75"),H63-((I63-50)/10),I63&gt;="75",H63+(10-(I63/10)))</f>
        <v>95</v>
      </c>
      <c r="K63" s="49">
        <f t="shared" ca="1" si="11"/>
        <v>5</v>
      </c>
      <c r="L63" s="49"/>
    </row>
    <row r="64" spans="1:12" ht="15.6" x14ac:dyDescent="0.3">
      <c r="A64" s="49"/>
      <c r="B64" s="54">
        <f ca="1">+'N° de Obs.'!M21</f>
        <v>100</v>
      </c>
      <c r="C64" s="59">
        <f ca="1">+'N° de Obs.'!N21</f>
        <v>2883</v>
      </c>
      <c r="D64" s="49">
        <f t="shared" ca="1" si="6"/>
        <v>92.47</v>
      </c>
      <c r="E64" s="59">
        <f t="shared" ca="1" si="7"/>
        <v>95</v>
      </c>
      <c r="F64" s="55">
        <f t="shared" ca="1" si="8"/>
        <v>5</v>
      </c>
      <c r="G64" s="49"/>
      <c r="H64" s="49">
        <f t="shared" ca="1" si="9"/>
        <v>92.5</v>
      </c>
      <c r="I64" s="63" t="str">
        <f t="shared" ca="1" si="10"/>
        <v>25</v>
      </c>
      <c r="J64" s="49" cm="1">
        <f t="array" aca="1" ref="J64" ca="1">+_xlfn.IFS(AND(I64&gt;="0",I64&lt;"25"),H64-(I64/10),AND(I64&gt;="25",I64&lt;"50"),H64+(5-(I64/10)),AND(I64&gt;="50",I64&lt;"75"),H64-((I64-50)/10),I64&gt;="75",H64+(10-(I64/10)))</f>
        <v>95</v>
      </c>
      <c r="K64" s="49">
        <f t="shared" ca="1" si="11"/>
        <v>5</v>
      </c>
      <c r="L64" s="49"/>
    </row>
    <row r="65" spans="1:12" ht="15.6" x14ac:dyDescent="0.3">
      <c r="A65" s="49"/>
      <c r="B65" s="54">
        <f ca="1">+'N° de Obs.'!M22</f>
        <v>95</v>
      </c>
      <c r="C65" s="59">
        <f ca="1">+'N° de Obs.'!N22</f>
        <v>2815</v>
      </c>
      <c r="D65" s="49">
        <f t="shared" ca="1" si="6"/>
        <v>94.71</v>
      </c>
      <c r="E65" s="59">
        <f t="shared" ca="1" si="7"/>
        <v>95</v>
      </c>
      <c r="F65" s="55">
        <f t="shared" ca="1" si="8"/>
        <v>0</v>
      </c>
      <c r="G65" s="49"/>
      <c r="H65" s="49">
        <f t="shared" ca="1" si="9"/>
        <v>94.7</v>
      </c>
      <c r="I65" s="63" t="str">
        <f t="shared" ca="1" si="10"/>
        <v>47</v>
      </c>
      <c r="J65" s="49" cm="1">
        <f t="array" aca="1" ref="J65" ca="1">+_xlfn.IFS(AND(I65&gt;="0",I65&lt;"25"),H65-(I65/10),AND(I65&gt;="25",I65&lt;"50"),H65+(5-(I65/10)),AND(I65&gt;="50",I65&lt;"75"),H65-((I65-50)/10),I65&gt;="75",H65+(10-(I65/10)))</f>
        <v>95</v>
      </c>
      <c r="K65" s="49">
        <f t="shared" ca="1" si="11"/>
        <v>0</v>
      </c>
      <c r="L65" s="49"/>
    </row>
    <row r="66" spans="1:12" ht="15.6" x14ac:dyDescent="0.3">
      <c r="A66" s="49"/>
      <c r="B66" s="54">
        <f ca="1">+'N° de Obs.'!M23</f>
        <v>100</v>
      </c>
      <c r="C66" s="59">
        <f ca="1">+'N° de Obs.'!N23</f>
        <v>2729</v>
      </c>
      <c r="D66" s="49">
        <f t="shared" ca="1" si="6"/>
        <v>97.69</v>
      </c>
      <c r="E66" s="59">
        <f t="shared" ca="1" si="7"/>
        <v>100</v>
      </c>
      <c r="F66" s="55">
        <f t="shared" ca="1" si="8"/>
        <v>0</v>
      </c>
      <c r="G66" s="49"/>
      <c r="H66" s="49">
        <f t="shared" ca="1" si="9"/>
        <v>97.7</v>
      </c>
      <c r="I66" s="63" t="str">
        <f t="shared" ca="1" si="10"/>
        <v>77</v>
      </c>
      <c r="J66" s="49" cm="1">
        <f t="array" aca="1" ref="J66" ca="1">+_xlfn.IFS(AND(I66&gt;="0",I66&lt;"25"),H66-(I66/10),AND(I66&gt;="25",I66&lt;"50"),H66+(5-(I66/10)),AND(I66&gt;="50",I66&lt;"75"),H66-((I66-50)/10),I66&gt;="75",H66+(10-(I66/10)))</f>
        <v>100</v>
      </c>
      <c r="K66" s="49">
        <f t="shared" ca="1" si="11"/>
        <v>0</v>
      </c>
      <c r="L66" s="49"/>
    </row>
    <row r="67" spans="1:12" ht="15.6" x14ac:dyDescent="0.3">
      <c r="A67" s="49"/>
      <c r="B67" s="54">
        <f ca="1">+'N° de Obs.'!M24</f>
        <v>100</v>
      </c>
      <c r="C67" s="59">
        <f ca="1">+'N° de Obs.'!N24</f>
        <v>2716</v>
      </c>
      <c r="D67" s="49">
        <f t="shared" ca="1" si="6"/>
        <v>98.16</v>
      </c>
      <c r="E67" s="59">
        <f t="shared" ca="1" si="7"/>
        <v>100</v>
      </c>
      <c r="F67" s="55">
        <f t="shared" ca="1" si="8"/>
        <v>0</v>
      </c>
      <c r="G67" s="49"/>
      <c r="H67" s="49">
        <f t="shared" ca="1" si="9"/>
        <v>98.2</v>
      </c>
      <c r="I67" s="63" t="str">
        <f t="shared" ca="1" si="10"/>
        <v>82</v>
      </c>
      <c r="J67" s="49" cm="1">
        <f t="array" aca="1" ref="J67" ca="1">+_xlfn.IFS(AND(I67&gt;="0",I67&lt;"25"),H67-(I67/10),AND(I67&gt;="25",I67&lt;"50"),H67+(5-(I67/10)),AND(I67&gt;="50",I67&lt;"75"),H67-((I67-50)/10),I67&gt;="75",H67+(10-(I67/10)))</f>
        <v>100</v>
      </c>
      <c r="K67" s="49">
        <f t="shared" ca="1" si="11"/>
        <v>0</v>
      </c>
      <c r="L67" s="49"/>
    </row>
    <row r="68" spans="1:12" ht="15.6" x14ac:dyDescent="0.3">
      <c r="A68" s="49"/>
      <c r="B68" s="54">
        <f ca="1">+'N° de Obs.'!M25</f>
        <v>105</v>
      </c>
      <c r="C68" s="60">
        <f ca="1">+'N° de Obs.'!N25</f>
        <v>2765</v>
      </c>
      <c r="D68" s="50">
        <f t="shared" ca="1" si="6"/>
        <v>96.42</v>
      </c>
      <c r="E68" s="60">
        <f t="shared" ca="1" si="7"/>
        <v>95</v>
      </c>
      <c r="F68" s="57">
        <f t="shared" ca="1" si="8"/>
        <v>10</v>
      </c>
      <c r="G68" s="49"/>
      <c r="H68" s="49">
        <f t="shared" ca="1" si="9"/>
        <v>96.4</v>
      </c>
      <c r="I68" s="63" t="str">
        <f t="shared" ca="1" si="10"/>
        <v>64</v>
      </c>
      <c r="J68" s="49" cm="1">
        <f t="array" aca="1" ref="J68" ca="1">+_xlfn.IFS(AND(I68&gt;="0",I68&lt;"25"),H68-(I68/10),AND(I68&gt;="25",I68&lt;"50"),H68+(5-(I68/10)),AND(I68&gt;="50",I68&lt;"75"),H68-((I68-50)/10),I68&gt;="75",H68+(10-(I68/10)))</f>
        <v>95</v>
      </c>
      <c r="K68" s="49">
        <f t="shared" ca="1" si="11"/>
        <v>10</v>
      </c>
      <c r="L68" s="49"/>
    </row>
    <row r="69" spans="1:12" ht="15.6" x14ac:dyDescent="0.3">
      <c r="A69" s="49"/>
      <c r="B69" s="126" t="s">
        <v>89</v>
      </c>
      <c r="C69" s="127"/>
      <c r="D69" s="127"/>
      <c r="E69" s="127"/>
      <c r="F69" s="53">
        <f ca="1">+SUMIF(K49:K68,"&lt;=10",F49:F68)</f>
        <v>0</v>
      </c>
      <c r="G69" s="49"/>
      <c r="H69" s="49"/>
      <c r="I69" s="49"/>
      <c r="J69" s="49"/>
      <c r="K69" s="49">
        <f ca="1">+COUNTIF(K49:K68,"&lt;=10")</f>
        <v>20</v>
      </c>
      <c r="L69" s="49"/>
    </row>
    <row r="70" spans="1:12" ht="15.6" x14ac:dyDescent="0.3">
      <c r="A70" s="49"/>
      <c r="B70" s="49"/>
      <c r="C70" s="49"/>
      <c r="D70" s="49"/>
      <c r="E70" s="49"/>
      <c r="F70" s="49"/>
      <c r="G70" s="49"/>
      <c r="H70" s="49"/>
      <c r="I70" s="49"/>
      <c r="J70" s="49"/>
      <c r="K70" s="49"/>
      <c r="L70" s="49"/>
    </row>
    <row r="71" spans="1:12" ht="15.6" x14ac:dyDescent="0.3">
      <c r="A71" s="49"/>
      <c r="B71" s="49">
        <v>100</v>
      </c>
      <c r="C71" s="49">
        <f ca="1">+ROUND(AVERAGE('N° de Obs.'!O6:O25),0)</f>
        <v>2666</v>
      </c>
      <c r="D71" s="49"/>
      <c r="E71" s="49"/>
      <c r="F71" s="49"/>
      <c r="G71" s="49"/>
      <c r="H71" s="49"/>
      <c r="I71" s="49"/>
      <c r="J71" s="49"/>
      <c r="K71" s="49"/>
      <c r="L71" s="49"/>
    </row>
    <row r="72" spans="1:12" ht="15.6" x14ac:dyDescent="0.3">
      <c r="A72" s="49"/>
      <c r="B72" s="49"/>
      <c r="C72" s="49"/>
      <c r="D72" s="50"/>
      <c r="E72" s="50"/>
      <c r="F72" s="49"/>
      <c r="G72" s="49"/>
      <c r="H72" s="49"/>
      <c r="I72" s="49"/>
      <c r="J72" s="49"/>
      <c r="K72" s="49"/>
      <c r="L72" s="49"/>
    </row>
    <row r="73" spans="1:12" ht="15.6" x14ac:dyDescent="0.3">
      <c r="A73" s="49"/>
      <c r="B73" s="49"/>
      <c r="C73" s="49"/>
      <c r="D73" s="48" t="s">
        <v>83</v>
      </c>
      <c r="E73" s="48" t="s">
        <v>84</v>
      </c>
      <c r="F73" s="49"/>
      <c r="G73" s="49"/>
      <c r="H73" s="49"/>
      <c r="I73" s="49"/>
      <c r="J73" s="49"/>
      <c r="K73" s="49"/>
      <c r="L73" s="49"/>
    </row>
    <row r="74" spans="1:12" ht="15.6" x14ac:dyDescent="0.3">
      <c r="A74" s="49"/>
      <c r="B74" s="49"/>
      <c r="C74" s="49"/>
      <c r="D74" s="59" t="s">
        <v>86</v>
      </c>
      <c r="E74" s="59" t="s">
        <v>25</v>
      </c>
      <c r="F74" s="49"/>
      <c r="G74" s="49"/>
      <c r="H74" s="49"/>
      <c r="I74" s="49"/>
      <c r="J74" s="49"/>
      <c r="K74" s="49"/>
      <c r="L74" s="49"/>
    </row>
    <row r="75" spans="1:12" ht="15.6" x14ac:dyDescent="0.3">
      <c r="A75" s="49"/>
      <c r="B75" s="49"/>
      <c r="C75" s="49"/>
      <c r="D75" s="59" t="s">
        <v>94</v>
      </c>
      <c r="E75" s="69">
        <v>100</v>
      </c>
      <c r="F75" s="49"/>
      <c r="G75" s="49"/>
      <c r="H75" s="49"/>
      <c r="I75" s="49"/>
      <c r="J75" s="49"/>
      <c r="K75" s="49"/>
      <c r="L75" s="49"/>
    </row>
    <row r="76" spans="1:12" ht="15.6" x14ac:dyDescent="0.3">
      <c r="A76" s="49"/>
      <c r="B76" s="49"/>
      <c r="C76" s="49"/>
      <c r="D76" s="59" t="s">
        <v>20</v>
      </c>
      <c r="E76" s="59">
        <f ca="1">+C71</f>
        <v>2666</v>
      </c>
      <c r="F76" s="49"/>
      <c r="G76" s="49"/>
      <c r="H76" s="49"/>
      <c r="I76" s="49"/>
      <c r="J76" s="49"/>
      <c r="K76" s="49"/>
      <c r="L76" s="49"/>
    </row>
    <row r="77" spans="1:12" ht="31.2" x14ac:dyDescent="0.3">
      <c r="A77" s="49"/>
      <c r="B77" s="49"/>
      <c r="C77" s="49"/>
      <c r="D77" s="70" t="s">
        <v>96</v>
      </c>
      <c r="E77" s="59">
        <f ca="1">+K69</f>
        <v>20</v>
      </c>
      <c r="F77" s="49"/>
      <c r="G77" s="49"/>
      <c r="H77" s="49"/>
      <c r="I77" s="49"/>
      <c r="J77" s="49"/>
      <c r="K77" s="49"/>
      <c r="L77" s="49"/>
    </row>
    <row r="78" spans="1:12" ht="15.6" x14ac:dyDescent="0.3">
      <c r="A78" s="49"/>
      <c r="B78" s="49"/>
      <c r="C78" s="49"/>
      <c r="D78" s="71" t="s">
        <v>93</v>
      </c>
      <c r="E78" s="60">
        <f ca="1">+F69</f>
        <v>0</v>
      </c>
      <c r="F78" s="49"/>
      <c r="G78" s="49"/>
      <c r="H78" s="49"/>
      <c r="I78" s="49"/>
      <c r="J78" s="49"/>
      <c r="K78" s="49"/>
      <c r="L78" s="49"/>
    </row>
    <row r="79" spans="1:12" ht="31.2" x14ac:dyDescent="0.3">
      <c r="A79" s="49"/>
      <c r="B79" s="49"/>
      <c r="C79" s="49"/>
      <c r="D79" s="37" t="s">
        <v>95</v>
      </c>
      <c r="E79" s="58" t="str">
        <f ca="1">+CONCATENATE(ROUND((F69/K69*5)/5,2)," %")</f>
        <v>0 %</v>
      </c>
      <c r="F79" s="49"/>
      <c r="G79" s="49"/>
      <c r="H79" s="49"/>
      <c r="I79" s="49"/>
      <c r="J79" s="49"/>
      <c r="K79" s="49"/>
      <c r="L79" s="49"/>
    </row>
    <row r="80" spans="1:12" ht="15.6" x14ac:dyDescent="0.3">
      <c r="A80" s="49"/>
      <c r="B80" s="49"/>
      <c r="C80" s="49"/>
      <c r="D80" s="49"/>
      <c r="E80" s="49"/>
      <c r="F80" s="49"/>
      <c r="G80" s="49"/>
      <c r="H80" s="49"/>
      <c r="I80" s="49"/>
      <c r="J80" s="49"/>
      <c r="K80" s="49"/>
      <c r="L80" s="49"/>
    </row>
    <row r="81" spans="1:12" ht="15.6" x14ac:dyDescent="0.3">
      <c r="A81" s="49"/>
      <c r="B81" s="49"/>
      <c r="C81" s="49"/>
      <c r="D81" s="49"/>
      <c r="E81" s="49"/>
      <c r="F81" s="49"/>
      <c r="G81" s="49"/>
      <c r="H81" s="49"/>
      <c r="I81" s="49"/>
      <c r="J81" s="49"/>
      <c r="K81" s="49"/>
      <c r="L81" s="49"/>
    </row>
    <row r="87" spans="1:12" x14ac:dyDescent="0.3">
      <c r="C87" s="16"/>
      <c r="D87" s="16"/>
      <c r="E87" s="130" t="str">
        <f>+'N° de Obs.'!G30</f>
        <v>Elemento V</v>
      </c>
      <c r="F87" s="131"/>
      <c r="G87" s="16"/>
    </row>
    <row r="88" spans="1:12" ht="15.6" x14ac:dyDescent="0.3">
      <c r="A88" s="49"/>
      <c r="B88" s="49"/>
      <c r="C88" s="49"/>
      <c r="D88" s="49"/>
      <c r="E88" s="49"/>
      <c r="F88" s="49"/>
      <c r="G88" s="49"/>
      <c r="H88" s="49"/>
      <c r="I88" s="49"/>
      <c r="J88" s="49"/>
      <c r="K88" s="49"/>
      <c r="L88" s="49"/>
    </row>
    <row r="89" spans="1:12" ht="15.6" x14ac:dyDescent="0.3">
      <c r="A89" s="49"/>
      <c r="B89" s="50"/>
      <c r="C89" s="50"/>
      <c r="D89" s="50"/>
      <c r="E89" s="50"/>
      <c r="F89" s="50"/>
      <c r="G89" s="49"/>
      <c r="H89" s="49"/>
      <c r="I89" s="49"/>
      <c r="J89" s="49"/>
      <c r="K89" s="49"/>
      <c r="L89" s="49"/>
    </row>
    <row r="90" spans="1:12" ht="15.6" x14ac:dyDescent="0.3">
      <c r="A90" s="49"/>
      <c r="B90" s="47" t="s">
        <v>26</v>
      </c>
      <c r="C90" s="48" t="s">
        <v>91</v>
      </c>
      <c r="D90" s="61" t="s">
        <v>92</v>
      </c>
      <c r="E90" s="48" t="s">
        <v>27</v>
      </c>
      <c r="F90" s="62" t="s">
        <v>93</v>
      </c>
      <c r="G90" s="49"/>
      <c r="H90" s="49"/>
      <c r="I90" s="49"/>
      <c r="J90" s="49"/>
      <c r="K90" s="49"/>
      <c r="L90" s="49"/>
    </row>
    <row r="91" spans="1:12" ht="15.6" x14ac:dyDescent="0.3">
      <c r="A91" s="49"/>
      <c r="B91" s="54">
        <f ca="1">+'N° de Obs.'!D34</f>
        <v>105</v>
      </c>
      <c r="C91" s="59">
        <f ca="1">+'N° de Obs.'!E34</f>
        <v>1121</v>
      </c>
      <c r="D91" s="49">
        <f ca="1">+ROUND($B$113*$C$113/C91,2)</f>
        <v>101.07</v>
      </c>
      <c r="E91" s="59">
        <f ca="1">+J91</f>
        <v>100</v>
      </c>
      <c r="F91" s="55">
        <f ca="1">+B91-E91</f>
        <v>5</v>
      </c>
      <c r="G91" s="49"/>
      <c r="H91" s="49">
        <f ca="1">+ROUND(D91,1)</f>
        <v>101.1</v>
      </c>
      <c r="I91" s="63" t="str">
        <f ca="1">+RIGHT(H91*10,2)</f>
        <v>11</v>
      </c>
      <c r="J91" s="49" cm="1">
        <f t="array" aca="1" ref="J91" ca="1">+_xlfn.IFS(AND(I91&gt;="0",I91&lt;"25"),H91-(I91/10),AND(I91&gt;="25",I91&lt;"50"),H91+(5-(I91/10)),AND(I91&gt;="50",I91&lt;"75"),H91-((I91-50)/10),I91&gt;="75",H91+(10-(I91/10)))</f>
        <v>100</v>
      </c>
      <c r="K91" s="49">
        <f ca="1">+ABS(F91)</f>
        <v>5</v>
      </c>
      <c r="L91" s="49"/>
    </row>
    <row r="92" spans="1:12" ht="15.6" x14ac:dyDescent="0.3">
      <c r="A92" s="49"/>
      <c r="B92" s="54">
        <f ca="1">+'N° de Obs.'!D35</f>
        <v>85</v>
      </c>
      <c r="C92" s="59">
        <f ca="1">+'N° de Obs.'!E35</f>
        <v>1228</v>
      </c>
      <c r="D92" s="49">
        <f t="shared" ref="D92:D110" ca="1" si="12">+ROUND($B$113*$C$113/C92,2)</f>
        <v>92.26</v>
      </c>
      <c r="E92" s="59">
        <f t="shared" ref="E92:E110" ca="1" si="13">+J92</f>
        <v>90</v>
      </c>
      <c r="F92" s="55">
        <f t="shared" ref="F92:F110" ca="1" si="14">+B92-E92</f>
        <v>-5</v>
      </c>
      <c r="G92" s="49"/>
      <c r="H92" s="49">
        <f t="shared" ref="H92:H110" ca="1" si="15">+ROUND(D92,1)</f>
        <v>92.3</v>
      </c>
      <c r="I92" s="63" t="str">
        <f t="shared" ref="I92:I110" ca="1" si="16">+RIGHT(H92*10,2)</f>
        <v>23</v>
      </c>
      <c r="J92" s="49" cm="1">
        <f t="array" aca="1" ref="J92" ca="1">+_xlfn.IFS(AND(I92&gt;="0",I92&lt;"25"),H92-(I92/10),AND(I92&gt;="25",I92&lt;"50"),H92+(5-(I92/10)),AND(I92&gt;="50",I92&lt;"75"),H92-((I92-50)/10),I92&gt;="75",H92+(10-(I92/10)))</f>
        <v>90</v>
      </c>
      <c r="K92" s="49">
        <f t="shared" ref="K92:K110" ca="1" si="17">+ABS(F92)</f>
        <v>5</v>
      </c>
      <c r="L92" s="49"/>
    </row>
    <row r="93" spans="1:12" ht="15.6" x14ac:dyDescent="0.3">
      <c r="A93" s="49"/>
      <c r="B93" s="54">
        <f ca="1">+'N° de Obs.'!D36</f>
        <v>95</v>
      </c>
      <c r="C93" s="59">
        <f ca="1">+'N° de Obs.'!E36</f>
        <v>1189</v>
      </c>
      <c r="D93" s="49">
        <f t="shared" ca="1" si="12"/>
        <v>95.29</v>
      </c>
      <c r="E93" s="59">
        <f t="shared" ca="1" si="13"/>
        <v>95</v>
      </c>
      <c r="F93" s="55">
        <f t="shared" ca="1" si="14"/>
        <v>0</v>
      </c>
      <c r="G93" s="49"/>
      <c r="H93" s="49">
        <f t="shared" ca="1" si="15"/>
        <v>95.3</v>
      </c>
      <c r="I93" s="63" t="str">
        <f t="shared" ca="1" si="16"/>
        <v>53</v>
      </c>
      <c r="J93" s="49" cm="1">
        <f t="array" aca="1" ref="J93" ca="1">+_xlfn.IFS(AND(I93&gt;="0",I93&lt;"25"),H93-(I93/10),AND(I93&gt;="25",I93&lt;"50"),H93+(5-(I93/10)),AND(I93&gt;="50",I93&lt;"75"),H93-((I93-50)/10),I93&gt;="75",H93+(10-(I93/10)))</f>
        <v>95</v>
      </c>
      <c r="K93" s="49">
        <f t="shared" ca="1" si="17"/>
        <v>0</v>
      </c>
      <c r="L93" s="49"/>
    </row>
    <row r="94" spans="1:12" ht="15.6" x14ac:dyDescent="0.3">
      <c r="A94" s="49"/>
      <c r="B94" s="54">
        <f ca="1">+'N° de Obs.'!D37</f>
        <v>90</v>
      </c>
      <c r="C94" s="59">
        <f ca="1">+'N° de Obs.'!E37</f>
        <v>1233</v>
      </c>
      <c r="D94" s="49">
        <f t="shared" ca="1" si="12"/>
        <v>91.89</v>
      </c>
      <c r="E94" s="59">
        <f t="shared" ca="1" si="13"/>
        <v>90</v>
      </c>
      <c r="F94" s="55">
        <f t="shared" ca="1" si="14"/>
        <v>0</v>
      </c>
      <c r="G94" s="49"/>
      <c r="H94" s="49">
        <f t="shared" ca="1" si="15"/>
        <v>91.9</v>
      </c>
      <c r="I94" s="63" t="str">
        <f t="shared" ca="1" si="16"/>
        <v>19</v>
      </c>
      <c r="J94" s="49" cm="1">
        <f t="array" aca="1" ref="J94" ca="1">+_xlfn.IFS(AND(I94&gt;="0",I94&lt;"25"),H94-(I94/10),AND(I94&gt;="25",I94&lt;"50"),H94+(5-(I94/10)),AND(I94&gt;="50",I94&lt;"75"),H94-((I94-50)/10),I94&gt;="75",H94+(10-(I94/10)))</f>
        <v>90</v>
      </c>
      <c r="K94" s="49">
        <f t="shared" ca="1" si="17"/>
        <v>0</v>
      </c>
      <c r="L94" s="49"/>
    </row>
    <row r="95" spans="1:12" ht="15.6" x14ac:dyDescent="0.3">
      <c r="A95" s="49"/>
      <c r="B95" s="54">
        <f ca="1">+'N° de Obs.'!D38</f>
        <v>90</v>
      </c>
      <c r="C95" s="59">
        <f ca="1">+'N° de Obs.'!E38</f>
        <v>1185</v>
      </c>
      <c r="D95" s="49">
        <f t="shared" ca="1" si="12"/>
        <v>95.61</v>
      </c>
      <c r="E95" s="59">
        <f t="shared" ca="1" si="13"/>
        <v>95</v>
      </c>
      <c r="F95" s="55">
        <f t="shared" ca="1" si="14"/>
        <v>-5</v>
      </c>
      <c r="G95" s="49"/>
      <c r="H95" s="49">
        <f t="shared" ca="1" si="15"/>
        <v>95.6</v>
      </c>
      <c r="I95" s="63" t="str">
        <f t="shared" ca="1" si="16"/>
        <v>56</v>
      </c>
      <c r="J95" s="49" cm="1">
        <f t="array" aca="1" ref="J95" ca="1">+_xlfn.IFS(AND(I95&gt;="0",I95&lt;"25"),H95-(I95/10),AND(I95&gt;="25",I95&lt;"50"),H95+(5-(I95/10)),AND(I95&gt;="50",I95&lt;"75"),H95-((I95-50)/10),I95&gt;="75",H95+(10-(I95/10)))</f>
        <v>95</v>
      </c>
      <c r="K95" s="49">
        <f t="shared" ca="1" si="17"/>
        <v>5</v>
      </c>
      <c r="L95" s="49"/>
    </row>
    <row r="96" spans="1:12" ht="15.6" x14ac:dyDescent="0.3">
      <c r="A96" s="49"/>
      <c r="B96" s="54">
        <f ca="1">+'N° de Obs.'!D39</f>
        <v>90</v>
      </c>
      <c r="C96" s="59">
        <f ca="1">+'N° de Obs.'!E39</f>
        <v>1208</v>
      </c>
      <c r="D96" s="49">
        <f t="shared" ca="1" si="12"/>
        <v>93.79</v>
      </c>
      <c r="E96" s="59">
        <f t="shared" ca="1" si="13"/>
        <v>95</v>
      </c>
      <c r="F96" s="55">
        <f t="shared" ca="1" si="14"/>
        <v>-5</v>
      </c>
      <c r="G96" s="49"/>
      <c r="H96" s="49">
        <f t="shared" ca="1" si="15"/>
        <v>93.8</v>
      </c>
      <c r="I96" s="63" t="str">
        <f t="shared" ca="1" si="16"/>
        <v>38</v>
      </c>
      <c r="J96" s="49" cm="1">
        <f t="array" aca="1" ref="J96" ca="1">+_xlfn.IFS(AND(I96&gt;="0",I96&lt;"25"),H96-(I96/10),AND(I96&gt;="25",I96&lt;"50"),H96+(5-(I96/10)),AND(I96&gt;="50",I96&lt;"75"),H96-((I96-50)/10),I96&gt;="75",H96+(10-(I96/10)))</f>
        <v>95</v>
      </c>
      <c r="K96" s="49">
        <f t="shared" ca="1" si="17"/>
        <v>5</v>
      </c>
      <c r="L96" s="49"/>
    </row>
    <row r="97" spans="1:12" ht="15.6" x14ac:dyDescent="0.3">
      <c r="A97" s="49"/>
      <c r="B97" s="54">
        <f ca="1">+'N° de Obs.'!D40</f>
        <v>95</v>
      </c>
      <c r="C97" s="59">
        <f ca="1">+'N° de Obs.'!E40</f>
        <v>1141</v>
      </c>
      <c r="D97" s="49">
        <f t="shared" ca="1" si="12"/>
        <v>99.3</v>
      </c>
      <c r="E97" s="59">
        <f t="shared" ca="1" si="13"/>
        <v>100</v>
      </c>
      <c r="F97" s="55">
        <f t="shared" ca="1" si="14"/>
        <v>-5</v>
      </c>
      <c r="G97" s="49"/>
      <c r="H97" s="49">
        <f t="shared" ca="1" si="15"/>
        <v>99.3</v>
      </c>
      <c r="I97" s="63" t="str">
        <f t="shared" ca="1" si="16"/>
        <v>93</v>
      </c>
      <c r="J97" s="49" cm="1">
        <f t="array" aca="1" ref="J97" ca="1">+_xlfn.IFS(AND(I97&gt;="0",I97&lt;"25"),H97-(I97/10),AND(I97&gt;="25",I97&lt;"50"),H97+(5-(I97/10)),AND(I97&gt;="50",I97&lt;"75"),H97-((I97-50)/10),I97&gt;="75",H97+(10-(I97/10)))</f>
        <v>100</v>
      </c>
      <c r="K97" s="49">
        <f t="shared" ca="1" si="17"/>
        <v>5</v>
      </c>
      <c r="L97" s="49"/>
    </row>
    <row r="98" spans="1:12" ht="15.6" x14ac:dyDescent="0.3">
      <c r="A98" s="49"/>
      <c r="B98" s="54">
        <f ca="1">+'N° de Obs.'!D41</f>
        <v>85</v>
      </c>
      <c r="C98" s="59">
        <f ca="1">+'N° de Obs.'!E41</f>
        <v>1273</v>
      </c>
      <c r="D98" s="49">
        <f t="shared" ca="1" si="12"/>
        <v>89</v>
      </c>
      <c r="E98" s="59">
        <f t="shared" ca="1" si="13"/>
        <v>90</v>
      </c>
      <c r="F98" s="55">
        <f t="shared" ca="1" si="14"/>
        <v>-5</v>
      </c>
      <c r="G98" s="49"/>
      <c r="H98" s="49">
        <f t="shared" ca="1" si="15"/>
        <v>89</v>
      </c>
      <c r="I98" s="63" t="str">
        <f t="shared" ca="1" si="16"/>
        <v>90</v>
      </c>
      <c r="J98" s="49" cm="1">
        <f t="array" aca="1" ref="J98" ca="1">+_xlfn.IFS(AND(I98&gt;="0",I98&lt;"25"),H98-(I98/10),AND(I98&gt;="25",I98&lt;"50"),H98+(5-(I98/10)),AND(I98&gt;="50",I98&lt;"75"),H98-((I98-50)/10),I98&gt;="75",H98+(10-(I98/10)))</f>
        <v>90</v>
      </c>
      <c r="K98" s="49">
        <f t="shared" ca="1" si="17"/>
        <v>5</v>
      </c>
      <c r="L98" s="49"/>
    </row>
    <row r="99" spans="1:12" ht="15.6" x14ac:dyDescent="0.3">
      <c r="A99" s="49"/>
      <c r="B99" s="54">
        <f ca="1">+'N° de Obs.'!D42</f>
        <v>105</v>
      </c>
      <c r="C99" s="59">
        <f ca="1">+'N° de Obs.'!E42</f>
        <v>1118</v>
      </c>
      <c r="D99" s="49">
        <f t="shared" ca="1" si="12"/>
        <v>101.34</v>
      </c>
      <c r="E99" s="59">
        <f t="shared" ca="1" si="13"/>
        <v>100</v>
      </c>
      <c r="F99" s="55">
        <f t="shared" ca="1" si="14"/>
        <v>5</v>
      </c>
      <c r="G99" s="49"/>
      <c r="H99" s="49">
        <f t="shared" ca="1" si="15"/>
        <v>101.3</v>
      </c>
      <c r="I99" s="63" t="str">
        <f t="shared" ca="1" si="16"/>
        <v>13</v>
      </c>
      <c r="J99" s="49" cm="1">
        <f t="array" aca="1" ref="J99" ca="1">+_xlfn.IFS(AND(I99&gt;="0",I99&lt;"25"),H99-(I99/10),AND(I99&gt;="25",I99&lt;"50"),H99+(5-(I99/10)),AND(I99&gt;="50",I99&lt;"75"),H99-((I99-50)/10),I99&gt;="75",H99+(10-(I99/10)))</f>
        <v>100</v>
      </c>
      <c r="K99" s="49">
        <f t="shared" ca="1" si="17"/>
        <v>5</v>
      </c>
      <c r="L99" s="49"/>
    </row>
    <row r="100" spans="1:12" ht="15.6" x14ac:dyDescent="0.3">
      <c r="A100" s="49"/>
      <c r="B100" s="54">
        <f ca="1">+'N° de Obs.'!D43</f>
        <v>95</v>
      </c>
      <c r="C100" s="59">
        <f ca="1">+'N° de Obs.'!E43</f>
        <v>1294</v>
      </c>
      <c r="D100" s="49">
        <f t="shared" ca="1" si="12"/>
        <v>87.56</v>
      </c>
      <c r="E100" s="59">
        <f t="shared" ca="1" si="13"/>
        <v>90</v>
      </c>
      <c r="F100" s="55">
        <f t="shared" ca="1" si="14"/>
        <v>5</v>
      </c>
      <c r="G100" s="49"/>
      <c r="H100" s="49">
        <f t="shared" ca="1" si="15"/>
        <v>87.6</v>
      </c>
      <c r="I100" s="63" t="str">
        <f t="shared" ca="1" si="16"/>
        <v>76</v>
      </c>
      <c r="J100" s="49" cm="1">
        <f t="array" aca="1" ref="J100" ca="1">+_xlfn.IFS(AND(I100&gt;="0",I100&lt;"25"),H100-(I100/10),AND(I100&gt;="25",I100&lt;"50"),H100+(5-(I100/10)),AND(I100&gt;="50",I100&lt;"75"),H100-((I100-50)/10),I100&gt;="75",H100+(10-(I100/10)))</f>
        <v>90</v>
      </c>
      <c r="K100" s="49">
        <f t="shared" ca="1" si="17"/>
        <v>5</v>
      </c>
      <c r="L100" s="49"/>
    </row>
    <row r="101" spans="1:12" ht="15.6" x14ac:dyDescent="0.3">
      <c r="A101" s="49"/>
      <c r="B101" s="54">
        <f ca="1">+'N° de Obs.'!D44</f>
        <v>100</v>
      </c>
      <c r="C101" s="59">
        <f ca="1">+'N° de Obs.'!E44</f>
        <v>1203</v>
      </c>
      <c r="D101" s="49">
        <f t="shared" ca="1" si="12"/>
        <v>94.18</v>
      </c>
      <c r="E101" s="59">
        <f t="shared" ca="1" si="13"/>
        <v>95</v>
      </c>
      <c r="F101" s="55">
        <f t="shared" ca="1" si="14"/>
        <v>5</v>
      </c>
      <c r="G101" s="49"/>
      <c r="H101" s="49">
        <f t="shared" ca="1" si="15"/>
        <v>94.2</v>
      </c>
      <c r="I101" s="63" t="str">
        <f t="shared" ca="1" si="16"/>
        <v>42</v>
      </c>
      <c r="J101" s="49" cm="1">
        <f t="array" aca="1" ref="J101" ca="1">+_xlfn.IFS(AND(I101&gt;="0",I101&lt;"25"),H101-(I101/10),AND(I101&gt;="25",I101&lt;"50"),H101+(5-(I101/10)),AND(I101&gt;="50",I101&lt;"75"),H101-((I101-50)/10),I101&gt;="75",H101+(10-(I101/10)))</f>
        <v>95</v>
      </c>
      <c r="K101" s="49">
        <f t="shared" ca="1" si="17"/>
        <v>5</v>
      </c>
      <c r="L101" s="49"/>
    </row>
    <row r="102" spans="1:12" ht="15.6" x14ac:dyDescent="0.3">
      <c r="A102" s="49"/>
      <c r="B102" s="54">
        <f ca="1">+'N° de Obs.'!D45</f>
        <v>100</v>
      </c>
      <c r="C102" s="59">
        <f ca="1">+'N° de Obs.'!E45</f>
        <v>1208</v>
      </c>
      <c r="D102" s="49">
        <f t="shared" ca="1" si="12"/>
        <v>93.79</v>
      </c>
      <c r="E102" s="59">
        <f t="shared" ca="1" si="13"/>
        <v>95</v>
      </c>
      <c r="F102" s="55">
        <f t="shared" ca="1" si="14"/>
        <v>5</v>
      </c>
      <c r="G102" s="49"/>
      <c r="H102" s="49">
        <f t="shared" ca="1" si="15"/>
        <v>93.8</v>
      </c>
      <c r="I102" s="63" t="str">
        <f t="shared" ca="1" si="16"/>
        <v>38</v>
      </c>
      <c r="J102" s="49" cm="1">
        <f t="array" aca="1" ref="J102" ca="1">+_xlfn.IFS(AND(I102&gt;="0",I102&lt;"25"),H102-(I102/10),AND(I102&gt;="25",I102&lt;"50"),H102+(5-(I102/10)),AND(I102&gt;="50",I102&lt;"75"),H102-((I102-50)/10),I102&gt;="75",H102+(10-(I102/10)))</f>
        <v>95</v>
      </c>
      <c r="K102" s="49">
        <f t="shared" ca="1" si="17"/>
        <v>5</v>
      </c>
      <c r="L102" s="49"/>
    </row>
    <row r="103" spans="1:12" ht="15.6" x14ac:dyDescent="0.3">
      <c r="A103" s="49"/>
      <c r="B103" s="54">
        <f ca="1">+'N° de Obs.'!D46</f>
        <v>100</v>
      </c>
      <c r="C103" s="59">
        <f ca="1">+'N° de Obs.'!E46</f>
        <v>1197</v>
      </c>
      <c r="D103" s="49">
        <f t="shared" ca="1" si="12"/>
        <v>94.65</v>
      </c>
      <c r="E103" s="59">
        <f t="shared" ca="1" si="13"/>
        <v>95</v>
      </c>
      <c r="F103" s="55">
        <f t="shared" ca="1" si="14"/>
        <v>5</v>
      </c>
      <c r="G103" s="49"/>
      <c r="H103" s="49">
        <f t="shared" ca="1" si="15"/>
        <v>94.7</v>
      </c>
      <c r="I103" s="63" t="str">
        <f t="shared" ca="1" si="16"/>
        <v>47</v>
      </c>
      <c r="J103" s="49" cm="1">
        <f t="array" aca="1" ref="J103" ca="1">+_xlfn.IFS(AND(I103&gt;="0",I103&lt;"25"),H103-(I103/10),AND(I103&gt;="25",I103&lt;"50"),H103+(5-(I103/10)),AND(I103&gt;="50",I103&lt;"75"),H103-((I103-50)/10),I103&gt;="75",H103+(10-(I103/10)))</f>
        <v>95</v>
      </c>
      <c r="K103" s="49">
        <f t="shared" ca="1" si="17"/>
        <v>5</v>
      </c>
      <c r="L103" s="49"/>
    </row>
    <row r="104" spans="1:12" ht="15.6" x14ac:dyDescent="0.3">
      <c r="A104" s="49"/>
      <c r="B104" s="54">
        <f ca="1">+'N° de Obs.'!D47</f>
        <v>90</v>
      </c>
      <c r="C104" s="59">
        <f ca="1">+'N° de Obs.'!E47</f>
        <v>1269</v>
      </c>
      <c r="D104" s="49">
        <f t="shared" ca="1" si="12"/>
        <v>89.28</v>
      </c>
      <c r="E104" s="59">
        <f t="shared" ca="1" si="13"/>
        <v>90</v>
      </c>
      <c r="F104" s="55">
        <f t="shared" ca="1" si="14"/>
        <v>0</v>
      </c>
      <c r="G104" s="49"/>
      <c r="H104" s="49">
        <f t="shared" ca="1" si="15"/>
        <v>89.3</v>
      </c>
      <c r="I104" s="63" t="str">
        <f t="shared" ca="1" si="16"/>
        <v>93</v>
      </c>
      <c r="J104" s="49" cm="1">
        <f t="array" aca="1" ref="J104" ca="1">+_xlfn.IFS(AND(I104&gt;="0",I104&lt;"25"),H104-(I104/10),AND(I104&gt;="25",I104&lt;"50"),H104+(5-(I104/10)),AND(I104&gt;="50",I104&lt;"75"),H104-((I104-50)/10),I104&gt;="75",H104+(10-(I104/10)))</f>
        <v>90</v>
      </c>
      <c r="K104" s="49">
        <f t="shared" ca="1" si="17"/>
        <v>0</v>
      </c>
      <c r="L104" s="49"/>
    </row>
    <row r="105" spans="1:12" ht="15.6" x14ac:dyDescent="0.3">
      <c r="A105" s="49"/>
      <c r="B105" s="54">
        <f ca="1">+'N° de Obs.'!D48</f>
        <v>90</v>
      </c>
      <c r="C105" s="59">
        <f ca="1">+'N° de Obs.'!E48</f>
        <v>1150</v>
      </c>
      <c r="D105" s="49">
        <f t="shared" ca="1" si="12"/>
        <v>98.52</v>
      </c>
      <c r="E105" s="59">
        <f t="shared" ca="1" si="13"/>
        <v>100</v>
      </c>
      <c r="F105" s="55">
        <f t="shared" ca="1" si="14"/>
        <v>-10</v>
      </c>
      <c r="G105" s="49"/>
      <c r="H105" s="49">
        <f t="shared" ca="1" si="15"/>
        <v>98.5</v>
      </c>
      <c r="I105" s="63" t="str">
        <f t="shared" ca="1" si="16"/>
        <v>85</v>
      </c>
      <c r="J105" s="49" cm="1">
        <f t="array" aca="1" ref="J105" ca="1">+_xlfn.IFS(AND(I105&gt;="0",I105&lt;"25"),H105-(I105/10),AND(I105&gt;="25",I105&lt;"50"),H105+(5-(I105/10)),AND(I105&gt;="50",I105&lt;"75"),H105-((I105-50)/10),I105&gt;="75",H105+(10-(I105/10)))</f>
        <v>100</v>
      </c>
      <c r="K105" s="49">
        <f t="shared" ca="1" si="17"/>
        <v>10</v>
      </c>
      <c r="L105" s="49"/>
    </row>
    <row r="106" spans="1:12" ht="15.6" x14ac:dyDescent="0.3">
      <c r="A106" s="49"/>
      <c r="B106" s="54">
        <f ca="1">+'N° de Obs.'!D49</f>
        <v>85</v>
      </c>
      <c r="C106" s="59">
        <f ca="1">+'N° de Obs.'!E49</f>
        <v>1178</v>
      </c>
      <c r="D106" s="49">
        <f t="shared" ca="1" si="12"/>
        <v>96.18</v>
      </c>
      <c r="E106" s="59">
        <f t="shared" ca="1" si="13"/>
        <v>95</v>
      </c>
      <c r="F106" s="55">
        <f t="shared" ca="1" si="14"/>
        <v>-10</v>
      </c>
      <c r="G106" s="49"/>
      <c r="H106" s="49">
        <f t="shared" ca="1" si="15"/>
        <v>96.2</v>
      </c>
      <c r="I106" s="63" t="str">
        <f t="shared" ca="1" si="16"/>
        <v>62</v>
      </c>
      <c r="J106" s="49" cm="1">
        <f t="array" aca="1" ref="J106" ca="1">+_xlfn.IFS(AND(I106&gt;="0",I106&lt;"25"),H106-(I106/10),AND(I106&gt;="25",I106&lt;"50"),H106+(5-(I106/10)),AND(I106&gt;="50",I106&lt;"75"),H106-((I106-50)/10),I106&gt;="75",H106+(10-(I106/10)))</f>
        <v>95</v>
      </c>
      <c r="K106" s="49">
        <f t="shared" ca="1" si="17"/>
        <v>10</v>
      </c>
      <c r="L106" s="49"/>
    </row>
    <row r="107" spans="1:12" ht="15.6" x14ac:dyDescent="0.3">
      <c r="A107" s="49"/>
      <c r="B107" s="54">
        <f ca="1">+'N° de Obs.'!D50</f>
        <v>95</v>
      </c>
      <c r="C107" s="59">
        <f ca="1">+'N° de Obs.'!E50</f>
        <v>1259</v>
      </c>
      <c r="D107" s="49">
        <f t="shared" ca="1" si="12"/>
        <v>89.99</v>
      </c>
      <c r="E107" s="59">
        <f t="shared" ca="1" si="13"/>
        <v>90</v>
      </c>
      <c r="F107" s="55">
        <f t="shared" ca="1" si="14"/>
        <v>5</v>
      </c>
      <c r="G107" s="49"/>
      <c r="H107" s="49">
        <f t="shared" ca="1" si="15"/>
        <v>90</v>
      </c>
      <c r="I107" s="63" t="str">
        <f t="shared" ca="1" si="16"/>
        <v>00</v>
      </c>
      <c r="J107" s="49" cm="1">
        <f t="array" aca="1" ref="J107" ca="1">+_xlfn.IFS(AND(I107&gt;="0",I107&lt;"25"),H107-(I107/10),AND(I107&gt;="25",I107&lt;"50"),H107+(5-(I107/10)),AND(I107&gt;="50",I107&lt;"75"),H107-((I107-50)/10),I107&gt;="75",H107+(10-(I107/10)))</f>
        <v>90</v>
      </c>
      <c r="K107" s="49">
        <f t="shared" ca="1" si="17"/>
        <v>5</v>
      </c>
      <c r="L107" s="49"/>
    </row>
    <row r="108" spans="1:12" ht="15.6" x14ac:dyDescent="0.3">
      <c r="A108" s="49"/>
      <c r="B108" s="54">
        <f ca="1">+'N° de Obs.'!D51</f>
        <v>95</v>
      </c>
      <c r="C108" s="59">
        <f ca="1">+'N° de Obs.'!E51</f>
        <v>1297</v>
      </c>
      <c r="D108" s="49">
        <f t="shared" ca="1" si="12"/>
        <v>87.36</v>
      </c>
      <c r="E108" s="59">
        <f t="shared" ca="1" si="13"/>
        <v>85</v>
      </c>
      <c r="F108" s="55">
        <f t="shared" ca="1" si="14"/>
        <v>10</v>
      </c>
      <c r="G108" s="49"/>
      <c r="H108" s="49">
        <f t="shared" ca="1" si="15"/>
        <v>87.4</v>
      </c>
      <c r="I108" s="63" t="str">
        <f t="shared" ca="1" si="16"/>
        <v>74</v>
      </c>
      <c r="J108" s="49" cm="1">
        <f t="array" aca="1" ref="J108" ca="1">+_xlfn.IFS(AND(I108&gt;="0",I108&lt;"25"),H108-(I108/10),AND(I108&gt;="25",I108&lt;"50"),H108+(5-(I108/10)),AND(I108&gt;="50",I108&lt;"75"),H108-((I108-50)/10),I108&gt;="75",H108+(10-(I108/10)))</f>
        <v>85</v>
      </c>
      <c r="K108" s="49">
        <f t="shared" ca="1" si="17"/>
        <v>10</v>
      </c>
      <c r="L108" s="49"/>
    </row>
    <row r="109" spans="1:12" ht="15.6" x14ac:dyDescent="0.3">
      <c r="A109" s="49"/>
      <c r="B109" s="54">
        <f ca="1">+'N° de Obs.'!D52</f>
        <v>95</v>
      </c>
      <c r="C109" s="59">
        <f ca="1">+'N° de Obs.'!E52</f>
        <v>1271</v>
      </c>
      <c r="D109" s="49">
        <f t="shared" ca="1" si="12"/>
        <v>89.14</v>
      </c>
      <c r="E109" s="59">
        <f t="shared" ca="1" si="13"/>
        <v>90</v>
      </c>
      <c r="F109" s="55">
        <f t="shared" ca="1" si="14"/>
        <v>5</v>
      </c>
      <c r="G109" s="49"/>
      <c r="H109" s="49">
        <f t="shared" ca="1" si="15"/>
        <v>89.1</v>
      </c>
      <c r="I109" s="63" t="str">
        <f t="shared" ca="1" si="16"/>
        <v>91</v>
      </c>
      <c r="J109" s="49" cm="1">
        <f t="array" aca="1" ref="J109" ca="1">+_xlfn.IFS(AND(I109&gt;="0",I109&lt;"25"),H109-(I109/10),AND(I109&gt;="25",I109&lt;"50"),H109+(5-(I109/10)),AND(I109&gt;="50",I109&lt;"75"),H109-((I109-50)/10),I109&gt;="75",H109+(10-(I109/10)))</f>
        <v>90</v>
      </c>
      <c r="K109" s="49">
        <f t="shared" ca="1" si="17"/>
        <v>5</v>
      </c>
      <c r="L109" s="49"/>
    </row>
    <row r="110" spans="1:12" ht="15.6" x14ac:dyDescent="0.3">
      <c r="A110" s="49"/>
      <c r="B110" s="54">
        <f ca="1">+'N° de Obs.'!D53</f>
        <v>95</v>
      </c>
      <c r="C110" s="60">
        <f ca="1">+'N° de Obs.'!E53</f>
        <v>1119</v>
      </c>
      <c r="D110" s="50">
        <f t="shared" ca="1" si="12"/>
        <v>101.25</v>
      </c>
      <c r="E110" s="60">
        <f t="shared" ca="1" si="13"/>
        <v>100</v>
      </c>
      <c r="F110" s="57">
        <f t="shared" ca="1" si="14"/>
        <v>-5</v>
      </c>
      <c r="G110" s="49"/>
      <c r="H110" s="49">
        <f t="shared" ca="1" si="15"/>
        <v>101.3</v>
      </c>
      <c r="I110" s="63" t="str">
        <f t="shared" ca="1" si="16"/>
        <v>13</v>
      </c>
      <c r="J110" s="49" cm="1">
        <f t="array" aca="1" ref="J110" ca="1">+_xlfn.IFS(AND(I110&gt;="0",I110&lt;"25"),H110-(I110/10),AND(I110&gt;="25",I110&lt;"50"),H110+(5-(I110/10)),AND(I110&gt;="50",I110&lt;"75"),H110-((I110-50)/10),I110&gt;="75",H110+(10-(I110/10)))</f>
        <v>100</v>
      </c>
      <c r="K110" s="49">
        <f t="shared" ca="1" si="17"/>
        <v>5</v>
      </c>
      <c r="L110" s="49"/>
    </row>
    <row r="111" spans="1:12" ht="15.6" x14ac:dyDescent="0.3">
      <c r="A111" s="49"/>
      <c r="B111" s="126" t="s">
        <v>89</v>
      </c>
      <c r="C111" s="127"/>
      <c r="D111" s="127"/>
      <c r="E111" s="127"/>
      <c r="F111" s="53">
        <f ca="1">+SUMIF(K91:K110,"&lt;=10",F91:F110)</f>
        <v>0</v>
      </c>
      <c r="G111" s="49"/>
      <c r="H111" s="49"/>
      <c r="I111" s="49"/>
      <c r="J111" s="49"/>
      <c r="K111" s="49">
        <f ca="1">+COUNTIF(K91:K110,"&lt;=10")</f>
        <v>20</v>
      </c>
      <c r="L111" s="49"/>
    </row>
    <row r="112" spans="1:12" ht="15.6" x14ac:dyDescent="0.3">
      <c r="A112" s="49"/>
      <c r="B112" s="49"/>
      <c r="C112" s="49"/>
      <c r="D112" s="49"/>
      <c r="E112" s="49"/>
      <c r="F112" s="49"/>
      <c r="G112" s="49"/>
      <c r="H112" s="49"/>
      <c r="I112" s="49"/>
      <c r="J112" s="49"/>
      <c r="K112" s="49"/>
      <c r="L112" s="49"/>
    </row>
    <row r="113" spans="1:12" ht="15.6" x14ac:dyDescent="0.3">
      <c r="A113" s="49"/>
      <c r="B113" s="49">
        <v>100</v>
      </c>
      <c r="C113" s="49">
        <f ca="1">+ROUND(AVERAGE('N° de Obs.'!F34:F53),0)</f>
        <v>1133</v>
      </c>
      <c r="D113" s="49"/>
      <c r="E113" s="49"/>
      <c r="F113" s="49"/>
      <c r="G113" s="49"/>
      <c r="H113" s="49"/>
      <c r="I113" s="49"/>
      <c r="J113" s="49"/>
      <c r="K113" s="49"/>
      <c r="L113" s="49"/>
    </row>
    <row r="114" spans="1:12" ht="15.6" x14ac:dyDescent="0.3">
      <c r="A114" s="49"/>
      <c r="B114" s="49"/>
      <c r="C114" s="49"/>
      <c r="D114" s="50"/>
      <c r="E114" s="50"/>
      <c r="F114" s="49"/>
      <c r="G114" s="49"/>
      <c r="H114" s="49"/>
      <c r="I114" s="49"/>
      <c r="J114" s="49"/>
      <c r="K114" s="49"/>
      <c r="L114" s="49"/>
    </row>
    <row r="115" spans="1:12" ht="15.6" x14ac:dyDescent="0.3">
      <c r="A115" s="49"/>
      <c r="B115" s="49"/>
      <c r="C115" s="49"/>
      <c r="D115" s="47" t="s">
        <v>83</v>
      </c>
      <c r="E115" s="48" t="s">
        <v>84</v>
      </c>
      <c r="F115" s="49"/>
      <c r="G115" s="49"/>
      <c r="H115" s="49"/>
      <c r="I115" s="49"/>
      <c r="J115" s="49"/>
      <c r="K115" s="49"/>
      <c r="L115" s="49"/>
    </row>
    <row r="116" spans="1:12" ht="15.6" x14ac:dyDescent="0.3">
      <c r="A116" s="49"/>
      <c r="B116" s="49"/>
      <c r="C116" s="49"/>
      <c r="D116" s="54" t="s">
        <v>86</v>
      </c>
      <c r="E116" s="59" t="s">
        <v>25</v>
      </c>
      <c r="F116" s="49"/>
      <c r="G116" s="49"/>
      <c r="H116" s="49"/>
      <c r="I116" s="49"/>
      <c r="J116" s="49"/>
      <c r="K116" s="49"/>
      <c r="L116" s="49"/>
    </row>
    <row r="117" spans="1:12" ht="15.6" x14ac:dyDescent="0.3">
      <c r="A117" s="49"/>
      <c r="B117" s="49"/>
      <c r="C117" s="49"/>
      <c r="D117" s="54" t="s">
        <v>94</v>
      </c>
      <c r="E117" s="69">
        <v>100</v>
      </c>
      <c r="F117" s="49"/>
      <c r="G117" s="49"/>
      <c r="H117" s="49"/>
      <c r="I117" s="49"/>
      <c r="J117" s="49"/>
      <c r="K117" s="49"/>
      <c r="L117" s="49"/>
    </row>
    <row r="118" spans="1:12" ht="15.6" x14ac:dyDescent="0.3">
      <c r="A118" s="49"/>
      <c r="B118" s="49"/>
      <c r="C118" s="49"/>
      <c r="D118" s="54" t="s">
        <v>20</v>
      </c>
      <c r="E118" s="59">
        <f ca="1">+C113</f>
        <v>1133</v>
      </c>
      <c r="F118" s="49"/>
      <c r="G118" s="49"/>
      <c r="H118" s="49"/>
      <c r="I118" s="49"/>
      <c r="J118" s="49"/>
      <c r="K118" s="49"/>
      <c r="L118" s="49"/>
    </row>
    <row r="119" spans="1:12" ht="31.2" x14ac:dyDescent="0.3">
      <c r="A119" s="49"/>
      <c r="B119" s="49"/>
      <c r="C119" s="49"/>
      <c r="D119" s="66" t="s">
        <v>96</v>
      </c>
      <c r="E119" s="59">
        <f ca="1">+K111</f>
        <v>20</v>
      </c>
      <c r="F119" s="49"/>
      <c r="G119" s="49"/>
      <c r="H119" s="49"/>
      <c r="I119" s="49"/>
      <c r="J119" s="49"/>
      <c r="K119" s="49"/>
      <c r="L119" s="49"/>
    </row>
    <row r="120" spans="1:12" ht="15.6" x14ac:dyDescent="0.3">
      <c r="A120" s="49"/>
      <c r="B120" s="49"/>
      <c r="C120" s="49"/>
      <c r="D120" s="67" t="s">
        <v>93</v>
      </c>
      <c r="E120" s="60">
        <f ca="1">+F111</f>
        <v>0</v>
      </c>
      <c r="F120" s="49"/>
      <c r="G120" s="49"/>
      <c r="H120" s="49"/>
      <c r="I120" s="49"/>
      <c r="J120" s="49"/>
      <c r="K120" s="49"/>
      <c r="L120" s="49"/>
    </row>
    <row r="121" spans="1:12" ht="31.2" x14ac:dyDescent="0.3">
      <c r="A121" s="49"/>
      <c r="B121" s="49"/>
      <c r="C121" s="49"/>
      <c r="D121" s="68" t="s">
        <v>95</v>
      </c>
      <c r="E121" s="58" t="str">
        <f ca="1">+CONCATENATE(ROUND((F111/K111*5)/5,2)," %")</f>
        <v>0 %</v>
      </c>
      <c r="F121" s="49"/>
      <c r="G121" s="49"/>
      <c r="H121" s="49"/>
      <c r="I121" s="49"/>
      <c r="J121" s="49"/>
      <c r="K121" s="49"/>
      <c r="L121" s="49"/>
    </row>
    <row r="122" spans="1:12" ht="15.6" x14ac:dyDescent="0.3">
      <c r="A122" s="49"/>
      <c r="B122" s="49"/>
      <c r="C122" s="49"/>
      <c r="D122" s="49"/>
      <c r="E122" s="49"/>
      <c r="F122" s="49"/>
      <c r="G122" s="49"/>
      <c r="H122" s="49"/>
      <c r="I122" s="49"/>
      <c r="J122" s="49"/>
      <c r="K122" s="49"/>
      <c r="L122" s="49"/>
    </row>
    <row r="123" spans="1:12" ht="15.6" x14ac:dyDescent="0.3">
      <c r="A123" s="49"/>
      <c r="B123" s="49"/>
      <c r="C123" s="49"/>
      <c r="D123" s="49"/>
      <c r="E123" s="49"/>
      <c r="F123" s="49"/>
      <c r="G123" s="49"/>
      <c r="H123" s="49"/>
      <c r="I123" s="49"/>
      <c r="J123" s="49"/>
      <c r="K123" s="49"/>
      <c r="L123" s="49"/>
    </row>
    <row r="124" spans="1:12" ht="15.6" x14ac:dyDescent="0.3">
      <c r="A124" s="49"/>
      <c r="B124" s="49"/>
      <c r="C124" s="49"/>
      <c r="D124" s="49"/>
      <c r="E124" s="49"/>
      <c r="F124" s="49"/>
      <c r="G124" s="49"/>
      <c r="H124" s="49"/>
      <c r="I124" s="49"/>
      <c r="J124" s="49"/>
      <c r="K124" s="49"/>
      <c r="L124" s="49"/>
    </row>
    <row r="127" spans="1:12" x14ac:dyDescent="0.3">
      <c r="C127" s="16"/>
      <c r="D127" s="16"/>
      <c r="E127" s="130" t="str">
        <f>+'N° de Obs.'!P30</f>
        <v>Elemento F</v>
      </c>
      <c r="F127" s="131"/>
      <c r="G127" s="16"/>
    </row>
    <row r="128" spans="1:12" ht="15.6" x14ac:dyDescent="0.3">
      <c r="A128" s="49"/>
      <c r="B128" s="49"/>
      <c r="C128" s="49"/>
      <c r="D128" s="49"/>
      <c r="E128" s="49"/>
      <c r="F128" s="49"/>
      <c r="G128" s="49"/>
      <c r="H128" s="49"/>
      <c r="I128" s="49"/>
      <c r="J128" s="49"/>
      <c r="K128" s="49"/>
      <c r="L128" s="49"/>
    </row>
    <row r="129" spans="1:12" ht="15.6" x14ac:dyDescent="0.3">
      <c r="A129" s="49"/>
      <c r="B129" s="50"/>
      <c r="C129" s="50"/>
      <c r="D129" s="50"/>
      <c r="E129" s="50"/>
      <c r="F129" s="50"/>
      <c r="G129" s="49"/>
      <c r="H129" s="49"/>
      <c r="I129" s="49"/>
      <c r="J129" s="49"/>
      <c r="K129" s="49"/>
      <c r="L129" s="49"/>
    </row>
    <row r="130" spans="1:12" ht="15.6" x14ac:dyDescent="0.3">
      <c r="A130" s="49"/>
      <c r="B130" s="47" t="s">
        <v>26</v>
      </c>
      <c r="C130" s="48" t="s">
        <v>91</v>
      </c>
      <c r="D130" s="61" t="s">
        <v>92</v>
      </c>
      <c r="E130" s="48" t="s">
        <v>27</v>
      </c>
      <c r="F130" s="62" t="s">
        <v>93</v>
      </c>
      <c r="G130" s="49"/>
      <c r="H130" s="49"/>
      <c r="I130" s="49"/>
      <c r="J130" s="49"/>
      <c r="K130" s="49"/>
      <c r="L130" s="49"/>
    </row>
    <row r="131" spans="1:12" ht="15.6" x14ac:dyDescent="0.3">
      <c r="A131" s="49"/>
      <c r="B131" s="54">
        <f ca="1">+'N° de Obs.'!M34</f>
        <v>95</v>
      </c>
      <c r="C131" s="59">
        <f ca="1">+'N° de Obs.'!N34</f>
        <v>4378</v>
      </c>
      <c r="D131" s="49">
        <f ca="1">+ROUND($B$153*$C$153/C131,2)</f>
        <v>93.9</v>
      </c>
      <c r="E131" s="59">
        <f ca="1">+J131</f>
        <v>95</v>
      </c>
      <c r="F131" s="55">
        <f ca="1">+B131-E131</f>
        <v>0</v>
      </c>
      <c r="G131" s="49"/>
      <c r="H131" s="49">
        <f ca="1">+ROUND(D131,1)</f>
        <v>93.9</v>
      </c>
      <c r="I131" s="63" t="str">
        <f ca="1">+RIGHT(H131*10,2)</f>
        <v>39</v>
      </c>
      <c r="J131" s="49" cm="1">
        <f t="array" aca="1" ref="J131" ca="1">+_xlfn.IFS(AND(I131&gt;="0",I131&lt;"25"),H131-(I131/10),AND(I131&gt;="25",I131&lt;"50"),H131+(5-(I131/10)),AND(I131&gt;="50",I131&lt;"75"),H131-((I131-50)/10),I131&gt;="75",H131+(10-(I131/10)))</f>
        <v>95</v>
      </c>
      <c r="K131" s="49">
        <f ca="1">+ABS(F131)</f>
        <v>0</v>
      </c>
      <c r="L131" s="49"/>
    </row>
    <row r="132" spans="1:12" ht="15.6" x14ac:dyDescent="0.3">
      <c r="A132" s="49"/>
      <c r="B132" s="54">
        <f ca="1">+'N° de Obs.'!M35</f>
        <v>105</v>
      </c>
      <c r="C132" s="59">
        <f ca="1">+'N° de Obs.'!N35</f>
        <v>4164</v>
      </c>
      <c r="D132" s="49">
        <f t="shared" ref="D132:D150" ca="1" si="18">+ROUND($B$153*$C$153/C132,2)</f>
        <v>98.73</v>
      </c>
      <c r="E132" s="59">
        <f t="shared" ref="E132:E150" ca="1" si="19">+J132</f>
        <v>100</v>
      </c>
      <c r="F132" s="55">
        <f t="shared" ref="F132:F150" ca="1" si="20">+B132-E132</f>
        <v>5</v>
      </c>
      <c r="G132" s="49"/>
      <c r="H132" s="49">
        <f t="shared" ref="H132:H150" ca="1" si="21">+ROUND(D132,1)</f>
        <v>98.7</v>
      </c>
      <c r="I132" s="63" t="str">
        <f t="shared" ref="I132:I150" ca="1" si="22">+RIGHT(H132*10,2)</f>
        <v>87</v>
      </c>
      <c r="J132" s="49" cm="1">
        <f t="array" aca="1" ref="J132" ca="1">+_xlfn.IFS(AND(I132&gt;="0",I132&lt;"25"),H132-(I132/10),AND(I132&gt;="25",I132&lt;"50"),H132+(5-(I132/10)),AND(I132&gt;="50",I132&lt;"75"),H132-((I132-50)/10),I132&gt;="75",H132+(10-(I132/10)))</f>
        <v>100</v>
      </c>
      <c r="K132" s="49">
        <f t="shared" ref="K132:K150" ca="1" si="23">+ABS(F132)</f>
        <v>5</v>
      </c>
      <c r="L132" s="49"/>
    </row>
    <row r="133" spans="1:12" ht="15.6" x14ac:dyDescent="0.3">
      <c r="A133" s="49"/>
      <c r="B133" s="54">
        <f ca="1">+'N° de Obs.'!M36</f>
        <v>85</v>
      </c>
      <c r="C133" s="59">
        <f ca="1">+'N° de Obs.'!N36</f>
        <v>4414</v>
      </c>
      <c r="D133" s="49">
        <f t="shared" ca="1" si="18"/>
        <v>93.14</v>
      </c>
      <c r="E133" s="59">
        <f t="shared" ca="1" si="19"/>
        <v>95</v>
      </c>
      <c r="F133" s="55">
        <f t="shared" ca="1" si="20"/>
        <v>-10</v>
      </c>
      <c r="G133" s="49"/>
      <c r="H133" s="49">
        <f t="shared" ca="1" si="21"/>
        <v>93.1</v>
      </c>
      <c r="I133" s="63" t="str">
        <f t="shared" ca="1" si="22"/>
        <v>31</v>
      </c>
      <c r="J133" s="49" cm="1">
        <f t="array" aca="1" ref="J133" ca="1">+_xlfn.IFS(AND(I133&gt;="0",I133&lt;"25"),H133-(I133/10),AND(I133&gt;="25",I133&lt;"50"),H133+(5-(I133/10)),AND(I133&gt;="50",I133&lt;"75"),H133-((I133-50)/10),I133&gt;="75",H133+(10-(I133/10)))</f>
        <v>95</v>
      </c>
      <c r="K133" s="49">
        <f t="shared" ca="1" si="23"/>
        <v>10</v>
      </c>
      <c r="L133" s="49"/>
    </row>
    <row r="134" spans="1:12" ht="15.6" x14ac:dyDescent="0.3">
      <c r="A134" s="49"/>
      <c r="B134" s="54">
        <f ca="1">+'N° de Obs.'!M37</f>
        <v>105</v>
      </c>
      <c r="C134" s="59">
        <f ca="1">+'N° de Obs.'!N37</f>
        <v>4193</v>
      </c>
      <c r="D134" s="49">
        <f t="shared" ca="1" si="18"/>
        <v>98.04</v>
      </c>
      <c r="E134" s="59">
        <f t="shared" ca="1" si="19"/>
        <v>100</v>
      </c>
      <c r="F134" s="55">
        <f t="shared" ca="1" si="20"/>
        <v>5</v>
      </c>
      <c r="G134" s="49"/>
      <c r="H134" s="49">
        <f t="shared" ca="1" si="21"/>
        <v>98</v>
      </c>
      <c r="I134" s="63" t="str">
        <f t="shared" ca="1" si="22"/>
        <v>80</v>
      </c>
      <c r="J134" s="49" cm="1">
        <f t="array" aca="1" ref="J134" ca="1">+_xlfn.IFS(AND(I134&gt;="0",I134&lt;"25"),H134-(I134/10),AND(I134&gt;="25",I134&lt;"50"),H134+(5-(I134/10)),AND(I134&gt;="50",I134&lt;"75"),H134-((I134-50)/10),I134&gt;="75",H134+(10-(I134/10)))</f>
        <v>100</v>
      </c>
      <c r="K134" s="49">
        <f t="shared" ca="1" si="23"/>
        <v>5</v>
      </c>
      <c r="L134" s="49"/>
    </row>
    <row r="135" spans="1:12" ht="15.6" x14ac:dyDescent="0.3">
      <c r="A135" s="49"/>
      <c r="B135" s="54">
        <f ca="1">+'N° de Obs.'!M38</f>
        <v>100</v>
      </c>
      <c r="C135" s="59">
        <f ca="1">+'N° de Obs.'!N38</f>
        <v>4220</v>
      </c>
      <c r="D135" s="49">
        <f t="shared" ca="1" si="18"/>
        <v>97.42</v>
      </c>
      <c r="E135" s="59">
        <f t="shared" ca="1" si="19"/>
        <v>95</v>
      </c>
      <c r="F135" s="55">
        <f t="shared" ca="1" si="20"/>
        <v>5</v>
      </c>
      <c r="G135" s="49"/>
      <c r="H135" s="49">
        <f t="shared" ca="1" si="21"/>
        <v>97.4</v>
      </c>
      <c r="I135" s="63" t="str">
        <f t="shared" ca="1" si="22"/>
        <v>74</v>
      </c>
      <c r="J135" s="49" cm="1">
        <f t="array" aca="1" ref="J135" ca="1">+_xlfn.IFS(AND(I135&gt;="0",I135&lt;"25"),H135-(I135/10),AND(I135&gt;="25",I135&lt;"50"),H135+(5-(I135/10)),AND(I135&gt;="50",I135&lt;"75"),H135-((I135-50)/10),I135&gt;="75",H135+(10-(I135/10)))</f>
        <v>95</v>
      </c>
      <c r="K135" s="49">
        <f t="shared" ca="1" si="23"/>
        <v>5</v>
      </c>
      <c r="L135" s="49"/>
    </row>
    <row r="136" spans="1:12" ht="15.6" x14ac:dyDescent="0.3">
      <c r="A136" s="49"/>
      <c r="B136" s="54">
        <f ca="1">+'N° de Obs.'!M39</f>
        <v>105</v>
      </c>
      <c r="C136" s="59">
        <f ca="1">+'N° de Obs.'!N39</f>
        <v>4323</v>
      </c>
      <c r="D136" s="49">
        <f t="shared" ca="1" si="18"/>
        <v>95.1</v>
      </c>
      <c r="E136" s="59">
        <f t="shared" ca="1" si="19"/>
        <v>95</v>
      </c>
      <c r="F136" s="55">
        <f t="shared" ca="1" si="20"/>
        <v>10</v>
      </c>
      <c r="G136" s="49"/>
      <c r="H136" s="49">
        <f t="shared" ca="1" si="21"/>
        <v>95.1</v>
      </c>
      <c r="I136" s="63" t="str">
        <f t="shared" ca="1" si="22"/>
        <v>51</v>
      </c>
      <c r="J136" s="49" cm="1">
        <f t="array" aca="1" ref="J136" ca="1">+_xlfn.IFS(AND(I136&gt;="0",I136&lt;"25"),H136-(I136/10),AND(I136&gt;="25",I136&lt;"50"),H136+(5-(I136/10)),AND(I136&gt;="50",I136&lt;"75"),H136-((I136-50)/10),I136&gt;="75",H136+(10-(I136/10)))</f>
        <v>95</v>
      </c>
      <c r="K136" s="49">
        <f t="shared" ca="1" si="23"/>
        <v>10</v>
      </c>
      <c r="L136" s="49"/>
    </row>
    <row r="137" spans="1:12" ht="15.6" x14ac:dyDescent="0.3">
      <c r="A137" s="49"/>
      <c r="B137" s="54">
        <f ca="1">+'N° de Obs.'!M40</f>
        <v>100</v>
      </c>
      <c r="C137" s="59">
        <f ca="1">+'N° de Obs.'!N40</f>
        <v>4222</v>
      </c>
      <c r="D137" s="49">
        <f t="shared" ca="1" si="18"/>
        <v>97.37</v>
      </c>
      <c r="E137" s="59">
        <f t="shared" ca="1" si="19"/>
        <v>95</v>
      </c>
      <c r="F137" s="55">
        <f t="shared" ca="1" si="20"/>
        <v>5</v>
      </c>
      <c r="G137" s="49"/>
      <c r="H137" s="49">
        <f t="shared" ca="1" si="21"/>
        <v>97.4</v>
      </c>
      <c r="I137" s="63" t="str">
        <f t="shared" ca="1" si="22"/>
        <v>74</v>
      </c>
      <c r="J137" s="49" cm="1">
        <f t="array" aca="1" ref="J137" ca="1">+_xlfn.IFS(AND(I137&gt;="0",I137&lt;"25"),H137-(I137/10),AND(I137&gt;="25",I137&lt;"50"),H137+(5-(I137/10)),AND(I137&gt;="50",I137&lt;"75"),H137-((I137-50)/10),I137&gt;="75",H137+(10-(I137/10)))</f>
        <v>95</v>
      </c>
      <c r="K137" s="49">
        <f t="shared" ca="1" si="23"/>
        <v>5</v>
      </c>
      <c r="L137" s="49"/>
    </row>
    <row r="138" spans="1:12" ht="15.6" x14ac:dyDescent="0.3">
      <c r="A138" s="49"/>
      <c r="B138" s="54">
        <f ca="1">+'N° de Obs.'!M41</f>
        <v>90</v>
      </c>
      <c r="C138" s="59">
        <f ca="1">+'N° de Obs.'!N41</f>
        <v>4377</v>
      </c>
      <c r="D138" s="49">
        <f t="shared" ca="1" si="18"/>
        <v>93.92</v>
      </c>
      <c r="E138" s="59">
        <f t="shared" ca="1" si="19"/>
        <v>95</v>
      </c>
      <c r="F138" s="55">
        <f t="shared" ca="1" si="20"/>
        <v>-5</v>
      </c>
      <c r="G138" s="49"/>
      <c r="H138" s="49">
        <f t="shared" ca="1" si="21"/>
        <v>93.9</v>
      </c>
      <c r="I138" s="63" t="str">
        <f t="shared" ca="1" si="22"/>
        <v>39</v>
      </c>
      <c r="J138" s="49" cm="1">
        <f t="array" aca="1" ref="J138" ca="1">+_xlfn.IFS(AND(I138&gt;="0",I138&lt;"25"),H138-(I138/10),AND(I138&gt;="25",I138&lt;"50"),H138+(5-(I138/10)),AND(I138&gt;="50",I138&lt;"75"),H138-((I138-50)/10),I138&gt;="75",H138+(10-(I138/10)))</f>
        <v>95</v>
      </c>
      <c r="K138" s="49">
        <f t="shared" ca="1" si="23"/>
        <v>5</v>
      </c>
      <c r="L138" s="49"/>
    </row>
    <row r="139" spans="1:12" ht="15.6" x14ac:dyDescent="0.3">
      <c r="A139" s="49"/>
      <c r="B139" s="54">
        <f ca="1">+'N° de Obs.'!M42</f>
        <v>85</v>
      </c>
      <c r="C139" s="59">
        <f ca="1">+'N° de Obs.'!N42</f>
        <v>4400</v>
      </c>
      <c r="D139" s="49">
        <f t="shared" ca="1" si="18"/>
        <v>93.43</v>
      </c>
      <c r="E139" s="59">
        <f t="shared" ca="1" si="19"/>
        <v>95</v>
      </c>
      <c r="F139" s="55">
        <f t="shared" ca="1" si="20"/>
        <v>-10</v>
      </c>
      <c r="G139" s="49"/>
      <c r="H139" s="49">
        <f t="shared" ca="1" si="21"/>
        <v>93.4</v>
      </c>
      <c r="I139" s="63" t="str">
        <f t="shared" ca="1" si="22"/>
        <v>34</v>
      </c>
      <c r="J139" s="49" cm="1">
        <f t="array" aca="1" ref="J139" ca="1">+_xlfn.IFS(AND(I139&gt;="0",I139&lt;"25"),H139-(I139/10),AND(I139&gt;="25",I139&lt;"50"),H139+(5-(I139/10)),AND(I139&gt;="50",I139&lt;"75"),H139-((I139-50)/10),I139&gt;="75",H139+(10-(I139/10)))</f>
        <v>95</v>
      </c>
      <c r="K139" s="49">
        <f t="shared" ca="1" si="23"/>
        <v>10</v>
      </c>
      <c r="L139" s="49"/>
    </row>
    <row r="140" spans="1:12" ht="15.6" x14ac:dyDescent="0.3">
      <c r="A140" s="49"/>
      <c r="B140" s="54">
        <f ca="1">+'N° de Obs.'!M43</f>
        <v>90</v>
      </c>
      <c r="C140" s="59">
        <f ca="1">+'N° de Obs.'!N43</f>
        <v>4320</v>
      </c>
      <c r="D140" s="49">
        <f t="shared" ca="1" si="18"/>
        <v>95.16</v>
      </c>
      <c r="E140" s="59">
        <f t="shared" ca="1" si="19"/>
        <v>95</v>
      </c>
      <c r="F140" s="55">
        <f t="shared" ca="1" si="20"/>
        <v>-5</v>
      </c>
      <c r="G140" s="49"/>
      <c r="H140" s="49">
        <f t="shared" ca="1" si="21"/>
        <v>95.2</v>
      </c>
      <c r="I140" s="63" t="str">
        <f t="shared" ca="1" si="22"/>
        <v>52</v>
      </c>
      <c r="J140" s="49" cm="1">
        <f t="array" aca="1" ref="J140" ca="1">+_xlfn.IFS(AND(I140&gt;="0",I140&lt;"25"),H140-(I140/10),AND(I140&gt;="25",I140&lt;"50"),H140+(5-(I140/10)),AND(I140&gt;="50",I140&lt;"75"),H140-((I140-50)/10),I140&gt;="75",H140+(10-(I140/10)))</f>
        <v>95</v>
      </c>
      <c r="K140" s="49">
        <f t="shared" ca="1" si="23"/>
        <v>5</v>
      </c>
      <c r="L140" s="49"/>
    </row>
    <row r="141" spans="1:12" ht="15.6" x14ac:dyDescent="0.3">
      <c r="A141" s="49"/>
      <c r="B141" s="54">
        <f ca="1">+'N° de Obs.'!M44</f>
        <v>85</v>
      </c>
      <c r="C141" s="59">
        <f ca="1">+'N° de Obs.'!N44</f>
        <v>4403</v>
      </c>
      <c r="D141" s="49">
        <f t="shared" ca="1" si="18"/>
        <v>93.37</v>
      </c>
      <c r="E141" s="59">
        <f t="shared" ca="1" si="19"/>
        <v>95</v>
      </c>
      <c r="F141" s="55">
        <f t="shared" ca="1" si="20"/>
        <v>-10</v>
      </c>
      <c r="G141" s="49"/>
      <c r="H141" s="49">
        <f t="shared" ca="1" si="21"/>
        <v>93.4</v>
      </c>
      <c r="I141" s="63" t="str">
        <f t="shared" ca="1" si="22"/>
        <v>34</v>
      </c>
      <c r="J141" s="49" cm="1">
        <f t="array" aca="1" ref="J141" ca="1">+_xlfn.IFS(AND(I141&gt;="0",I141&lt;"25"),H141-(I141/10),AND(I141&gt;="25",I141&lt;"50"),H141+(5-(I141/10)),AND(I141&gt;="50",I141&lt;"75"),H141-((I141-50)/10),I141&gt;="75",H141+(10-(I141/10)))</f>
        <v>95</v>
      </c>
      <c r="K141" s="49">
        <f t="shared" ca="1" si="23"/>
        <v>10</v>
      </c>
      <c r="L141" s="49"/>
    </row>
    <row r="142" spans="1:12" ht="15.6" x14ac:dyDescent="0.3">
      <c r="A142" s="49"/>
      <c r="B142" s="54">
        <f ca="1">+'N° de Obs.'!M45</f>
        <v>100</v>
      </c>
      <c r="C142" s="59">
        <f ca="1">+'N° de Obs.'!N45</f>
        <v>4368</v>
      </c>
      <c r="D142" s="49">
        <f t="shared" ca="1" si="18"/>
        <v>94.12</v>
      </c>
      <c r="E142" s="59">
        <f t="shared" ca="1" si="19"/>
        <v>95</v>
      </c>
      <c r="F142" s="55">
        <f t="shared" ca="1" si="20"/>
        <v>5</v>
      </c>
      <c r="G142" s="49"/>
      <c r="H142" s="49">
        <f t="shared" ca="1" si="21"/>
        <v>94.1</v>
      </c>
      <c r="I142" s="63" t="str">
        <f t="shared" ca="1" si="22"/>
        <v>41</v>
      </c>
      <c r="J142" s="49" cm="1">
        <f t="array" aca="1" ref="J142" ca="1">+_xlfn.IFS(AND(I142&gt;="0",I142&lt;"25"),H142-(I142/10),AND(I142&gt;="25",I142&lt;"50"),H142+(5-(I142/10)),AND(I142&gt;="50",I142&lt;"75"),H142-((I142-50)/10),I142&gt;="75",H142+(10-(I142/10)))</f>
        <v>95</v>
      </c>
      <c r="K142" s="49">
        <f t="shared" ca="1" si="23"/>
        <v>5</v>
      </c>
      <c r="L142" s="49"/>
    </row>
    <row r="143" spans="1:12" ht="15.6" x14ac:dyDescent="0.3">
      <c r="A143" s="49"/>
      <c r="B143" s="54">
        <f ca="1">+'N° de Obs.'!M46</f>
        <v>95</v>
      </c>
      <c r="C143" s="59">
        <f ca="1">+'N° de Obs.'!N46</f>
        <v>4383</v>
      </c>
      <c r="D143" s="49">
        <f t="shared" ca="1" si="18"/>
        <v>93.79</v>
      </c>
      <c r="E143" s="59">
        <f t="shared" ca="1" si="19"/>
        <v>95</v>
      </c>
      <c r="F143" s="55">
        <f t="shared" ca="1" si="20"/>
        <v>0</v>
      </c>
      <c r="G143" s="49"/>
      <c r="H143" s="49">
        <f t="shared" ca="1" si="21"/>
        <v>93.8</v>
      </c>
      <c r="I143" s="63" t="str">
        <f t="shared" ca="1" si="22"/>
        <v>38</v>
      </c>
      <c r="J143" s="49" cm="1">
        <f t="array" aca="1" ref="J143" ca="1">+_xlfn.IFS(AND(I143&gt;="0",I143&lt;"25"),H143-(I143/10),AND(I143&gt;="25",I143&lt;"50"),H143+(5-(I143/10)),AND(I143&gt;="50",I143&lt;"75"),H143-((I143-50)/10),I143&gt;="75",H143+(10-(I143/10)))</f>
        <v>95</v>
      </c>
      <c r="K143" s="49">
        <f t="shared" ca="1" si="23"/>
        <v>0</v>
      </c>
      <c r="L143" s="49"/>
    </row>
    <row r="144" spans="1:12" ht="15.6" x14ac:dyDescent="0.3">
      <c r="A144" s="49"/>
      <c r="B144" s="54">
        <f ca="1">+'N° de Obs.'!M47</f>
        <v>95</v>
      </c>
      <c r="C144" s="59">
        <f ca="1">+'N° de Obs.'!N47</f>
        <v>4233</v>
      </c>
      <c r="D144" s="49">
        <f t="shared" ca="1" si="18"/>
        <v>97.12</v>
      </c>
      <c r="E144" s="59">
        <f t="shared" ca="1" si="19"/>
        <v>95</v>
      </c>
      <c r="F144" s="55">
        <f t="shared" ca="1" si="20"/>
        <v>0</v>
      </c>
      <c r="G144" s="49"/>
      <c r="H144" s="49">
        <f t="shared" ca="1" si="21"/>
        <v>97.1</v>
      </c>
      <c r="I144" s="63" t="str">
        <f t="shared" ca="1" si="22"/>
        <v>71</v>
      </c>
      <c r="J144" s="49" cm="1">
        <f t="array" aca="1" ref="J144" ca="1">+_xlfn.IFS(AND(I144&gt;="0",I144&lt;"25"),H144-(I144/10),AND(I144&gt;="25",I144&lt;"50"),H144+(5-(I144/10)),AND(I144&gt;="50",I144&lt;"75"),H144-((I144-50)/10),I144&gt;="75",H144+(10-(I144/10)))</f>
        <v>95</v>
      </c>
      <c r="K144" s="49">
        <f t="shared" ca="1" si="23"/>
        <v>0</v>
      </c>
      <c r="L144" s="49"/>
    </row>
    <row r="145" spans="1:12" ht="15.6" x14ac:dyDescent="0.3">
      <c r="A145" s="49"/>
      <c r="B145" s="54">
        <f ca="1">+'N° de Obs.'!M48</f>
        <v>95</v>
      </c>
      <c r="C145" s="59">
        <f ca="1">+'N° de Obs.'!N48</f>
        <v>4246</v>
      </c>
      <c r="D145" s="49">
        <f t="shared" ca="1" si="18"/>
        <v>96.82</v>
      </c>
      <c r="E145" s="59">
        <f t="shared" ca="1" si="19"/>
        <v>95</v>
      </c>
      <c r="F145" s="55">
        <f t="shared" ca="1" si="20"/>
        <v>0</v>
      </c>
      <c r="G145" s="49"/>
      <c r="H145" s="49">
        <f t="shared" ca="1" si="21"/>
        <v>96.8</v>
      </c>
      <c r="I145" s="63" t="str">
        <f t="shared" ca="1" si="22"/>
        <v>68</v>
      </c>
      <c r="J145" s="49" cm="1">
        <f t="array" aca="1" ref="J145" ca="1">+_xlfn.IFS(AND(I145&gt;="0",I145&lt;"25"),H145-(I145/10),AND(I145&gt;="25",I145&lt;"50"),H145+(5-(I145/10)),AND(I145&gt;="50",I145&lt;"75"),H145-((I145-50)/10),I145&gt;="75",H145+(10-(I145/10)))</f>
        <v>95</v>
      </c>
      <c r="K145" s="49">
        <f t="shared" ca="1" si="23"/>
        <v>0</v>
      </c>
      <c r="L145" s="49"/>
    </row>
    <row r="146" spans="1:12" ht="15.6" x14ac:dyDescent="0.3">
      <c r="A146" s="49"/>
      <c r="B146" s="54">
        <f ca="1">+'N° de Obs.'!M49</f>
        <v>105</v>
      </c>
      <c r="C146" s="59">
        <f ca="1">+'N° de Obs.'!N49</f>
        <v>4398</v>
      </c>
      <c r="D146" s="49">
        <f t="shared" ca="1" si="18"/>
        <v>93.47</v>
      </c>
      <c r="E146" s="59">
        <f t="shared" ca="1" si="19"/>
        <v>95</v>
      </c>
      <c r="F146" s="55">
        <f t="shared" ca="1" si="20"/>
        <v>10</v>
      </c>
      <c r="G146" s="49"/>
      <c r="H146" s="49">
        <f t="shared" ca="1" si="21"/>
        <v>93.5</v>
      </c>
      <c r="I146" s="63" t="str">
        <f t="shared" ca="1" si="22"/>
        <v>35</v>
      </c>
      <c r="J146" s="49" cm="1">
        <f t="array" aca="1" ref="J146" ca="1">+_xlfn.IFS(AND(I146&gt;="0",I146&lt;"25"),H146-(I146/10),AND(I146&gt;="25",I146&lt;"50"),H146+(5-(I146/10)),AND(I146&gt;="50",I146&lt;"75"),H146-((I146-50)/10),I146&gt;="75",H146+(10-(I146/10)))</f>
        <v>95</v>
      </c>
      <c r="K146" s="49">
        <f t="shared" ca="1" si="23"/>
        <v>10</v>
      </c>
      <c r="L146" s="49"/>
    </row>
    <row r="147" spans="1:12" ht="15.6" x14ac:dyDescent="0.3">
      <c r="A147" s="49"/>
      <c r="B147" s="54">
        <f ca="1">+'N° de Obs.'!M50</f>
        <v>90</v>
      </c>
      <c r="C147" s="59">
        <f ca="1">+'N° de Obs.'!N50</f>
        <v>4279</v>
      </c>
      <c r="D147" s="49">
        <f t="shared" ca="1" si="18"/>
        <v>96.07</v>
      </c>
      <c r="E147" s="59">
        <f t="shared" ca="1" si="19"/>
        <v>95</v>
      </c>
      <c r="F147" s="55">
        <f t="shared" ca="1" si="20"/>
        <v>-5</v>
      </c>
      <c r="G147" s="49"/>
      <c r="H147" s="49">
        <f t="shared" ca="1" si="21"/>
        <v>96.1</v>
      </c>
      <c r="I147" s="63" t="str">
        <f t="shared" ca="1" si="22"/>
        <v>61</v>
      </c>
      <c r="J147" s="49" cm="1">
        <f t="array" aca="1" ref="J147" ca="1">+_xlfn.IFS(AND(I147&gt;="0",I147&lt;"25"),H147-(I147/10),AND(I147&gt;="25",I147&lt;"50"),H147+(5-(I147/10)),AND(I147&gt;="50",I147&lt;"75"),H147-((I147-50)/10),I147&gt;="75",H147+(10-(I147/10)))</f>
        <v>95</v>
      </c>
      <c r="K147" s="49">
        <f t="shared" ca="1" si="23"/>
        <v>5</v>
      </c>
      <c r="L147" s="49"/>
    </row>
    <row r="148" spans="1:12" ht="15.6" x14ac:dyDescent="0.3">
      <c r="A148" s="49"/>
      <c r="B148" s="54">
        <f ca="1">+'N° de Obs.'!M51</f>
        <v>100</v>
      </c>
      <c r="C148" s="59">
        <f ca="1">+'N° de Obs.'!N51</f>
        <v>4174</v>
      </c>
      <c r="D148" s="49">
        <f t="shared" ca="1" si="18"/>
        <v>98.49</v>
      </c>
      <c r="E148" s="59">
        <f t="shared" ca="1" si="19"/>
        <v>100</v>
      </c>
      <c r="F148" s="55">
        <f t="shared" ca="1" si="20"/>
        <v>0</v>
      </c>
      <c r="G148" s="49"/>
      <c r="H148" s="49">
        <f t="shared" ca="1" si="21"/>
        <v>98.5</v>
      </c>
      <c r="I148" s="63" t="str">
        <f t="shared" ca="1" si="22"/>
        <v>85</v>
      </c>
      <c r="J148" s="49" cm="1">
        <f t="array" aca="1" ref="J148" ca="1">+_xlfn.IFS(AND(I148&gt;="0",I148&lt;"25"),H148-(I148/10),AND(I148&gt;="25",I148&lt;"50"),H148+(5-(I148/10)),AND(I148&gt;="50",I148&lt;"75"),H148-((I148-50)/10),I148&gt;="75",H148+(10-(I148/10)))</f>
        <v>100</v>
      </c>
      <c r="K148" s="49">
        <f t="shared" ca="1" si="23"/>
        <v>0</v>
      </c>
      <c r="L148" s="49"/>
    </row>
    <row r="149" spans="1:12" ht="15.6" x14ac:dyDescent="0.3">
      <c r="A149" s="49"/>
      <c r="B149" s="54">
        <f ca="1">+'N° de Obs.'!M52</f>
        <v>95</v>
      </c>
      <c r="C149" s="59">
        <f ca="1">+'N° de Obs.'!N52</f>
        <v>4269</v>
      </c>
      <c r="D149" s="49">
        <f t="shared" ca="1" si="18"/>
        <v>96.3</v>
      </c>
      <c r="E149" s="59">
        <f t="shared" ca="1" si="19"/>
        <v>95</v>
      </c>
      <c r="F149" s="55">
        <f t="shared" ca="1" si="20"/>
        <v>0</v>
      </c>
      <c r="G149" s="49"/>
      <c r="H149" s="49">
        <f t="shared" ca="1" si="21"/>
        <v>96.3</v>
      </c>
      <c r="I149" s="63" t="str">
        <f t="shared" ca="1" si="22"/>
        <v>63</v>
      </c>
      <c r="J149" s="49" cm="1">
        <f t="array" aca="1" ref="J149" ca="1">+_xlfn.IFS(AND(I149&gt;="0",I149&lt;"25"),H149-(I149/10),AND(I149&gt;="25",I149&lt;"50"),H149+(5-(I149/10)),AND(I149&gt;="50",I149&lt;"75"),H149-((I149-50)/10),I149&gt;="75",H149+(10-(I149/10)))</f>
        <v>95</v>
      </c>
      <c r="K149" s="49">
        <f t="shared" ca="1" si="23"/>
        <v>0</v>
      </c>
      <c r="L149" s="49"/>
    </row>
    <row r="150" spans="1:12" ht="15.6" x14ac:dyDescent="0.3">
      <c r="A150" s="49"/>
      <c r="B150" s="54">
        <f ca="1">+'N° de Obs.'!M53</f>
        <v>95</v>
      </c>
      <c r="C150" s="60">
        <f ca="1">+'N° de Obs.'!N53</f>
        <v>4174</v>
      </c>
      <c r="D150" s="50">
        <f t="shared" ca="1" si="18"/>
        <v>98.49</v>
      </c>
      <c r="E150" s="60">
        <f t="shared" ca="1" si="19"/>
        <v>100</v>
      </c>
      <c r="F150" s="57">
        <f t="shared" ca="1" si="20"/>
        <v>-5</v>
      </c>
      <c r="G150" s="49"/>
      <c r="H150" s="49">
        <f t="shared" ca="1" si="21"/>
        <v>98.5</v>
      </c>
      <c r="I150" s="63" t="str">
        <f t="shared" ca="1" si="22"/>
        <v>85</v>
      </c>
      <c r="J150" s="49" cm="1">
        <f t="array" aca="1" ref="J150" ca="1">+_xlfn.IFS(AND(I150&gt;="0",I150&lt;"25"),H150-(I150/10),AND(I150&gt;="25",I150&lt;"50"),H150+(5-(I150/10)),AND(I150&gt;="50",I150&lt;"75"),H150-((I150-50)/10),I150&gt;="75",H150+(10-(I150/10)))</f>
        <v>100</v>
      </c>
      <c r="K150" s="49">
        <f t="shared" ca="1" si="23"/>
        <v>5</v>
      </c>
      <c r="L150" s="49"/>
    </row>
    <row r="151" spans="1:12" ht="15.6" x14ac:dyDescent="0.3">
      <c r="A151" s="49"/>
      <c r="B151" s="126" t="s">
        <v>89</v>
      </c>
      <c r="C151" s="127"/>
      <c r="D151" s="127"/>
      <c r="E151" s="127"/>
      <c r="F151" s="53">
        <f ca="1">+SUMIF(K131:K150,"&lt;=10",F131:F150)</f>
        <v>-5</v>
      </c>
      <c r="G151" s="49"/>
      <c r="H151" s="49"/>
      <c r="I151" s="49"/>
      <c r="J151" s="49"/>
      <c r="K151" s="49">
        <f ca="1">+COUNTIF(K131:K150,"&lt;=10")</f>
        <v>20</v>
      </c>
      <c r="L151" s="49"/>
    </row>
    <row r="152" spans="1:12" ht="15.6" x14ac:dyDescent="0.3">
      <c r="A152" s="49"/>
      <c r="B152" s="49"/>
      <c r="C152" s="49"/>
      <c r="D152" s="49"/>
      <c r="E152" s="49"/>
      <c r="F152" s="49"/>
      <c r="G152" s="49"/>
      <c r="H152" s="49"/>
      <c r="I152" s="49"/>
      <c r="J152" s="49"/>
      <c r="K152" s="49"/>
      <c r="L152" s="49"/>
    </row>
    <row r="153" spans="1:12" ht="15.6" x14ac:dyDescent="0.3">
      <c r="A153" s="49"/>
      <c r="B153" s="49">
        <v>100</v>
      </c>
      <c r="C153" s="49">
        <f ca="1">+ROUND(AVERAGE('N° de Obs.'!O34:O53),0)</f>
        <v>4111</v>
      </c>
      <c r="D153" s="49"/>
      <c r="E153" s="49"/>
      <c r="F153" s="49"/>
      <c r="G153" s="49"/>
      <c r="H153" s="49"/>
      <c r="I153" s="49"/>
      <c r="J153" s="49"/>
      <c r="K153" s="49"/>
      <c r="L153" s="49"/>
    </row>
    <row r="154" spans="1:12" ht="15.6" x14ac:dyDescent="0.3">
      <c r="A154" s="49"/>
      <c r="B154" s="49"/>
      <c r="C154" s="49"/>
      <c r="D154" s="50"/>
      <c r="E154" s="50"/>
      <c r="F154" s="49"/>
      <c r="G154" s="49"/>
      <c r="H154" s="49"/>
      <c r="I154" s="49"/>
      <c r="J154" s="49"/>
      <c r="K154" s="49"/>
      <c r="L154" s="49"/>
    </row>
    <row r="155" spans="1:12" ht="15.6" x14ac:dyDescent="0.3">
      <c r="A155" s="49"/>
      <c r="B155" s="49"/>
      <c r="C155" s="49"/>
      <c r="D155" s="48" t="s">
        <v>83</v>
      </c>
      <c r="E155" s="48" t="s">
        <v>84</v>
      </c>
      <c r="F155" s="49"/>
      <c r="G155" s="49"/>
      <c r="H155" s="49"/>
      <c r="I155" s="49"/>
      <c r="J155" s="49"/>
      <c r="K155" s="49"/>
      <c r="L155" s="49"/>
    </row>
    <row r="156" spans="1:12" ht="15.6" x14ac:dyDescent="0.3">
      <c r="A156" s="49"/>
      <c r="B156" s="49"/>
      <c r="C156" s="49"/>
      <c r="D156" s="59" t="s">
        <v>86</v>
      </c>
      <c r="E156" s="59" t="s">
        <v>25</v>
      </c>
      <c r="F156" s="49"/>
      <c r="G156" s="49"/>
      <c r="H156" s="49"/>
      <c r="I156" s="49"/>
      <c r="J156" s="49"/>
      <c r="K156" s="49"/>
      <c r="L156" s="49"/>
    </row>
    <row r="157" spans="1:12" ht="15.6" x14ac:dyDescent="0.3">
      <c r="A157" s="49"/>
      <c r="B157" s="49"/>
      <c r="C157" s="49"/>
      <c r="D157" s="59" t="s">
        <v>94</v>
      </c>
      <c r="E157" s="69">
        <v>100</v>
      </c>
      <c r="F157" s="49"/>
      <c r="G157" s="49"/>
      <c r="H157" s="49"/>
      <c r="I157" s="49"/>
      <c r="J157" s="49"/>
      <c r="K157" s="49"/>
      <c r="L157" s="49"/>
    </row>
    <row r="158" spans="1:12" ht="15.6" x14ac:dyDescent="0.3">
      <c r="A158" s="49"/>
      <c r="B158" s="49"/>
      <c r="C158" s="49"/>
      <c r="D158" s="59" t="s">
        <v>20</v>
      </c>
      <c r="E158" s="59">
        <f ca="1">+C153</f>
        <v>4111</v>
      </c>
      <c r="F158" s="49"/>
      <c r="G158" s="49"/>
      <c r="H158" s="49"/>
      <c r="I158" s="49"/>
      <c r="J158" s="49"/>
      <c r="K158" s="49"/>
      <c r="L158" s="49"/>
    </row>
    <row r="159" spans="1:12" ht="31.2" x14ac:dyDescent="0.3">
      <c r="A159" s="49"/>
      <c r="B159" s="49"/>
      <c r="C159" s="49"/>
      <c r="D159" s="70" t="s">
        <v>96</v>
      </c>
      <c r="E159" s="59">
        <f ca="1">+K151</f>
        <v>20</v>
      </c>
      <c r="F159" s="49"/>
      <c r="G159" s="49"/>
      <c r="H159" s="49"/>
      <c r="I159" s="49"/>
      <c r="J159" s="49"/>
      <c r="K159" s="49"/>
      <c r="L159" s="49"/>
    </row>
    <row r="160" spans="1:12" ht="15.6" x14ac:dyDescent="0.3">
      <c r="A160" s="49"/>
      <c r="B160" s="49"/>
      <c r="C160" s="49"/>
      <c r="D160" s="71" t="s">
        <v>93</v>
      </c>
      <c r="E160" s="60">
        <f ca="1">+F151</f>
        <v>-5</v>
      </c>
      <c r="F160" s="49"/>
      <c r="G160" s="49"/>
      <c r="H160" s="49"/>
      <c r="I160" s="49"/>
      <c r="J160" s="49"/>
      <c r="K160" s="49"/>
      <c r="L160" s="49"/>
    </row>
    <row r="161" spans="1:12" ht="31.2" x14ac:dyDescent="0.3">
      <c r="A161" s="49"/>
      <c r="B161" s="49"/>
      <c r="C161" s="49"/>
      <c r="D161" s="37" t="s">
        <v>95</v>
      </c>
      <c r="E161" s="58" t="str">
        <f ca="1">+CONCATENATE(ROUND((F151/K151*5)/5,2)," %")</f>
        <v>-0.25 %</v>
      </c>
      <c r="F161" s="49"/>
      <c r="G161" s="49"/>
      <c r="H161" s="49"/>
      <c r="I161" s="49"/>
      <c r="J161" s="49"/>
      <c r="K161" s="49"/>
      <c r="L161" s="49"/>
    </row>
    <row r="162" spans="1:12" ht="15.6" x14ac:dyDescent="0.3">
      <c r="A162" s="49"/>
      <c r="B162" s="49"/>
      <c r="C162" s="49"/>
      <c r="D162" s="49"/>
      <c r="E162" s="49"/>
      <c r="F162" s="49"/>
      <c r="G162" s="49"/>
      <c r="H162" s="49"/>
      <c r="I162" s="49"/>
      <c r="J162" s="49"/>
      <c r="K162" s="49"/>
      <c r="L162" s="49"/>
    </row>
    <row r="163" spans="1:12" ht="15.6" x14ac:dyDescent="0.3">
      <c r="A163" s="49"/>
      <c r="B163" s="49"/>
      <c r="C163" s="49"/>
      <c r="D163" s="49"/>
      <c r="E163" s="49"/>
      <c r="F163" s="49"/>
      <c r="G163" s="49"/>
      <c r="H163" s="49"/>
      <c r="I163" s="49"/>
      <c r="J163" s="49"/>
      <c r="K163" s="49"/>
      <c r="L163" s="49"/>
    </row>
    <row r="164" spans="1:12" ht="15.6" x14ac:dyDescent="0.3">
      <c r="A164" s="49"/>
      <c r="B164" s="49"/>
      <c r="C164" s="49"/>
      <c r="D164" s="49"/>
      <c r="E164" s="49"/>
      <c r="F164" s="49"/>
      <c r="G164" s="49"/>
      <c r="H164" s="49"/>
      <c r="I164" s="49"/>
      <c r="J164" s="49"/>
      <c r="K164" s="49"/>
      <c r="L164" s="49"/>
    </row>
    <row r="165" spans="1:12" ht="15.6" x14ac:dyDescent="0.3">
      <c r="A165" s="49"/>
      <c r="B165" s="49"/>
      <c r="C165" s="49"/>
      <c r="D165" s="49"/>
      <c r="E165" s="49"/>
      <c r="F165" s="49"/>
      <c r="G165" s="49"/>
      <c r="H165" s="49"/>
      <c r="I165" s="49"/>
      <c r="J165" s="49"/>
      <c r="K165" s="49"/>
      <c r="L165" s="49"/>
    </row>
    <row r="166" spans="1:12" ht="15.6" x14ac:dyDescent="0.3">
      <c r="A166" s="49"/>
      <c r="B166" s="49"/>
      <c r="C166" s="49"/>
      <c r="D166" s="49"/>
      <c r="E166" s="49"/>
      <c r="F166" s="49"/>
      <c r="G166" s="49"/>
      <c r="H166" s="49"/>
      <c r="I166" s="49"/>
      <c r="J166" s="49"/>
      <c r="K166" s="49"/>
      <c r="L166" s="49"/>
    </row>
    <row r="167" spans="1:12" ht="15.6" x14ac:dyDescent="0.3">
      <c r="A167" s="49"/>
      <c r="B167" s="49"/>
      <c r="C167" s="49"/>
      <c r="D167" s="49"/>
      <c r="E167" s="49"/>
      <c r="F167" s="49"/>
      <c r="G167" s="49"/>
      <c r="H167" s="49"/>
      <c r="I167" s="49"/>
      <c r="J167" s="49"/>
      <c r="K167" s="49"/>
      <c r="L167" s="49"/>
    </row>
    <row r="168" spans="1:12" ht="15.6" x14ac:dyDescent="0.3">
      <c r="A168" s="49"/>
      <c r="B168" s="49"/>
      <c r="C168" s="49"/>
      <c r="D168" s="49"/>
      <c r="E168" s="49"/>
      <c r="F168" s="49"/>
      <c r="G168" s="49"/>
      <c r="H168" s="49"/>
      <c r="I168" s="49"/>
      <c r="J168" s="49"/>
      <c r="K168" s="49"/>
      <c r="L168" s="49"/>
    </row>
    <row r="169" spans="1:12" ht="15.6" x14ac:dyDescent="0.3">
      <c r="A169" s="49"/>
      <c r="B169" s="49"/>
      <c r="C169" s="49"/>
      <c r="D169" s="49"/>
      <c r="E169" s="49"/>
      <c r="F169" s="49"/>
      <c r="G169" s="49"/>
      <c r="H169" s="49"/>
      <c r="I169" s="49"/>
      <c r="J169" s="49"/>
      <c r="K169" s="49"/>
      <c r="L169" s="49"/>
    </row>
  </sheetData>
  <mergeCells count="9">
    <mergeCell ref="B111:E111"/>
    <mergeCell ref="E127:F127"/>
    <mergeCell ref="B151:E151"/>
    <mergeCell ref="K32:M35"/>
    <mergeCell ref="E3:F3"/>
    <mergeCell ref="E45:F45"/>
    <mergeCell ref="B69:E69"/>
    <mergeCell ref="E87:F87"/>
    <mergeCell ref="B27:E27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BDDEB-56D5-421D-9936-AC18B67B43F4}">
  <dimension ref="A2:T254"/>
  <sheetViews>
    <sheetView topLeftCell="A104" zoomScaleNormal="100" workbookViewId="0">
      <selection activeCell="V12" sqref="V12"/>
    </sheetView>
  </sheetViews>
  <sheetFormatPr baseColWidth="10" defaultRowHeight="14.4" x14ac:dyDescent="0.3"/>
  <cols>
    <col min="6" max="6" width="11.6640625" customWidth="1"/>
    <col min="10" max="10" width="2.44140625" customWidth="1"/>
    <col min="16" max="16" width="2.77734375" bestFit="1" customWidth="1"/>
  </cols>
  <sheetData>
    <row r="2" spans="1:19" x14ac:dyDescent="0.3">
      <c r="D2" s="130" t="str">
        <f>+'Hoja de cronometraje'!K4</f>
        <v>Elemento P</v>
      </c>
      <c r="E2" s="131"/>
    </row>
    <row r="3" spans="1:19" s="35" customFormat="1" ht="15.6" x14ac:dyDescent="0.3">
      <c r="A3" s="49"/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</row>
    <row r="4" spans="1:19" ht="15.6" x14ac:dyDescent="0.3">
      <c r="A4" s="49"/>
      <c r="B4" s="72" t="s">
        <v>18</v>
      </c>
      <c r="C4" s="72" t="s">
        <v>19</v>
      </c>
      <c r="D4" s="72" t="s">
        <v>20</v>
      </c>
      <c r="E4" s="73" t="s">
        <v>108</v>
      </c>
      <c r="F4" s="73" t="s">
        <v>109</v>
      </c>
      <c r="G4" s="73" t="s">
        <v>110</v>
      </c>
      <c r="H4" s="73" t="s">
        <v>111</v>
      </c>
      <c r="I4" s="74" t="s">
        <v>85</v>
      </c>
      <c r="J4" s="74" t="s">
        <v>112</v>
      </c>
      <c r="K4" s="75">
        <f ca="1">ROUNDDOWN(H28,0)</f>
        <v>49</v>
      </c>
      <c r="L4" s="49"/>
      <c r="M4" s="49"/>
      <c r="N4" s="49"/>
      <c r="O4" s="49"/>
      <c r="P4" s="49"/>
      <c r="Q4" s="49"/>
      <c r="R4" s="35"/>
      <c r="S4" s="35"/>
    </row>
    <row r="5" spans="1:19" ht="15.6" x14ac:dyDescent="0.3">
      <c r="A5" s="49"/>
      <c r="B5" s="58">
        <f ca="1">+'N° de Obs.'!D6</f>
        <v>95</v>
      </c>
      <c r="C5" s="58">
        <f ca="1">+'N° de Obs.'!E6</f>
        <v>1276</v>
      </c>
      <c r="D5" s="58">
        <f ca="1">+'N° de Obs.'!F6</f>
        <v>1212.2</v>
      </c>
      <c r="E5" s="58">
        <f ca="1">IF(I5="","",IFERROR(F5*G5,""))</f>
        <v>0</v>
      </c>
      <c r="F5" s="58">
        <f ca="1">IF(I5="","",IFERROR(G5*H5,""))</f>
        <v>0</v>
      </c>
      <c r="G5" s="58">
        <f ca="1">IF(I5="","",ROW($V1)-1)</f>
        <v>0</v>
      </c>
      <c r="H5" s="58">
        <f ca="1">IF(I5="","",COUNTIF($D$5:$D$24,"&lt;="&amp;$J6))</f>
        <v>1</v>
      </c>
      <c r="I5" s="58">
        <f ca="1">ROUND(H27,0)</f>
        <v>994</v>
      </c>
      <c r="J5" s="56"/>
      <c r="K5" s="53" t="s">
        <v>29</v>
      </c>
      <c r="L5" s="49"/>
      <c r="M5" s="49"/>
      <c r="N5" s="58" t="s">
        <v>113</v>
      </c>
      <c r="O5" s="58">
        <f ca="1">F11/H11</f>
        <v>2.7</v>
      </c>
      <c r="P5" s="49"/>
      <c r="Q5" s="49"/>
      <c r="R5" s="35"/>
      <c r="S5" s="35"/>
    </row>
    <row r="6" spans="1:19" ht="15.6" x14ac:dyDescent="0.3">
      <c r="A6" s="49"/>
      <c r="B6" s="58">
        <f ca="1">+'N° de Obs.'!D7</f>
        <v>100</v>
      </c>
      <c r="C6" s="58">
        <f ca="1">+'N° de Obs.'!E7</f>
        <v>1106</v>
      </c>
      <c r="D6" s="58">
        <f ca="1">+'N° de Obs.'!F7</f>
        <v>1106</v>
      </c>
      <c r="E6" s="58">
        <f t="shared" ref="E6:E10" ca="1" si="0">IF(I6="","",IFERROR(F6*G6,""))</f>
        <v>2</v>
      </c>
      <c r="F6" s="58">
        <f t="shared" ref="F6:F10" ca="1" si="1">IF(I6="","",IFERROR(G6*H6,""))</f>
        <v>2</v>
      </c>
      <c r="G6" s="58">
        <f t="shared" ref="G6:G10" ca="1" si="2">IF(I6="","",ROW($V2)-1)</f>
        <v>1</v>
      </c>
      <c r="H6" s="58">
        <f ca="1">IF(I6="","",COUNTIFS($D$5:$D$24,"&lt;="&amp;$J7,$D$5:$D$24,"&gt;"&amp;$J6))</f>
        <v>2</v>
      </c>
      <c r="I6" s="58">
        <f ca="1">IFERROR(IF($I5+$K$4&lt;=$M$28,$I5+$K$4,""),"")</f>
        <v>1043</v>
      </c>
      <c r="J6" s="78">
        <f ca="1">IF(I5="","",IFERROR(($I5+$I6)/2,MAX($D$5:$D$24)))</f>
        <v>1018.5</v>
      </c>
      <c r="K6" s="53" t="s">
        <v>132</v>
      </c>
      <c r="L6" s="49"/>
      <c r="M6" s="49"/>
      <c r="N6" s="58" t="s">
        <v>114</v>
      </c>
      <c r="O6" s="58">
        <f ca="1">E11/H11</f>
        <v>9</v>
      </c>
      <c r="P6" s="49"/>
      <c r="Q6" s="49"/>
      <c r="R6" s="35"/>
      <c r="S6" s="35"/>
    </row>
    <row r="7" spans="1:19" ht="15.6" x14ac:dyDescent="0.3">
      <c r="A7" s="49"/>
      <c r="B7" s="58">
        <f ca="1">+'N° de Obs.'!D8</f>
        <v>95</v>
      </c>
      <c r="C7" s="58">
        <f ca="1">+'N° de Obs.'!E8</f>
        <v>1225</v>
      </c>
      <c r="D7" s="58">
        <f ca="1">+'N° de Obs.'!F8</f>
        <v>1163.75</v>
      </c>
      <c r="E7" s="58">
        <f t="shared" ca="1" si="0"/>
        <v>28</v>
      </c>
      <c r="F7" s="58">
        <f t="shared" ca="1" si="1"/>
        <v>14</v>
      </c>
      <c r="G7" s="58">
        <f t="shared" ca="1" si="2"/>
        <v>2</v>
      </c>
      <c r="H7" s="58">
        <f t="shared" ref="H7:H10" ca="1" si="3">IF(I7="","",COUNTIFS($D$5:$D$24,"&lt;="&amp;$J8,$D$5:$D$24,"&gt;"&amp;$J7))</f>
        <v>7</v>
      </c>
      <c r="I7" s="58">
        <f ca="1">IFERROR(IF($I6+$K$4&lt;=$M$28,$I6+$K$4,""),"")</f>
        <v>1092</v>
      </c>
      <c r="J7" s="78">
        <f t="shared" ref="J7:J11" ca="1" si="4">IF(I6="","",IFERROR(($I6+$I7)/2,MAX($D$5:$D$24)))</f>
        <v>1067.5</v>
      </c>
      <c r="K7" s="53" t="s">
        <v>133</v>
      </c>
      <c r="L7" s="49"/>
      <c r="M7" s="49"/>
      <c r="N7" s="49"/>
      <c r="O7" s="49"/>
      <c r="P7" s="49"/>
      <c r="Q7" s="49"/>
      <c r="R7" s="35"/>
      <c r="S7" s="35"/>
    </row>
    <row r="8" spans="1:19" ht="15.6" x14ac:dyDescent="0.3">
      <c r="A8" s="49"/>
      <c r="B8" s="58">
        <f ca="1">+'N° de Obs.'!D9</f>
        <v>90</v>
      </c>
      <c r="C8" s="58">
        <f ca="1">+'N° de Obs.'!E9</f>
        <v>1205</v>
      </c>
      <c r="D8" s="58">
        <f ca="1">+'N° de Obs.'!F9</f>
        <v>1084.5</v>
      </c>
      <c r="E8" s="58">
        <f t="shared" ca="1" si="0"/>
        <v>36</v>
      </c>
      <c r="F8" s="58">
        <f t="shared" ca="1" si="1"/>
        <v>12</v>
      </c>
      <c r="G8" s="58">
        <f t="shared" ca="1" si="2"/>
        <v>3</v>
      </c>
      <c r="H8" s="58">
        <f t="shared" ca="1" si="3"/>
        <v>4</v>
      </c>
      <c r="I8" s="58">
        <f ca="1">IFERROR(IF($I7+$K$4&lt;=$M$28,$I7+$K$4,""),"")</f>
        <v>1141</v>
      </c>
      <c r="J8" s="78">
        <f t="shared" ca="1" si="4"/>
        <v>1116.5</v>
      </c>
      <c r="K8" s="53" t="s">
        <v>134</v>
      </c>
      <c r="L8" s="49"/>
      <c r="M8" s="49"/>
      <c r="N8" s="58" t="s">
        <v>115</v>
      </c>
      <c r="O8" s="58">
        <f ca="1">H27+(K4*O5)</f>
        <v>1125.9000000000001</v>
      </c>
      <c r="P8" s="49"/>
      <c r="Q8" s="49"/>
      <c r="R8" s="35"/>
      <c r="S8" s="35"/>
    </row>
    <row r="9" spans="1:19" ht="15.6" x14ac:dyDescent="0.3">
      <c r="A9" s="49"/>
      <c r="B9" s="58">
        <f ca="1">+'N° de Obs.'!D10</f>
        <v>95</v>
      </c>
      <c r="C9" s="58">
        <f ca="1">+'N° de Obs.'!E10</f>
        <v>1117</v>
      </c>
      <c r="D9" s="58">
        <f ca="1">+'N° de Obs.'!F10</f>
        <v>1061.1500000000001</v>
      </c>
      <c r="E9" s="58">
        <f t="shared" ca="1" si="0"/>
        <v>64</v>
      </c>
      <c r="F9" s="58">
        <f t="shared" ca="1" si="1"/>
        <v>16</v>
      </c>
      <c r="G9" s="58">
        <f t="shared" ca="1" si="2"/>
        <v>4</v>
      </c>
      <c r="H9" s="58">
        <f t="shared" ca="1" si="3"/>
        <v>4</v>
      </c>
      <c r="I9" s="58">
        <f ca="1">IFERROR(IF($I8+$K$4&lt;=$M$28,$I8+$K$4,""),"")</f>
        <v>1190</v>
      </c>
      <c r="J9" s="78">
        <f t="shared" ca="1" si="4"/>
        <v>1165.5</v>
      </c>
      <c r="K9" s="53" t="s">
        <v>134</v>
      </c>
      <c r="L9" s="49"/>
      <c r="M9" s="49"/>
      <c r="N9" s="58" t="s">
        <v>116</v>
      </c>
      <c r="O9" s="79">
        <f ca="1">K4*(SQRT(O6-POWER(O5,2)))</f>
        <v>64.075814470047888</v>
      </c>
      <c r="P9" s="49"/>
      <c r="Q9" s="49"/>
      <c r="R9" s="35"/>
      <c r="S9" s="35"/>
    </row>
    <row r="10" spans="1:19" ht="16.2" thickBot="1" x14ac:dyDescent="0.35">
      <c r="A10" s="49"/>
      <c r="B10" s="58">
        <f ca="1">+'N° de Obs.'!D11</f>
        <v>85</v>
      </c>
      <c r="C10" s="58">
        <f ca="1">+'N° de Obs.'!E11</f>
        <v>1298</v>
      </c>
      <c r="D10" s="58">
        <f ca="1">+'N° de Obs.'!F11</f>
        <v>1103.3</v>
      </c>
      <c r="E10" s="58">
        <f t="shared" ca="1" si="0"/>
        <v>50</v>
      </c>
      <c r="F10" s="58">
        <f t="shared" ca="1" si="1"/>
        <v>10</v>
      </c>
      <c r="G10" s="58">
        <f t="shared" ca="1" si="2"/>
        <v>5</v>
      </c>
      <c r="H10" s="58">
        <f t="shared" ca="1" si="3"/>
        <v>2</v>
      </c>
      <c r="I10" s="58">
        <f ca="1">IFERROR(IF($I9+$K$4&lt;=$M$28,$I9+$K$4,""),"")</f>
        <v>1239</v>
      </c>
      <c r="J10" s="78">
        <f t="shared" ca="1" si="4"/>
        <v>1214.5</v>
      </c>
      <c r="K10" s="53" t="s">
        <v>132</v>
      </c>
      <c r="L10" s="49"/>
      <c r="M10" s="49"/>
      <c r="N10" s="49"/>
      <c r="O10" s="49"/>
      <c r="P10" s="49"/>
      <c r="Q10" s="49"/>
      <c r="R10" s="35"/>
      <c r="S10" s="35"/>
    </row>
    <row r="11" spans="1:19" ht="16.2" thickBot="1" x14ac:dyDescent="0.35">
      <c r="A11" s="49"/>
      <c r="B11" s="58">
        <f ca="1">+'N° de Obs.'!D12</f>
        <v>100</v>
      </c>
      <c r="C11" s="58">
        <f ca="1">+'N° de Obs.'!E12</f>
        <v>1149</v>
      </c>
      <c r="D11" s="58">
        <f ca="1">+'N° de Obs.'!F12</f>
        <v>1149</v>
      </c>
      <c r="E11" s="76">
        <f ca="1">SUM(E5:E17)</f>
        <v>180</v>
      </c>
      <c r="F11" s="77">
        <f ca="1">SUM(F5:F17)</f>
        <v>54</v>
      </c>
      <c r="G11" s="49"/>
      <c r="H11" s="77">
        <f ca="1">SUM(H5:H17)</f>
        <v>20</v>
      </c>
      <c r="I11" s="80" t="str">
        <f t="shared" ref="I11" ca="1" si="5">IFERROR(IF($I10+$K$4&lt;=$M$28,$I10+$K$4,""),"")</f>
        <v/>
      </c>
      <c r="J11" s="81">
        <f t="shared" ca="1" si="4"/>
        <v>1274.7</v>
      </c>
      <c r="K11" s="49"/>
      <c r="L11" s="49"/>
      <c r="M11" s="49"/>
      <c r="N11" s="58" t="s">
        <v>117</v>
      </c>
      <c r="O11" s="58">
        <f ca="1">(O9*100)/O8</f>
        <v>5.69107509281889</v>
      </c>
      <c r="P11" s="58" t="s">
        <v>8</v>
      </c>
      <c r="Q11" s="49"/>
      <c r="R11" s="35"/>
      <c r="S11" s="35"/>
    </row>
    <row r="12" spans="1:19" ht="15.6" x14ac:dyDescent="0.3">
      <c r="A12" s="49"/>
      <c r="B12" s="58">
        <f ca="1">+'N° de Obs.'!D13</f>
        <v>90</v>
      </c>
      <c r="C12" s="58">
        <f ca="1">+'N° de Obs.'!E13</f>
        <v>1217</v>
      </c>
      <c r="D12" s="58">
        <f ca="1">+'N° de Obs.'!F13</f>
        <v>1095.3</v>
      </c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35"/>
      <c r="S12" s="35"/>
    </row>
    <row r="13" spans="1:19" ht="15.6" x14ac:dyDescent="0.3">
      <c r="A13" s="49"/>
      <c r="B13" s="58">
        <f ca="1">+'N° de Obs.'!D14</f>
        <v>90</v>
      </c>
      <c r="C13" s="58">
        <f ca="1">+'N° de Obs.'!E14</f>
        <v>1198</v>
      </c>
      <c r="D13" s="58">
        <f ca="1">+'N° de Obs.'!F14</f>
        <v>1078.2</v>
      </c>
      <c r="E13" s="49"/>
      <c r="F13" s="49"/>
      <c r="G13" s="49"/>
      <c r="H13" s="49"/>
      <c r="I13" s="49"/>
      <c r="J13" s="49"/>
      <c r="K13" s="49"/>
      <c r="L13" s="49"/>
      <c r="M13" s="49"/>
      <c r="N13" s="133" t="str">
        <f ca="1">IF(O11&lt;6,"Se puede continuar con el estudio","No se puede continuar con el estudio")</f>
        <v>Se puede continuar con el estudio</v>
      </c>
      <c r="O13" s="133"/>
      <c r="P13" s="49"/>
      <c r="Q13" s="49"/>
      <c r="R13" s="35"/>
      <c r="S13" s="35"/>
    </row>
    <row r="14" spans="1:19" ht="15.6" x14ac:dyDescent="0.3">
      <c r="A14" s="49"/>
      <c r="B14" s="58">
        <f ca="1">+'N° de Obs.'!D15</f>
        <v>95</v>
      </c>
      <c r="C14" s="58">
        <f ca="1">+'N° de Obs.'!E15</f>
        <v>1145</v>
      </c>
      <c r="D14" s="58">
        <f ca="1">+'N° de Obs.'!F15</f>
        <v>1087.75</v>
      </c>
      <c r="E14" s="49"/>
      <c r="F14" s="49"/>
      <c r="G14" s="49"/>
      <c r="H14" s="49"/>
      <c r="I14" s="49"/>
      <c r="J14" s="49"/>
      <c r="K14" s="49"/>
      <c r="L14" s="49"/>
      <c r="M14" s="49"/>
      <c r="N14" s="133"/>
      <c r="O14" s="133"/>
      <c r="P14" s="49"/>
      <c r="Q14" s="49"/>
      <c r="R14" s="35"/>
      <c r="S14" s="35"/>
    </row>
    <row r="15" spans="1:19" ht="15.6" x14ac:dyDescent="0.3">
      <c r="A15" s="49"/>
      <c r="B15" s="58">
        <f ca="1">+'N° de Obs.'!D16</f>
        <v>100</v>
      </c>
      <c r="C15" s="58">
        <f ca="1">+'N° de Obs.'!E16</f>
        <v>1246</v>
      </c>
      <c r="D15" s="58">
        <f ca="1">+'N° de Obs.'!F16</f>
        <v>1246</v>
      </c>
      <c r="E15" s="49"/>
      <c r="F15" s="49"/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35"/>
      <c r="S15" s="35"/>
    </row>
    <row r="16" spans="1:19" ht="15.6" x14ac:dyDescent="0.3">
      <c r="A16" s="49"/>
      <c r="B16" s="58">
        <f ca="1">+'N° de Obs.'!D17</f>
        <v>90</v>
      </c>
      <c r="C16" s="58">
        <f ca="1">+'N° de Obs.'!E17</f>
        <v>1104</v>
      </c>
      <c r="D16" s="58">
        <f ca="1">+'N° de Obs.'!F17</f>
        <v>993.6</v>
      </c>
      <c r="E16" s="49"/>
      <c r="F16" s="49"/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35"/>
      <c r="S16" s="35"/>
    </row>
    <row r="17" spans="1:19" ht="15.6" x14ac:dyDescent="0.3">
      <c r="A17" s="49"/>
      <c r="B17" s="58">
        <f ca="1">+'N° de Obs.'!D18</f>
        <v>90</v>
      </c>
      <c r="C17" s="58">
        <f ca="1">+'N° de Obs.'!E18</f>
        <v>1290</v>
      </c>
      <c r="D17" s="58">
        <f ca="1">+'N° de Obs.'!F18</f>
        <v>1161</v>
      </c>
      <c r="E17" s="49"/>
      <c r="F17" s="49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35"/>
      <c r="S17" s="35"/>
    </row>
    <row r="18" spans="1:19" ht="15.6" x14ac:dyDescent="0.3">
      <c r="A18" s="49"/>
      <c r="B18" s="58">
        <f ca="1">+'N° de Obs.'!D19</f>
        <v>95</v>
      </c>
      <c r="C18" s="58">
        <f ca="1">+'N° de Obs.'!E19</f>
        <v>1265</v>
      </c>
      <c r="D18" s="58">
        <f ca="1">+'N° de Obs.'!F19</f>
        <v>1201.75</v>
      </c>
      <c r="E18" s="49"/>
      <c r="F18" s="49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35"/>
      <c r="S18" s="35"/>
    </row>
    <row r="19" spans="1:19" ht="15.6" x14ac:dyDescent="0.3">
      <c r="A19" s="49"/>
      <c r="B19" s="58">
        <f ca="1">+'N° de Obs.'!D20</f>
        <v>90</v>
      </c>
      <c r="C19" s="58">
        <f ca="1">+'N° de Obs.'!E20</f>
        <v>1179</v>
      </c>
      <c r="D19" s="58">
        <f ca="1">+'N° de Obs.'!F20</f>
        <v>1061.0999999999999</v>
      </c>
      <c r="E19" s="49"/>
      <c r="F19" s="49"/>
      <c r="G19" s="49"/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35"/>
      <c r="S19" s="35"/>
    </row>
    <row r="20" spans="1:19" ht="15.6" x14ac:dyDescent="0.3">
      <c r="A20" s="49"/>
      <c r="B20" s="58">
        <f ca="1">+'N° de Obs.'!D21</f>
        <v>85</v>
      </c>
      <c r="C20" s="58">
        <f ca="1">+'N° de Obs.'!E21</f>
        <v>1256</v>
      </c>
      <c r="D20" s="58">
        <f ca="1">+'N° de Obs.'!F21</f>
        <v>1067.5999999999999</v>
      </c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35"/>
      <c r="S20" s="35"/>
    </row>
    <row r="21" spans="1:19" ht="15.6" x14ac:dyDescent="0.3">
      <c r="A21" s="49"/>
      <c r="B21" s="58">
        <f ca="1">+'N° de Obs.'!D22</f>
        <v>105</v>
      </c>
      <c r="C21" s="58">
        <f ca="1">+'N° de Obs.'!E22</f>
        <v>1214</v>
      </c>
      <c r="D21" s="58">
        <f ca="1">+'N° de Obs.'!F22</f>
        <v>1274.7</v>
      </c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35"/>
      <c r="S21" s="35"/>
    </row>
    <row r="22" spans="1:19" ht="15.6" x14ac:dyDescent="0.3">
      <c r="A22" s="49"/>
      <c r="B22" s="58">
        <f ca="1">+'N° de Obs.'!D23</f>
        <v>90</v>
      </c>
      <c r="C22" s="58">
        <f ca="1">+'N° de Obs.'!E23</f>
        <v>1296</v>
      </c>
      <c r="D22" s="58">
        <f ca="1">+'N° de Obs.'!F23</f>
        <v>1166.4000000000001</v>
      </c>
      <c r="E22" s="49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35"/>
      <c r="S22" s="35"/>
    </row>
    <row r="23" spans="1:19" ht="15.6" x14ac:dyDescent="0.3">
      <c r="A23" s="49"/>
      <c r="B23" s="58">
        <f ca="1">+'N° de Obs.'!D24</f>
        <v>95</v>
      </c>
      <c r="C23" s="58">
        <f ca="1">+'N° de Obs.'!E24</f>
        <v>1202</v>
      </c>
      <c r="D23" s="58">
        <f ca="1">+'N° de Obs.'!F24</f>
        <v>1141.9000000000001</v>
      </c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35"/>
      <c r="S23" s="35"/>
    </row>
    <row r="24" spans="1:19" ht="15.6" x14ac:dyDescent="0.3">
      <c r="A24" s="49"/>
      <c r="B24" s="58">
        <f ca="1">+'N° de Obs.'!D25</f>
        <v>105</v>
      </c>
      <c r="C24" s="58">
        <f ca="1">+'N° de Obs.'!E25</f>
        <v>1132</v>
      </c>
      <c r="D24" s="58">
        <f ca="1">+'N° de Obs.'!F25</f>
        <v>1188.5999999999999</v>
      </c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35"/>
      <c r="S24" s="35"/>
    </row>
    <row r="25" spans="1:19" ht="15.6" x14ac:dyDescent="0.3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35"/>
      <c r="S25" s="35"/>
    </row>
    <row r="26" spans="1:19" ht="15.6" x14ac:dyDescent="0.3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35"/>
      <c r="S26" s="35"/>
    </row>
    <row r="27" spans="1:19" ht="15.6" x14ac:dyDescent="0.3">
      <c r="A27" s="49"/>
      <c r="B27" s="49"/>
      <c r="C27" s="49"/>
      <c r="D27" s="58" t="s">
        <v>23</v>
      </c>
      <c r="E27" s="58">
        <f ca="1">COUNTA(C5:C24)</f>
        <v>20</v>
      </c>
      <c r="F27" s="49"/>
      <c r="G27" s="49"/>
      <c r="H27" s="58">
        <f ca="1">MIN(D5:D24)</f>
        <v>993.6</v>
      </c>
      <c r="I27" s="52">
        <v>100</v>
      </c>
      <c r="J27" s="53" t="s">
        <v>8</v>
      </c>
      <c r="K27" s="49"/>
      <c r="L27" s="58" t="s">
        <v>118</v>
      </c>
      <c r="M27" s="58">
        <f ca="1">ROUND(MIN(D5:D24),0)</f>
        <v>994</v>
      </c>
      <c r="N27" s="49"/>
      <c r="O27" s="49"/>
      <c r="P27" s="49"/>
      <c r="Q27" s="49"/>
      <c r="R27" s="35"/>
      <c r="S27" s="35"/>
    </row>
    <row r="28" spans="1:19" ht="15.6" x14ac:dyDescent="0.3">
      <c r="A28" s="49"/>
      <c r="B28" s="49"/>
      <c r="C28" s="49"/>
      <c r="D28" s="49"/>
      <c r="E28" s="49"/>
      <c r="F28" s="49"/>
      <c r="G28" s="49"/>
      <c r="H28" s="60">
        <f ca="1">(I28*H27)/I27</f>
        <v>49.68</v>
      </c>
      <c r="I28" s="56">
        <v>5</v>
      </c>
      <c r="J28" s="57" t="s">
        <v>8</v>
      </c>
      <c r="K28" s="49"/>
      <c r="L28" s="58" t="s">
        <v>119</v>
      </c>
      <c r="M28" s="58">
        <f ca="1">ROUND(MAX(D5:D24),0)</f>
        <v>1275</v>
      </c>
      <c r="N28" s="49"/>
      <c r="O28" s="49"/>
      <c r="P28" s="49"/>
      <c r="Q28" s="49"/>
      <c r="R28" s="35"/>
      <c r="S28" s="35"/>
    </row>
    <row r="29" spans="1:19" ht="15.6" x14ac:dyDescent="0.3">
      <c r="A29" s="49"/>
      <c r="B29" s="134" t="s">
        <v>24</v>
      </c>
      <c r="C29" s="134"/>
      <c r="D29" s="134"/>
      <c r="E29" s="58">
        <f ca="1">ROUND(SUM(D5:D24)/E27,0)</f>
        <v>1132</v>
      </c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35"/>
      <c r="S29" s="35"/>
    </row>
    <row r="30" spans="1:19" ht="15.6" x14ac:dyDescent="0.3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35"/>
      <c r="S30" s="35"/>
    </row>
    <row r="31" spans="1:19" ht="15.6" x14ac:dyDescent="0.3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35"/>
      <c r="S31" s="35"/>
    </row>
    <row r="32" spans="1:19" ht="15.6" x14ac:dyDescent="0.3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35"/>
      <c r="S32" s="35"/>
    </row>
    <row r="33" spans="1:20" ht="15.6" x14ac:dyDescent="0.3">
      <c r="A33" s="40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35"/>
      <c r="S33" s="35"/>
    </row>
    <row r="34" spans="1:20" ht="15.6" x14ac:dyDescent="0.3">
      <c r="A34" s="40"/>
      <c r="B34" s="40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</row>
    <row r="35" spans="1:20" ht="15.6" x14ac:dyDescent="0.3">
      <c r="A35" s="40"/>
      <c r="B35" s="40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</row>
    <row r="36" spans="1:20" ht="15.6" x14ac:dyDescent="0.3">
      <c r="A36" s="40"/>
      <c r="B36" s="40"/>
      <c r="C36" s="40"/>
      <c r="D36" s="135" t="str">
        <f>+'Hoja de cronometraje'!N4</f>
        <v>Elemento M</v>
      </c>
      <c r="E36" s="136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</row>
    <row r="37" spans="1:20" s="35" customFormat="1" ht="15.6" x14ac:dyDescent="0.3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</row>
    <row r="38" spans="1:20" ht="15.6" x14ac:dyDescent="0.3">
      <c r="A38" s="49"/>
      <c r="B38" s="72" t="s">
        <v>18</v>
      </c>
      <c r="C38" s="72" t="s">
        <v>19</v>
      </c>
      <c r="D38" s="72" t="s">
        <v>20</v>
      </c>
      <c r="E38" s="73" t="s">
        <v>108</v>
      </c>
      <c r="F38" s="73" t="s">
        <v>109</v>
      </c>
      <c r="G38" s="73" t="s">
        <v>110</v>
      </c>
      <c r="H38" s="73" t="s">
        <v>111</v>
      </c>
      <c r="I38" s="74" t="s">
        <v>85</v>
      </c>
      <c r="J38" s="74" t="s">
        <v>112</v>
      </c>
      <c r="K38" s="75">
        <f ca="1">ROUNDDOWN(H62,0)</f>
        <v>116</v>
      </c>
      <c r="L38" s="49"/>
      <c r="M38" s="49"/>
      <c r="N38" s="49"/>
      <c r="O38" s="49"/>
      <c r="P38" s="49"/>
      <c r="Q38" s="49"/>
      <c r="R38" s="35"/>
      <c r="S38" s="35"/>
      <c r="T38" s="35"/>
    </row>
    <row r="39" spans="1:20" ht="15.6" x14ac:dyDescent="0.3">
      <c r="A39" s="49"/>
      <c r="B39" s="58">
        <f ca="1">+'N° de Obs.'!M6</f>
        <v>100</v>
      </c>
      <c r="C39" s="58">
        <f ca="1">+'N° de Obs.'!N6</f>
        <v>2833</v>
      </c>
      <c r="D39" s="58">
        <f ca="1">+'N° de Obs.'!O6</f>
        <v>2833</v>
      </c>
      <c r="E39" s="58">
        <f ca="1">IF(I39="","",IFERROR(F39*G39,""))</f>
        <v>0</v>
      </c>
      <c r="F39" s="58">
        <f ca="1">IF(I39="","",IFERROR(G39*H39,""))</f>
        <v>0</v>
      </c>
      <c r="G39" s="58">
        <f ca="1">IF(I39="","",ROW($V1)-1)</f>
        <v>0</v>
      </c>
      <c r="H39" s="58">
        <f ca="1">IF(I39="","",COUNTIF($D$39:$D$58,"&lt;="&amp;$J40))</f>
        <v>2</v>
      </c>
      <c r="I39" s="58">
        <f ca="1">ROUND(H61,0)</f>
        <v>2332</v>
      </c>
      <c r="J39" s="56"/>
      <c r="K39" s="53" t="s">
        <v>132</v>
      </c>
      <c r="L39" s="49"/>
      <c r="M39" s="49"/>
      <c r="N39" s="58" t="s">
        <v>113</v>
      </c>
      <c r="O39" s="58">
        <f ca="1">F44/H44</f>
        <v>2.7</v>
      </c>
      <c r="P39" s="49"/>
      <c r="Q39" s="49"/>
      <c r="R39" s="35"/>
      <c r="S39" s="35"/>
    </row>
    <row r="40" spans="1:20" ht="15.6" x14ac:dyDescent="0.3">
      <c r="A40" s="49"/>
      <c r="B40" s="58">
        <f ca="1">+'N° de Obs.'!M7</f>
        <v>105</v>
      </c>
      <c r="C40" s="58">
        <f ca="1">+'N° de Obs.'!N7</f>
        <v>2761</v>
      </c>
      <c r="D40" s="58">
        <f ca="1">+'N° de Obs.'!O7</f>
        <v>2899.05</v>
      </c>
      <c r="E40" s="58">
        <f t="shared" ref="E40:E43" ca="1" si="6">IF(I40="","",IFERROR(F40*G40,""))</f>
        <v>2</v>
      </c>
      <c r="F40" s="58">
        <f t="shared" ref="F40:F43" ca="1" si="7">IF(I40="","",IFERROR(G40*H40,""))</f>
        <v>2</v>
      </c>
      <c r="G40" s="58">
        <f t="shared" ref="G40:G43" ca="1" si="8">IF(I40="","",ROW($V2)-1)</f>
        <v>1</v>
      </c>
      <c r="H40" s="58">
        <f ca="1">IF(I40="","",COUNTIFS($D$39:$D$58,"&lt;="&amp;$J41,$D$39:$D$58,"&gt;"&amp;$J40))</f>
        <v>2</v>
      </c>
      <c r="I40" s="58">
        <f ca="1">IFERROR(IF($I39+$K$38&lt;=$M$62,$I39+$K$38,""),"")</f>
        <v>2448</v>
      </c>
      <c r="J40" s="78">
        <f ca="1">IF(I39="","",IFERROR(($I39+$I40)/2,MAX($D$39:$D$58)))</f>
        <v>2390</v>
      </c>
      <c r="K40" s="53" t="s">
        <v>132</v>
      </c>
      <c r="L40" s="49"/>
      <c r="M40" s="49"/>
      <c r="N40" s="58" t="s">
        <v>114</v>
      </c>
      <c r="O40" s="58">
        <f ca="1">E44/H44</f>
        <v>9.1</v>
      </c>
      <c r="P40" s="49"/>
      <c r="Q40" s="49"/>
      <c r="R40" s="35"/>
      <c r="S40" s="35"/>
    </row>
    <row r="41" spans="1:20" ht="15.6" x14ac:dyDescent="0.3">
      <c r="A41" s="49"/>
      <c r="B41" s="58">
        <f ca="1">+'N° de Obs.'!M8</f>
        <v>95</v>
      </c>
      <c r="C41" s="58">
        <f ca="1">+'N° de Obs.'!N8</f>
        <v>2819</v>
      </c>
      <c r="D41" s="58">
        <f ca="1">+'N° de Obs.'!O8</f>
        <v>2678.05</v>
      </c>
      <c r="E41" s="58">
        <f t="shared" ca="1" si="6"/>
        <v>16</v>
      </c>
      <c r="F41" s="58">
        <f t="shared" ca="1" si="7"/>
        <v>8</v>
      </c>
      <c r="G41" s="58">
        <f t="shared" ca="1" si="8"/>
        <v>2</v>
      </c>
      <c r="H41" s="58">
        <f t="shared" ref="H41:H43" ca="1" si="9">IF(I41="","",COUNTIFS($D$39:$D$58,"&lt;="&amp;$J42,$D$39:$D$58,"&gt;"&amp;$J41))</f>
        <v>4</v>
      </c>
      <c r="I41" s="58">
        <f t="shared" ref="I41:I44" ca="1" si="10">IFERROR(IF($I40+$K$38&lt;=$M$62,$I40+$K$38,""),"")</f>
        <v>2564</v>
      </c>
      <c r="J41" s="78">
        <f t="shared" ref="J41:J44" ca="1" si="11">IF(I40="","",IFERROR(($I40+$I41)/2,MAX($D$39:$D$58)))</f>
        <v>2506</v>
      </c>
      <c r="K41" s="53" t="s">
        <v>134</v>
      </c>
      <c r="L41" s="49"/>
      <c r="M41" s="49"/>
      <c r="N41" s="49"/>
      <c r="O41" s="49"/>
      <c r="P41" s="49"/>
      <c r="Q41" s="49"/>
      <c r="R41" s="35"/>
      <c r="S41" s="35"/>
    </row>
    <row r="42" spans="1:20" ht="15.6" x14ac:dyDescent="0.3">
      <c r="A42" s="49"/>
      <c r="B42" s="58">
        <f ca="1">+'N° de Obs.'!M9</f>
        <v>85</v>
      </c>
      <c r="C42" s="58">
        <f ca="1">+'N° de Obs.'!N9</f>
        <v>2743</v>
      </c>
      <c r="D42" s="58">
        <f ca="1">+'N° de Obs.'!O9</f>
        <v>2331.5500000000002</v>
      </c>
      <c r="E42" s="58">
        <f t="shared" ca="1" si="6"/>
        <v>36</v>
      </c>
      <c r="F42" s="58">
        <f t="shared" ca="1" si="7"/>
        <v>12</v>
      </c>
      <c r="G42" s="58">
        <f t="shared" ca="1" si="8"/>
        <v>3</v>
      </c>
      <c r="H42" s="58">
        <f t="shared" ca="1" si="9"/>
        <v>4</v>
      </c>
      <c r="I42" s="58">
        <f t="shared" ca="1" si="10"/>
        <v>2680</v>
      </c>
      <c r="J42" s="78">
        <f t="shared" ca="1" si="11"/>
        <v>2622</v>
      </c>
      <c r="K42" s="53" t="s">
        <v>134</v>
      </c>
      <c r="L42" s="49"/>
      <c r="M42" s="49"/>
      <c r="N42" s="58" t="s">
        <v>115</v>
      </c>
      <c r="O42" s="58">
        <f ca="1">H61+(K38*O39)</f>
        <v>2644.75</v>
      </c>
      <c r="P42" s="49"/>
      <c r="Q42" s="49"/>
      <c r="R42" s="35"/>
      <c r="S42" s="35"/>
    </row>
    <row r="43" spans="1:20" ht="16.2" thickBot="1" x14ac:dyDescent="0.35">
      <c r="A43" s="49"/>
      <c r="B43" s="58">
        <f ca="1">+'N° de Obs.'!M10</f>
        <v>95</v>
      </c>
      <c r="C43" s="58">
        <f ca="1">+'N° de Obs.'!N10</f>
        <v>2729</v>
      </c>
      <c r="D43" s="58">
        <f ca="1">+'N° de Obs.'!O10</f>
        <v>2592.5500000000002</v>
      </c>
      <c r="E43" s="58">
        <f t="shared" ca="1" si="6"/>
        <v>128</v>
      </c>
      <c r="F43" s="58">
        <f t="shared" ca="1" si="7"/>
        <v>32</v>
      </c>
      <c r="G43" s="58">
        <f t="shared" ca="1" si="8"/>
        <v>4</v>
      </c>
      <c r="H43" s="58">
        <f t="shared" ca="1" si="9"/>
        <v>8</v>
      </c>
      <c r="I43" s="58">
        <f t="shared" ca="1" si="10"/>
        <v>2796</v>
      </c>
      <c r="J43" s="78">
        <f t="shared" ca="1" si="11"/>
        <v>2738</v>
      </c>
      <c r="K43" s="53" t="s">
        <v>135</v>
      </c>
      <c r="L43" s="49"/>
      <c r="M43" s="49"/>
      <c r="N43" s="58" t="s">
        <v>116</v>
      </c>
      <c r="O43" s="79">
        <f ca="1">K38*(SQRT(O40-POWER(O39,2)))</f>
        <v>156.06203894605497</v>
      </c>
      <c r="P43" s="49"/>
      <c r="Q43" s="49"/>
      <c r="R43" s="35"/>
      <c r="S43" s="35"/>
    </row>
    <row r="44" spans="1:20" ht="16.2" thickBot="1" x14ac:dyDescent="0.35">
      <c r="A44" s="49"/>
      <c r="B44" s="58">
        <f ca="1">+'N° de Obs.'!M11</f>
        <v>100</v>
      </c>
      <c r="C44" s="58">
        <f ca="1">+'N° de Obs.'!N11</f>
        <v>2745</v>
      </c>
      <c r="D44" s="58">
        <f ca="1">+'N° de Obs.'!O11</f>
        <v>2745</v>
      </c>
      <c r="E44" s="76">
        <f ca="1">SUM(E39:E51)</f>
        <v>182</v>
      </c>
      <c r="F44" s="77">
        <f ca="1">SUM(F39:F51)</f>
        <v>54</v>
      </c>
      <c r="G44" s="49"/>
      <c r="H44" s="77">
        <f ca="1">SUM(H39:H51)</f>
        <v>20</v>
      </c>
      <c r="I44" s="80" t="str">
        <f t="shared" ca="1" si="10"/>
        <v/>
      </c>
      <c r="J44" s="81">
        <f t="shared" ca="1" si="11"/>
        <v>2903.25</v>
      </c>
      <c r="K44" s="49"/>
      <c r="L44" s="49"/>
      <c r="M44" s="49"/>
      <c r="N44" s="49"/>
      <c r="O44" s="49"/>
      <c r="P44" s="49"/>
      <c r="Q44" s="49"/>
      <c r="R44" s="35"/>
      <c r="S44" s="35"/>
    </row>
    <row r="45" spans="1:20" ht="15.6" x14ac:dyDescent="0.3">
      <c r="A45" s="49"/>
      <c r="B45" s="58">
        <f ca="1">+'N° de Obs.'!M12</f>
        <v>105</v>
      </c>
      <c r="C45" s="58">
        <f ca="1">+'N° de Obs.'!N12</f>
        <v>2709</v>
      </c>
      <c r="D45" s="58">
        <f ca="1">+'N° de Obs.'!O12</f>
        <v>2844.45</v>
      </c>
      <c r="E45" s="49"/>
      <c r="F45" s="49"/>
      <c r="G45" s="49"/>
      <c r="H45" s="49"/>
      <c r="I45" s="49"/>
      <c r="J45" s="49"/>
      <c r="K45" s="49"/>
      <c r="L45" s="49"/>
      <c r="M45" s="49"/>
      <c r="N45" s="58" t="s">
        <v>117</v>
      </c>
      <c r="O45" s="58">
        <f ca="1">(O43*100)/O42</f>
        <v>5.9008238565480653</v>
      </c>
      <c r="P45" s="58" t="s">
        <v>8</v>
      </c>
      <c r="Q45" s="49"/>
      <c r="R45" s="35"/>
      <c r="S45" s="35"/>
    </row>
    <row r="46" spans="1:20" ht="15.6" x14ac:dyDescent="0.3">
      <c r="A46" s="49"/>
      <c r="B46" s="58">
        <f ca="1">+'N° de Obs.'!M13</f>
        <v>95</v>
      </c>
      <c r="C46" s="58">
        <f ca="1">+'N° de Obs.'!N13</f>
        <v>2891</v>
      </c>
      <c r="D46" s="58">
        <f ca="1">+'N° de Obs.'!O13</f>
        <v>2746.45</v>
      </c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35"/>
      <c r="S46" s="35"/>
    </row>
    <row r="47" spans="1:20" ht="15.6" x14ac:dyDescent="0.3">
      <c r="A47" s="49"/>
      <c r="B47" s="58">
        <f ca="1">+'N° de Obs.'!M14</f>
        <v>90</v>
      </c>
      <c r="C47" s="58">
        <f ca="1">+'N° de Obs.'!N14</f>
        <v>2721</v>
      </c>
      <c r="D47" s="58">
        <f ca="1">+'N° de Obs.'!O14</f>
        <v>2448.9</v>
      </c>
      <c r="E47" s="49"/>
      <c r="F47" s="49"/>
      <c r="G47" s="49"/>
      <c r="H47" s="49"/>
      <c r="I47" s="49"/>
      <c r="J47" s="49"/>
      <c r="K47" s="49"/>
      <c r="L47" s="49"/>
      <c r="M47" s="49"/>
      <c r="N47" s="133" t="str">
        <f ca="1">IF(O45&lt;6,"Se puede continuar con el estudio","No se puede continuar con el estudio")</f>
        <v>Se puede continuar con el estudio</v>
      </c>
      <c r="O47" s="133"/>
      <c r="P47" s="49"/>
      <c r="Q47" s="49"/>
      <c r="R47" s="35"/>
      <c r="S47" s="35"/>
    </row>
    <row r="48" spans="1:20" ht="15.6" x14ac:dyDescent="0.3">
      <c r="A48" s="49"/>
      <c r="B48" s="58">
        <f ca="1">+'N° de Obs.'!M15</f>
        <v>90</v>
      </c>
      <c r="C48" s="58">
        <f ca="1">+'N° de Obs.'!N15</f>
        <v>2892</v>
      </c>
      <c r="D48" s="58">
        <f ca="1">+'N° de Obs.'!O15</f>
        <v>2602.8000000000002</v>
      </c>
      <c r="E48" s="49"/>
      <c r="F48" s="49"/>
      <c r="G48" s="49"/>
      <c r="H48" s="49"/>
      <c r="I48" s="49"/>
      <c r="J48" s="49"/>
      <c r="K48" s="49"/>
      <c r="L48" s="49"/>
      <c r="M48" s="49"/>
      <c r="N48" s="133"/>
      <c r="O48" s="133"/>
      <c r="P48" s="49"/>
      <c r="Q48" s="49"/>
      <c r="R48" s="35"/>
      <c r="S48" s="35"/>
    </row>
    <row r="49" spans="1:19" ht="15.6" x14ac:dyDescent="0.3">
      <c r="A49" s="49"/>
      <c r="B49" s="58">
        <f ca="1">+'N° de Obs.'!M16</f>
        <v>90</v>
      </c>
      <c r="C49" s="58">
        <f ca="1">+'N° de Obs.'!N16</f>
        <v>2774</v>
      </c>
      <c r="D49" s="58">
        <f ca="1">+'N° de Obs.'!O16</f>
        <v>2496.6</v>
      </c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35"/>
      <c r="S49" s="35"/>
    </row>
    <row r="50" spans="1:19" ht="15.6" x14ac:dyDescent="0.3">
      <c r="A50" s="49"/>
      <c r="B50" s="58">
        <f ca="1">+'N° de Obs.'!M17</f>
        <v>85</v>
      </c>
      <c r="C50" s="58">
        <f ca="1">+'N° de Obs.'!N17</f>
        <v>2769</v>
      </c>
      <c r="D50" s="58">
        <f ca="1">+'N° de Obs.'!O17</f>
        <v>2353.65</v>
      </c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35"/>
      <c r="S50" s="35"/>
    </row>
    <row r="51" spans="1:19" ht="15.6" x14ac:dyDescent="0.3">
      <c r="A51" s="49"/>
      <c r="B51" s="58">
        <f ca="1">+'N° de Obs.'!M18</f>
        <v>90</v>
      </c>
      <c r="C51" s="58">
        <f ca="1">+'N° de Obs.'!N18</f>
        <v>2823</v>
      </c>
      <c r="D51" s="58">
        <f ca="1">+'N° de Obs.'!O18</f>
        <v>2540.6999999999998</v>
      </c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35"/>
      <c r="S51" s="35"/>
    </row>
    <row r="52" spans="1:19" ht="15.6" x14ac:dyDescent="0.3">
      <c r="A52" s="49"/>
      <c r="B52" s="58">
        <f ca="1">+'N° de Obs.'!M19</f>
        <v>95</v>
      </c>
      <c r="C52" s="58">
        <f ca="1">+'N° de Obs.'!N19</f>
        <v>2886</v>
      </c>
      <c r="D52" s="58">
        <f ca="1">+'N° de Obs.'!O19</f>
        <v>2741.7</v>
      </c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49"/>
      <c r="Q52" s="49"/>
      <c r="R52" s="35"/>
      <c r="S52" s="35"/>
    </row>
    <row r="53" spans="1:19" ht="15.6" x14ac:dyDescent="0.3">
      <c r="A53" s="49"/>
      <c r="B53" s="58">
        <f ca="1">+'N° de Obs.'!M20</f>
        <v>90</v>
      </c>
      <c r="C53" s="58">
        <f ca="1">+'N° de Obs.'!N20</f>
        <v>2846</v>
      </c>
      <c r="D53" s="58">
        <f ca="1">+'N° de Obs.'!O20</f>
        <v>2561.4</v>
      </c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35"/>
      <c r="S53" s="35"/>
    </row>
    <row r="54" spans="1:19" ht="15.6" x14ac:dyDescent="0.3">
      <c r="A54" s="49"/>
      <c r="B54" s="58">
        <f ca="1">+'N° de Obs.'!M21</f>
        <v>100</v>
      </c>
      <c r="C54" s="58">
        <f ca="1">+'N° de Obs.'!N21</f>
        <v>2883</v>
      </c>
      <c r="D54" s="58">
        <f ca="1">+'N° de Obs.'!O21</f>
        <v>2883</v>
      </c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35"/>
      <c r="S54" s="35"/>
    </row>
    <row r="55" spans="1:19" ht="15.6" x14ac:dyDescent="0.3">
      <c r="A55" s="49"/>
      <c r="B55" s="58">
        <f ca="1">+'N° de Obs.'!M22</f>
        <v>95</v>
      </c>
      <c r="C55" s="58">
        <f ca="1">+'N° de Obs.'!N22</f>
        <v>2815</v>
      </c>
      <c r="D55" s="58">
        <f ca="1">+'N° de Obs.'!O22</f>
        <v>2674.25</v>
      </c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35"/>
      <c r="S55" s="35"/>
    </row>
    <row r="56" spans="1:19" ht="15.6" x14ac:dyDescent="0.3">
      <c r="A56" s="49"/>
      <c r="B56" s="58">
        <f ca="1">+'N° de Obs.'!M23</f>
        <v>100</v>
      </c>
      <c r="C56" s="58">
        <f ca="1">+'N° de Obs.'!N23</f>
        <v>2729</v>
      </c>
      <c r="D56" s="58">
        <f ca="1">+'N° de Obs.'!O23</f>
        <v>2729</v>
      </c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35"/>
      <c r="S56" s="35"/>
    </row>
    <row r="57" spans="1:19" ht="15.6" x14ac:dyDescent="0.3">
      <c r="A57" s="49"/>
      <c r="B57" s="58">
        <f ca="1">+'N° de Obs.'!M24</f>
        <v>100</v>
      </c>
      <c r="C57" s="58">
        <f ca="1">+'N° de Obs.'!N24</f>
        <v>2716</v>
      </c>
      <c r="D57" s="58">
        <f ca="1">+'N° de Obs.'!O24</f>
        <v>2716</v>
      </c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35"/>
      <c r="S57" s="35"/>
    </row>
    <row r="58" spans="1:19" ht="15.6" x14ac:dyDescent="0.3">
      <c r="A58" s="49"/>
      <c r="B58" s="58">
        <f ca="1">+'N° de Obs.'!M25</f>
        <v>105</v>
      </c>
      <c r="C58" s="58">
        <f ca="1">+'N° de Obs.'!N25</f>
        <v>2765</v>
      </c>
      <c r="D58" s="58">
        <f ca="1">+'N° de Obs.'!O25</f>
        <v>2903.25</v>
      </c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35"/>
      <c r="S58" s="35"/>
    </row>
    <row r="59" spans="1:19" ht="15.6" x14ac:dyDescent="0.3">
      <c r="A59" s="49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35"/>
      <c r="S59" s="35"/>
    </row>
    <row r="60" spans="1:19" ht="15.6" x14ac:dyDescent="0.3">
      <c r="A60" s="49"/>
      <c r="B60" s="49"/>
      <c r="C60" s="49"/>
      <c r="D60" s="49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35"/>
      <c r="S60" s="35"/>
    </row>
    <row r="61" spans="1:19" ht="15.6" x14ac:dyDescent="0.3">
      <c r="A61" s="49"/>
      <c r="B61" s="49"/>
      <c r="C61" s="49"/>
      <c r="D61" s="58" t="s">
        <v>23</v>
      </c>
      <c r="E61" s="58">
        <f ca="1">COUNTA(C39:C58)</f>
        <v>20</v>
      </c>
      <c r="F61" s="49"/>
      <c r="G61" s="49"/>
      <c r="H61" s="58">
        <f ca="1">MIN(D39:D58)</f>
        <v>2331.5500000000002</v>
      </c>
      <c r="I61" s="52">
        <v>100</v>
      </c>
      <c r="J61" s="53" t="s">
        <v>8</v>
      </c>
      <c r="K61" s="49"/>
      <c r="L61" s="58" t="s">
        <v>118</v>
      </c>
      <c r="M61" s="58">
        <f ca="1">ROUND(MIN(D39:D58),0)</f>
        <v>2332</v>
      </c>
      <c r="N61" s="49"/>
      <c r="O61" s="49"/>
      <c r="P61" s="49"/>
      <c r="Q61" s="49"/>
      <c r="R61" s="35"/>
      <c r="S61" s="35"/>
    </row>
    <row r="62" spans="1:19" ht="15.6" x14ac:dyDescent="0.3">
      <c r="A62" s="49"/>
      <c r="B62" s="49"/>
      <c r="C62" s="49"/>
      <c r="D62" s="49"/>
      <c r="E62" s="49"/>
      <c r="F62" s="49"/>
      <c r="G62" s="49"/>
      <c r="H62" s="60">
        <f ca="1">(I62*H61)/I61</f>
        <v>116.5775</v>
      </c>
      <c r="I62" s="56">
        <v>5</v>
      </c>
      <c r="J62" s="57" t="s">
        <v>8</v>
      </c>
      <c r="K62" s="49"/>
      <c r="L62" s="58" t="s">
        <v>119</v>
      </c>
      <c r="M62" s="58">
        <f ca="1">ROUND(MAX(D39:D58),0)</f>
        <v>2903</v>
      </c>
      <c r="N62" s="49"/>
      <c r="O62" s="49"/>
      <c r="P62" s="49"/>
      <c r="Q62" s="49"/>
      <c r="R62" s="35"/>
      <c r="S62" s="35"/>
    </row>
    <row r="63" spans="1:19" ht="15.6" x14ac:dyDescent="0.3">
      <c r="A63" s="49"/>
      <c r="B63" s="134" t="s">
        <v>24</v>
      </c>
      <c r="C63" s="134"/>
      <c r="D63" s="134"/>
      <c r="E63" s="58">
        <f ca="1">ROUND(SUM(D39:D58)/E61,0)</f>
        <v>2666</v>
      </c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35"/>
      <c r="S63" s="35"/>
    </row>
    <row r="64" spans="1:19" ht="15.6" x14ac:dyDescent="0.3">
      <c r="A64" s="49"/>
      <c r="B64" s="49"/>
      <c r="C64" s="49"/>
      <c r="D64" s="49"/>
      <c r="E64" s="49"/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35"/>
      <c r="S64" s="35"/>
    </row>
    <row r="65" spans="1:19" ht="15.6" x14ac:dyDescent="0.3">
      <c r="A65" s="49"/>
      <c r="B65" s="49"/>
      <c r="C65" s="49"/>
      <c r="D65" s="49"/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35"/>
      <c r="S65" s="35"/>
    </row>
    <row r="66" spans="1:19" ht="15.6" x14ac:dyDescent="0.3">
      <c r="A66" s="49"/>
      <c r="B66" s="49"/>
      <c r="C66" s="49"/>
      <c r="D66" s="49"/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35"/>
      <c r="S66" s="35"/>
    </row>
    <row r="67" spans="1:19" ht="15.6" x14ac:dyDescent="0.3">
      <c r="A67" s="40"/>
      <c r="B67" s="40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</row>
    <row r="68" spans="1:19" ht="15.6" x14ac:dyDescent="0.3">
      <c r="A68" s="40"/>
      <c r="B68" s="40"/>
      <c r="C68" s="40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</row>
    <row r="69" spans="1:19" ht="15.6" x14ac:dyDescent="0.3">
      <c r="A69" s="40"/>
      <c r="B69" s="40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</row>
    <row r="70" spans="1:19" ht="15.6" x14ac:dyDescent="0.3">
      <c r="A70" s="40"/>
      <c r="B70" s="40"/>
      <c r="C70" s="40"/>
      <c r="D70" s="135" t="str">
        <f>+'Hoja de cronometraje'!K29</f>
        <v>Elemento V</v>
      </c>
      <c r="E70" s="136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</row>
    <row r="71" spans="1:19" s="35" customFormat="1" ht="15.6" x14ac:dyDescent="0.3">
      <c r="A71" s="49"/>
      <c r="B71" s="49"/>
      <c r="C71" s="49"/>
      <c r="D71" s="49"/>
      <c r="E71" s="49"/>
      <c r="F71" s="49"/>
      <c r="G71" s="49"/>
      <c r="H71" s="49"/>
      <c r="I71" s="49"/>
      <c r="J71" s="49"/>
      <c r="K71" s="49"/>
      <c r="L71" s="49"/>
      <c r="M71" s="49"/>
      <c r="N71" s="49"/>
      <c r="O71" s="49"/>
      <c r="P71" s="49"/>
      <c r="Q71" s="49"/>
    </row>
    <row r="72" spans="1:19" ht="15.6" x14ac:dyDescent="0.3">
      <c r="A72" s="49"/>
      <c r="B72" s="72" t="s">
        <v>18</v>
      </c>
      <c r="C72" s="72" t="s">
        <v>19</v>
      </c>
      <c r="D72" s="72" t="s">
        <v>20</v>
      </c>
      <c r="E72" s="73" t="s">
        <v>108</v>
      </c>
      <c r="F72" s="73" t="s">
        <v>109</v>
      </c>
      <c r="G72" s="73" t="s">
        <v>110</v>
      </c>
      <c r="H72" s="73" t="s">
        <v>111</v>
      </c>
      <c r="I72" s="74" t="s">
        <v>85</v>
      </c>
      <c r="J72" s="74" t="s">
        <v>112</v>
      </c>
      <c r="K72" s="75">
        <f ca="1">ROUNDDOWN(H96,0)</f>
        <v>50</v>
      </c>
      <c r="L72" s="49"/>
      <c r="M72" s="49"/>
      <c r="N72" s="49"/>
      <c r="O72" s="49"/>
      <c r="P72" s="49"/>
      <c r="Q72" s="49"/>
      <c r="R72" s="35"/>
    </row>
    <row r="73" spans="1:19" ht="15.6" x14ac:dyDescent="0.3">
      <c r="A73" s="49"/>
      <c r="B73" s="58">
        <f ca="1">+'N° de Obs.'!D34</f>
        <v>105</v>
      </c>
      <c r="C73" s="58">
        <f ca="1">+'N° de Obs.'!E34</f>
        <v>1121</v>
      </c>
      <c r="D73" s="58">
        <f ca="1">+'N° de Obs.'!F34</f>
        <v>1177.05</v>
      </c>
      <c r="E73" s="58">
        <f ca="1">IF(I73="","",IFERROR(F73*G73,""))</f>
        <v>0</v>
      </c>
      <c r="F73" s="58">
        <f ca="1">IF(I73="","",IFERROR(G73*H73,""))</f>
        <v>0</v>
      </c>
      <c r="G73" s="58">
        <v>0</v>
      </c>
      <c r="H73" s="58">
        <f ca="1">IF(I73="","",COUNTIF($D$73:$D$92,"&lt;="&amp;$J74))</f>
        <v>1</v>
      </c>
      <c r="I73" s="58">
        <f ca="1">ROUND(H95,0)</f>
        <v>1001</v>
      </c>
      <c r="J73" s="56"/>
      <c r="K73" s="53" t="s">
        <v>29</v>
      </c>
      <c r="L73" s="49"/>
      <c r="M73" s="49"/>
      <c r="N73" s="58" t="s">
        <v>113</v>
      </c>
      <c r="O73" s="58">
        <f ca="1">F78/H78</f>
        <v>2.65</v>
      </c>
      <c r="P73" s="49"/>
      <c r="Q73" s="49"/>
      <c r="R73" s="35"/>
    </row>
    <row r="74" spans="1:19" ht="15.6" x14ac:dyDescent="0.3">
      <c r="A74" s="49"/>
      <c r="B74" s="58">
        <f ca="1">+'N° de Obs.'!D35</f>
        <v>85</v>
      </c>
      <c r="C74" s="58">
        <f ca="1">+'N° de Obs.'!E35</f>
        <v>1228</v>
      </c>
      <c r="D74" s="58">
        <f ca="1">+'N° de Obs.'!F35</f>
        <v>1043.8</v>
      </c>
      <c r="E74" s="58">
        <f t="shared" ref="E74:E77" ca="1" si="12">IF(I74="","",IFERROR(F74*G74,""))</f>
        <v>4</v>
      </c>
      <c r="F74" s="58">
        <f t="shared" ref="F74:F77" ca="1" si="13">IF(I74="","",IFERROR(G74*H74,""))</f>
        <v>4</v>
      </c>
      <c r="G74" s="58">
        <v>1</v>
      </c>
      <c r="H74" s="58">
        <f ca="1">IF(I74="","",COUNTIFS($D$73:$D$92,"&lt;="&amp;$J75,$D$73:$D$92,"&gt;"&amp;$J74))</f>
        <v>4</v>
      </c>
      <c r="I74" s="58">
        <f t="shared" ref="I74:I78" ca="1" si="14">IFERROR(IF($I73+$K$72&lt;=$M$96,$I73+$K$72,""),"")</f>
        <v>1051</v>
      </c>
      <c r="J74" s="78">
        <f ca="1">IF(I73="","",IFERROR(($I73+$I74)/2,MAX($D$73:$D$92)))</f>
        <v>1026</v>
      </c>
      <c r="K74" s="53" t="s">
        <v>134</v>
      </c>
      <c r="L74" s="49"/>
      <c r="M74" s="49"/>
      <c r="N74" s="58" t="s">
        <v>114</v>
      </c>
      <c r="O74" s="58">
        <f ca="1">E78/H78</f>
        <v>8.75</v>
      </c>
      <c r="P74" s="49"/>
      <c r="Q74" s="49"/>
      <c r="R74" s="35"/>
    </row>
    <row r="75" spans="1:19" ht="15.6" x14ac:dyDescent="0.3">
      <c r="A75" s="49"/>
      <c r="B75" s="58">
        <f ca="1">+'N° de Obs.'!D36</f>
        <v>95</v>
      </c>
      <c r="C75" s="58">
        <f ca="1">+'N° de Obs.'!E36</f>
        <v>1189</v>
      </c>
      <c r="D75" s="58">
        <f ca="1">+'N° de Obs.'!F36</f>
        <v>1129.55</v>
      </c>
      <c r="E75" s="58">
        <f t="shared" ca="1" si="12"/>
        <v>16</v>
      </c>
      <c r="F75" s="58">
        <f t="shared" ca="1" si="13"/>
        <v>8</v>
      </c>
      <c r="G75" s="58">
        <v>2</v>
      </c>
      <c r="H75" s="58">
        <f t="shared" ref="H75:H77" ca="1" si="15">IF(I75="","",COUNTIFS($D$73:$D$92,"&lt;="&amp;$J76,$D$73:$D$92,"&gt;"&amp;$J75))</f>
        <v>4</v>
      </c>
      <c r="I75" s="58">
        <f t="shared" ca="1" si="14"/>
        <v>1101</v>
      </c>
      <c r="J75" s="78">
        <f t="shared" ref="J75:J78" ca="1" si="16">IF(I74="","",IFERROR(($I74+$I75)/2,MAX($D$73:$D$92)))</f>
        <v>1076</v>
      </c>
      <c r="K75" s="53" t="s">
        <v>134</v>
      </c>
      <c r="L75" s="49"/>
      <c r="M75" s="49"/>
      <c r="N75" s="49"/>
      <c r="O75" s="49"/>
      <c r="P75" s="49"/>
      <c r="Q75" s="49"/>
      <c r="R75" s="35"/>
    </row>
    <row r="76" spans="1:19" ht="15.6" x14ac:dyDescent="0.3">
      <c r="A76" s="49"/>
      <c r="B76" s="58">
        <f ca="1">+'N° de Obs.'!D37</f>
        <v>90</v>
      </c>
      <c r="C76" s="58">
        <f ca="1">+'N° de Obs.'!E37</f>
        <v>1233</v>
      </c>
      <c r="D76" s="58">
        <f ca="1">+'N° de Obs.'!F37</f>
        <v>1109.7</v>
      </c>
      <c r="E76" s="58">
        <f t="shared" ca="1" si="12"/>
        <v>27</v>
      </c>
      <c r="F76" s="58">
        <f t="shared" ca="1" si="13"/>
        <v>9</v>
      </c>
      <c r="G76" s="58">
        <v>3</v>
      </c>
      <c r="H76" s="58">
        <f t="shared" ca="1" si="15"/>
        <v>3</v>
      </c>
      <c r="I76" s="58">
        <f t="shared" ca="1" si="14"/>
        <v>1151</v>
      </c>
      <c r="J76" s="78">
        <f t="shared" ca="1" si="16"/>
        <v>1126</v>
      </c>
      <c r="K76" s="53" t="s">
        <v>136</v>
      </c>
      <c r="L76" s="49"/>
      <c r="M76" s="49"/>
      <c r="N76" s="58" t="s">
        <v>115</v>
      </c>
      <c r="O76" s="58">
        <f ca="1">H95+(K72*O73)</f>
        <v>1133.8</v>
      </c>
      <c r="P76" s="49"/>
      <c r="Q76" s="49"/>
      <c r="R76" s="35"/>
    </row>
    <row r="77" spans="1:19" ht="16.2" thickBot="1" x14ac:dyDescent="0.35">
      <c r="A77" s="49"/>
      <c r="B77" s="58">
        <f ca="1">+'N° de Obs.'!D38</f>
        <v>90</v>
      </c>
      <c r="C77" s="58">
        <f ca="1">+'N° de Obs.'!E38</f>
        <v>1185</v>
      </c>
      <c r="D77" s="58">
        <f ca="1">+'N° de Obs.'!F38</f>
        <v>1066.5</v>
      </c>
      <c r="E77" s="58">
        <f t="shared" ca="1" si="12"/>
        <v>128</v>
      </c>
      <c r="F77" s="58">
        <f t="shared" ca="1" si="13"/>
        <v>32</v>
      </c>
      <c r="G77" s="58">
        <v>4</v>
      </c>
      <c r="H77" s="58">
        <f t="shared" ca="1" si="15"/>
        <v>8</v>
      </c>
      <c r="I77" s="58">
        <f t="shared" ca="1" si="14"/>
        <v>1201</v>
      </c>
      <c r="J77" s="78">
        <f t="shared" ca="1" si="16"/>
        <v>1176</v>
      </c>
      <c r="K77" s="53" t="s">
        <v>135</v>
      </c>
      <c r="L77" s="49"/>
      <c r="M77" s="49"/>
      <c r="N77" s="58" t="s">
        <v>116</v>
      </c>
      <c r="O77" s="79">
        <f ca="1">K72*(SQRT(O74-POWER(O73,2)))</f>
        <v>65.717197140474582</v>
      </c>
      <c r="P77" s="49"/>
      <c r="Q77" s="49"/>
      <c r="R77" s="35"/>
    </row>
    <row r="78" spans="1:19" ht="16.2" thickBot="1" x14ac:dyDescent="0.35">
      <c r="A78" s="49"/>
      <c r="B78" s="58">
        <f ca="1">+'N° de Obs.'!D39</f>
        <v>90</v>
      </c>
      <c r="C78" s="58">
        <f ca="1">+'N° de Obs.'!E39</f>
        <v>1208</v>
      </c>
      <c r="D78" s="58">
        <f ca="1">+'N° de Obs.'!F39</f>
        <v>1087.2</v>
      </c>
      <c r="E78" s="76">
        <f ca="1">SUM(E73:E85)</f>
        <v>175</v>
      </c>
      <c r="F78" s="77">
        <f ca="1">SUM(F73:F85)</f>
        <v>53</v>
      </c>
      <c r="G78" s="49"/>
      <c r="H78" s="77">
        <f ca="1">SUM(H73:H85)</f>
        <v>20</v>
      </c>
      <c r="I78" s="80" t="str">
        <f t="shared" ca="1" si="14"/>
        <v/>
      </c>
      <c r="J78" s="81">
        <f t="shared" ca="1" si="16"/>
        <v>1232.1500000000001</v>
      </c>
      <c r="K78" s="49"/>
      <c r="L78" s="49"/>
      <c r="M78" s="49"/>
      <c r="N78" s="49"/>
      <c r="O78" s="49"/>
      <c r="P78" s="49"/>
      <c r="Q78" s="49"/>
      <c r="R78" s="35"/>
    </row>
    <row r="79" spans="1:19" ht="15.6" x14ac:dyDescent="0.3">
      <c r="A79" s="49"/>
      <c r="B79" s="58">
        <f ca="1">+'N° de Obs.'!D40</f>
        <v>95</v>
      </c>
      <c r="C79" s="58">
        <f ca="1">+'N° de Obs.'!E40</f>
        <v>1141</v>
      </c>
      <c r="D79" s="58">
        <f ca="1">+'N° de Obs.'!F40</f>
        <v>1083.95</v>
      </c>
      <c r="E79" s="49"/>
      <c r="F79" s="49"/>
      <c r="G79" s="49"/>
      <c r="H79" s="49"/>
      <c r="I79" s="49"/>
      <c r="J79" s="49"/>
      <c r="K79" s="49"/>
      <c r="L79" s="49"/>
      <c r="M79" s="49"/>
      <c r="N79" s="58" t="s">
        <v>117</v>
      </c>
      <c r="O79" s="58">
        <f ca="1">(O77*100)/O76</f>
        <v>5.7961895519910556</v>
      </c>
      <c r="P79" s="58" t="s">
        <v>8</v>
      </c>
      <c r="Q79" s="49"/>
      <c r="R79" s="35"/>
    </row>
    <row r="80" spans="1:19" ht="15.6" x14ac:dyDescent="0.3">
      <c r="A80" s="49"/>
      <c r="B80" s="58">
        <f ca="1">+'N° de Obs.'!D41</f>
        <v>85</v>
      </c>
      <c r="C80" s="58">
        <f ca="1">+'N° de Obs.'!E41</f>
        <v>1273</v>
      </c>
      <c r="D80" s="58">
        <f ca="1">+'N° de Obs.'!F41</f>
        <v>1082.05</v>
      </c>
      <c r="E80" s="49"/>
      <c r="F80" s="49"/>
      <c r="G80" s="49"/>
      <c r="H80" s="49"/>
      <c r="I80" s="49"/>
      <c r="J80" s="49"/>
      <c r="K80" s="49"/>
      <c r="L80" s="49"/>
      <c r="M80" s="49"/>
      <c r="N80" s="49"/>
      <c r="O80" s="49"/>
      <c r="P80" s="49"/>
      <c r="Q80" s="49"/>
      <c r="R80" s="35"/>
    </row>
    <row r="81" spans="1:18" ht="15.6" x14ac:dyDescent="0.3">
      <c r="A81" s="49"/>
      <c r="B81" s="58">
        <f ca="1">+'N° de Obs.'!D42</f>
        <v>105</v>
      </c>
      <c r="C81" s="58">
        <f ca="1">+'N° de Obs.'!E42</f>
        <v>1118</v>
      </c>
      <c r="D81" s="58">
        <f ca="1">+'N° de Obs.'!F42</f>
        <v>1173.9000000000001</v>
      </c>
      <c r="E81" s="49"/>
      <c r="F81" s="49"/>
      <c r="G81" s="49"/>
      <c r="H81" s="49"/>
      <c r="I81" s="49"/>
      <c r="J81" s="49"/>
      <c r="K81" s="49"/>
      <c r="L81" s="49"/>
      <c r="M81" s="49"/>
      <c r="N81" s="133" t="str">
        <f ca="1">IF(O79&lt;6,"Se puede continuar con el estudio","No se puede continuar con el estudio")</f>
        <v>Se puede continuar con el estudio</v>
      </c>
      <c r="O81" s="133"/>
      <c r="P81" s="49"/>
      <c r="Q81" s="49"/>
      <c r="R81" s="35"/>
    </row>
    <row r="82" spans="1:18" ht="15.6" x14ac:dyDescent="0.3">
      <c r="A82" s="49"/>
      <c r="B82" s="58">
        <f ca="1">+'N° de Obs.'!D43</f>
        <v>95</v>
      </c>
      <c r="C82" s="58">
        <f ca="1">+'N° de Obs.'!E43</f>
        <v>1294</v>
      </c>
      <c r="D82" s="58">
        <f ca="1">+'N° de Obs.'!F43</f>
        <v>1229.3</v>
      </c>
      <c r="E82" s="49"/>
      <c r="F82" s="49"/>
      <c r="G82" s="49"/>
      <c r="H82" s="49"/>
      <c r="I82" s="49"/>
      <c r="J82" s="49"/>
      <c r="K82" s="49"/>
      <c r="L82" s="49"/>
      <c r="M82" s="49"/>
      <c r="N82" s="133"/>
      <c r="O82" s="133"/>
      <c r="P82" s="49"/>
      <c r="Q82" s="49"/>
      <c r="R82" s="35"/>
    </row>
    <row r="83" spans="1:18" ht="15.6" x14ac:dyDescent="0.3">
      <c r="A83" s="49"/>
      <c r="B83" s="58">
        <f ca="1">+'N° de Obs.'!D44</f>
        <v>100</v>
      </c>
      <c r="C83" s="58">
        <f ca="1">+'N° de Obs.'!E44</f>
        <v>1203</v>
      </c>
      <c r="D83" s="58">
        <f ca="1">+'N° de Obs.'!F44</f>
        <v>1203</v>
      </c>
      <c r="E83" s="49"/>
      <c r="F83" s="49"/>
      <c r="G83" s="49"/>
      <c r="H83" s="49"/>
      <c r="I83" s="49"/>
      <c r="J83" s="49"/>
      <c r="K83" s="49"/>
      <c r="L83" s="49"/>
      <c r="M83" s="49"/>
      <c r="N83" s="49"/>
      <c r="O83" s="49"/>
      <c r="P83" s="49"/>
      <c r="Q83" s="49"/>
      <c r="R83" s="35"/>
    </row>
    <row r="84" spans="1:18" ht="15.6" x14ac:dyDescent="0.3">
      <c r="A84" s="49"/>
      <c r="B84" s="58">
        <f ca="1">+'N° de Obs.'!D45</f>
        <v>100</v>
      </c>
      <c r="C84" s="58">
        <f ca="1">+'N° de Obs.'!E45</f>
        <v>1208</v>
      </c>
      <c r="D84" s="58">
        <f ca="1">+'N° de Obs.'!F45</f>
        <v>1208</v>
      </c>
      <c r="E84" s="49"/>
      <c r="F84" s="49"/>
      <c r="G84" s="49"/>
      <c r="H84" s="49"/>
      <c r="I84" s="49"/>
      <c r="J84" s="49"/>
      <c r="K84" s="49"/>
      <c r="L84" s="49"/>
      <c r="M84" s="49"/>
      <c r="N84" s="49"/>
      <c r="O84" s="49"/>
      <c r="P84" s="49"/>
      <c r="Q84" s="49"/>
      <c r="R84" s="35"/>
    </row>
    <row r="85" spans="1:18" ht="15.6" x14ac:dyDescent="0.3">
      <c r="A85" s="49"/>
      <c r="B85" s="58">
        <f ca="1">+'N° de Obs.'!D46</f>
        <v>100</v>
      </c>
      <c r="C85" s="58">
        <f ca="1">+'N° de Obs.'!E46</f>
        <v>1197</v>
      </c>
      <c r="D85" s="58">
        <f ca="1">+'N° de Obs.'!F46</f>
        <v>1197</v>
      </c>
      <c r="E85" s="49"/>
      <c r="F85" s="49"/>
      <c r="G85" s="49"/>
      <c r="H85" s="49"/>
      <c r="I85" s="49"/>
      <c r="J85" s="49"/>
      <c r="K85" s="49"/>
      <c r="L85" s="49"/>
      <c r="M85" s="49"/>
      <c r="N85" s="49"/>
      <c r="O85" s="49"/>
      <c r="P85" s="49"/>
      <c r="Q85" s="49"/>
      <c r="R85" s="35"/>
    </row>
    <row r="86" spans="1:18" ht="15.6" x14ac:dyDescent="0.3">
      <c r="A86" s="49"/>
      <c r="B86" s="58">
        <f ca="1">+'N° de Obs.'!D47</f>
        <v>90</v>
      </c>
      <c r="C86" s="58">
        <f ca="1">+'N° de Obs.'!E47</f>
        <v>1269</v>
      </c>
      <c r="D86" s="58">
        <f ca="1">+'N° de Obs.'!F47</f>
        <v>1142.0999999999999</v>
      </c>
      <c r="E86" s="49"/>
      <c r="F86" s="49"/>
      <c r="G86" s="49"/>
      <c r="H86" s="49"/>
      <c r="I86" s="49"/>
      <c r="J86" s="49"/>
      <c r="K86" s="49"/>
      <c r="L86" s="49"/>
      <c r="M86" s="49"/>
      <c r="N86" s="49"/>
      <c r="O86" s="49"/>
      <c r="P86" s="49"/>
      <c r="Q86" s="49"/>
      <c r="R86" s="35"/>
    </row>
    <row r="87" spans="1:18" ht="15.6" x14ac:dyDescent="0.3">
      <c r="A87" s="49"/>
      <c r="B87" s="58">
        <f ca="1">+'N° de Obs.'!D48</f>
        <v>90</v>
      </c>
      <c r="C87" s="58">
        <f ca="1">+'N° de Obs.'!E48</f>
        <v>1150</v>
      </c>
      <c r="D87" s="58">
        <f ca="1">+'N° de Obs.'!F48</f>
        <v>1035</v>
      </c>
      <c r="E87" s="49"/>
      <c r="F87" s="49"/>
      <c r="G87" s="49"/>
      <c r="H87" s="49"/>
      <c r="I87" s="49"/>
      <c r="J87" s="49"/>
      <c r="K87" s="49"/>
      <c r="L87" s="49"/>
      <c r="M87" s="49"/>
      <c r="N87" s="49"/>
      <c r="O87" s="49"/>
      <c r="P87" s="49"/>
      <c r="Q87" s="49"/>
      <c r="R87" s="35"/>
    </row>
    <row r="88" spans="1:18" ht="15.6" x14ac:dyDescent="0.3">
      <c r="A88" s="49"/>
      <c r="B88" s="58">
        <f ca="1">+'N° de Obs.'!D49</f>
        <v>85</v>
      </c>
      <c r="C88" s="58">
        <f ca="1">+'N° de Obs.'!E49</f>
        <v>1178</v>
      </c>
      <c r="D88" s="58">
        <f ca="1">+'N° de Obs.'!F49</f>
        <v>1001.3</v>
      </c>
      <c r="E88" s="49"/>
      <c r="F88" s="49"/>
      <c r="G88" s="49"/>
      <c r="H88" s="49"/>
      <c r="I88" s="49"/>
      <c r="J88" s="49"/>
      <c r="K88" s="49"/>
      <c r="L88" s="49"/>
      <c r="M88" s="49"/>
      <c r="N88" s="49"/>
      <c r="O88" s="49"/>
      <c r="P88" s="49"/>
      <c r="Q88" s="49"/>
      <c r="R88" s="35"/>
    </row>
    <row r="89" spans="1:18" ht="15.6" x14ac:dyDescent="0.3">
      <c r="A89" s="49"/>
      <c r="B89" s="58">
        <f ca="1">+'N° de Obs.'!D50</f>
        <v>95</v>
      </c>
      <c r="C89" s="58">
        <f ca="1">+'N° de Obs.'!E50</f>
        <v>1259</v>
      </c>
      <c r="D89" s="58">
        <f ca="1">+'N° de Obs.'!F50</f>
        <v>1196.05</v>
      </c>
      <c r="E89" s="49"/>
      <c r="F89" s="49"/>
      <c r="G89" s="49"/>
      <c r="H89" s="49"/>
      <c r="I89" s="49"/>
      <c r="J89" s="49"/>
      <c r="K89" s="49"/>
      <c r="L89" s="49"/>
      <c r="M89" s="49"/>
      <c r="N89" s="49"/>
      <c r="O89" s="49"/>
      <c r="P89" s="49"/>
      <c r="Q89" s="49"/>
      <c r="R89" s="35"/>
    </row>
    <row r="90" spans="1:18" ht="15.6" x14ac:dyDescent="0.3">
      <c r="A90" s="49"/>
      <c r="B90" s="58">
        <f ca="1">+'N° de Obs.'!D51</f>
        <v>95</v>
      </c>
      <c r="C90" s="58">
        <f ca="1">+'N° de Obs.'!E51</f>
        <v>1297</v>
      </c>
      <c r="D90" s="58">
        <f ca="1">+'N° de Obs.'!F51</f>
        <v>1232.1500000000001</v>
      </c>
      <c r="E90" s="49"/>
      <c r="F90" s="49"/>
      <c r="G90" s="49"/>
      <c r="H90" s="49"/>
      <c r="I90" s="49"/>
      <c r="J90" s="49"/>
      <c r="K90" s="49"/>
      <c r="L90" s="49"/>
      <c r="M90" s="49"/>
      <c r="N90" s="49"/>
      <c r="O90" s="49"/>
      <c r="P90" s="49"/>
      <c r="Q90" s="49"/>
      <c r="R90" s="35"/>
    </row>
    <row r="91" spans="1:18" ht="15.6" x14ac:dyDescent="0.3">
      <c r="A91" s="49"/>
      <c r="B91" s="58">
        <f ca="1">+'N° de Obs.'!D52</f>
        <v>95</v>
      </c>
      <c r="C91" s="58">
        <f ca="1">+'N° de Obs.'!E52</f>
        <v>1271</v>
      </c>
      <c r="D91" s="58">
        <f ca="1">+'N° de Obs.'!F52</f>
        <v>1207.45</v>
      </c>
      <c r="E91" s="49"/>
      <c r="F91" s="49"/>
      <c r="G91" s="49"/>
      <c r="H91" s="49"/>
      <c r="I91" s="49"/>
      <c r="J91" s="49"/>
      <c r="K91" s="49"/>
      <c r="L91" s="49"/>
      <c r="M91" s="49"/>
      <c r="N91" s="49"/>
      <c r="O91" s="49"/>
      <c r="P91" s="49"/>
      <c r="Q91" s="49"/>
      <c r="R91" s="35"/>
    </row>
    <row r="92" spans="1:18" ht="15.6" x14ac:dyDescent="0.3">
      <c r="A92" s="49"/>
      <c r="B92" s="58">
        <f ca="1">+'N° de Obs.'!D53</f>
        <v>95</v>
      </c>
      <c r="C92" s="58">
        <f ca="1">+'N° de Obs.'!E53</f>
        <v>1119</v>
      </c>
      <c r="D92" s="58">
        <f ca="1">+'N° de Obs.'!F53</f>
        <v>1063.05</v>
      </c>
      <c r="E92" s="49"/>
      <c r="F92" s="49"/>
      <c r="G92" s="49"/>
      <c r="H92" s="49"/>
      <c r="I92" s="49"/>
      <c r="J92" s="49"/>
      <c r="K92" s="49"/>
      <c r="L92" s="49"/>
      <c r="M92" s="49"/>
      <c r="N92" s="49"/>
      <c r="O92" s="49"/>
      <c r="P92" s="49"/>
      <c r="Q92" s="49"/>
      <c r="R92" s="35"/>
    </row>
    <row r="93" spans="1:18" ht="15.6" x14ac:dyDescent="0.3">
      <c r="A93" s="49"/>
      <c r="B93" s="49"/>
      <c r="C93" s="49"/>
      <c r="D93" s="49"/>
      <c r="E93" s="49"/>
      <c r="F93" s="49"/>
      <c r="G93" s="49"/>
      <c r="H93" s="49"/>
      <c r="I93" s="49"/>
      <c r="J93" s="49"/>
      <c r="K93" s="49"/>
      <c r="L93" s="49"/>
      <c r="M93" s="49"/>
      <c r="N93" s="49"/>
      <c r="O93" s="49"/>
      <c r="P93" s="49"/>
      <c r="Q93" s="49"/>
      <c r="R93" s="35"/>
    </row>
    <row r="94" spans="1:18" ht="15.6" x14ac:dyDescent="0.3">
      <c r="A94" s="49"/>
      <c r="B94" s="49"/>
      <c r="C94" s="49"/>
      <c r="D94" s="49"/>
      <c r="E94" s="49"/>
      <c r="F94" s="49"/>
      <c r="G94" s="49"/>
      <c r="H94" s="49"/>
      <c r="I94" s="49"/>
      <c r="J94" s="49"/>
      <c r="K94" s="49"/>
      <c r="L94" s="49"/>
      <c r="M94" s="49"/>
      <c r="N94" s="49"/>
      <c r="O94" s="49"/>
      <c r="P94" s="49"/>
      <c r="Q94" s="49"/>
      <c r="R94" s="35"/>
    </row>
    <row r="95" spans="1:18" ht="15.6" x14ac:dyDescent="0.3">
      <c r="A95" s="49"/>
      <c r="B95" s="49"/>
      <c r="C95" s="49"/>
      <c r="D95" s="58" t="s">
        <v>23</v>
      </c>
      <c r="E95" s="58">
        <f ca="1">COUNTA(C73:C92)</f>
        <v>20</v>
      </c>
      <c r="F95" s="49"/>
      <c r="G95" s="49"/>
      <c r="H95" s="58">
        <f ca="1">MIN(D73:D92)</f>
        <v>1001.3</v>
      </c>
      <c r="I95" s="52">
        <v>100</v>
      </c>
      <c r="J95" s="53" t="s">
        <v>8</v>
      </c>
      <c r="K95" s="49"/>
      <c r="L95" s="58" t="s">
        <v>118</v>
      </c>
      <c r="M95" s="58">
        <f ca="1">ROUND(MIN(D73:D92),0)</f>
        <v>1001</v>
      </c>
      <c r="N95" s="49"/>
      <c r="O95" s="49"/>
      <c r="P95" s="49"/>
      <c r="Q95" s="49"/>
      <c r="R95" s="35"/>
    </row>
    <row r="96" spans="1:18" ht="15.6" x14ac:dyDescent="0.3">
      <c r="A96" s="49"/>
      <c r="B96" s="49"/>
      <c r="C96" s="49"/>
      <c r="D96" s="49"/>
      <c r="E96" s="49"/>
      <c r="F96" s="49"/>
      <c r="G96" s="49"/>
      <c r="H96" s="60">
        <f ca="1">(I96*H95)/I95</f>
        <v>50.064999999999998</v>
      </c>
      <c r="I96" s="56">
        <v>5</v>
      </c>
      <c r="J96" s="57" t="s">
        <v>8</v>
      </c>
      <c r="K96" s="49"/>
      <c r="L96" s="58" t="s">
        <v>119</v>
      </c>
      <c r="M96" s="58">
        <f ca="1">ROUND(MAX(D73:D92),0)</f>
        <v>1232</v>
      </c>
      <c r="N96" s="49"/>
      <c r="O96" s="49"/>
      <c r="P96" s="49"/>
      <c r="Q96" s="49"/>
      <c r="R96" s="35"/>
    </row>
    <row r="97" spans="1:18" ht="15.6" x14ac:dyDescent="0.3">
      <c r="A97" s="49"/>
      <c r="B97" s="134" t="s">
        <v>24</v>
      </c>
      <c r="C97" s="134"/>
      <c r="D97" s="134"/>
      <c r="E97" s="58">
        <f ca="1">ROUND(SUM(D73:D92)/E95,0)</f>
        <v>1133</v>
      </c>
      <c r="F97" s="49"/>
      <c r="G97" s="49"/>
      <c r="H97" s="49"/>
      <c r="I97" s="49"/>
      <c r="J97" s="49"/>
      <c r="K97" s="49"/>
      <c r="L97" s="49"/>
      <c r="M97" s="49"/>
      <c r="N97" s="49"/>
      <c r="O97" s="49"/>
      <c r="P97" s="49"/>
      <c r="Q97" s="49"/>
      <c r="R97" s="35"/>
    </row>
    <row r="98" spans="1:18" ht="15.6" x14ac:dyDescent="0.3">
      <c r="A98" s="49"/>
      <c r="B98" s="49"/>
      <c r="C98" s="49"/>
      <c r="D98" s="49"/>
      <c r="E98" s="49"/>
      <c r="F98" s="49"/>
      <c r="G98" s="49"/>
      <c r="H98" s="49"/>
      <c r="I98" s="49"/>
      <c r="J98" s="49"/>
      <c r="K98" s="49"/>
      <c r="L98" s="49"/>
      <c r="M98" s="49"/>
      <c r="N98" s="49"/>
      <c r="O98" s="49"/>
      <c r="P98" s="49"/>
      <c r="Q98" s="49"/>
      <c r="R98" s="35"/>
    </row>
    <row r="99" spans="1:18" ht="15.6" x14ac:dyDescent="0.3">
      <c r="A99" s="49"/>
      <c r="B99" s="49"/>
      <c r="C99" s="49"/>
      <c r="D99" s="49"/>
      <c r="E99" s="49"/>
      <c r="F99" s="49"/>
      <c r="G99" s="49"/>
      <c r="H99" s="49"/>
      <c r="I99" s="49"/>
      <c r="J99" s="49"/>
      <c r="K99" s="49"/>
      <c r="L99" s="49"/>
      <c r="M99" s="49"/>
      <c r="N99" s="49"/>
      <c r="O99" s="49"/>
      <c r="P99" s="49"/>
      <c r="Q99" s="49"/>
      <c r="R99" s="35"/>
    </row>
    <row r="100" spans="1:18" ht="15.6" x14ac:dyDescent="0.3">
      <c r="A100" s="49"/>
      <c r="B100" s="40"/>
      <c r="C100" s="40"/>
      <c r="D100" s="40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</row>
    <row r="101" spans="1:18" ht="15.6" x14ac:dyDescent="0.3">
      <c r="A101" s="40"/>
      <c r="B101" s="40"/>
      <c r="C101" s="40"/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</row>
    <row r="102" spans="1:18" ht="15.6" x14ac:dyDescent="0.3">
      <c r="A102" s="40"/>
      <c r="B102" s="40"/>
      <c r="C102" s="40"/>
      <c r="D102" s="40"/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</row>
    <row r="103" spans="1:18" ht="15.6" x14ac:dyDescent="0.3">
      <c r="A103" s="40"/>
      <c r="B103" s="40"/>
      <c r="C103" s="40"/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</row>
    <row r="104" spans="1:18" ht="15.6" x14ac:dyDescent="0.3">
      <c r="A104" s="40"/>
      <c r="B104" s="40"/>
      <c r="C104" s="40"/>
      <c r="D104" s="135" t="str">
        <f>+'Hoja de cronometraje'!N29</f>
        <v>Elemento F</v>
      </c>
      <c r="E104" s="136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</row>
    <row r="105" spans="1:18" s="35" customFormat="1" ht="15.6" x14ac:dyDescent="0.3">
      <c r="A105" s="49"/>
      <c r="B105" s="49"/>
      <c r="C105" s="49"/>
      <c r="D105" s="49"/>
      <c r="E105" s="49"/>
      <c r="F105" s="49"/>
      <c r="G105" s="49"/>
      <c r="H105" s="49"/>
      <c r="I105" s="49"/>
      <c r="J105" s="49"/>
      <c r="K105" s="49"/>
      <c r="L105" s="49"/>
      <c r="M105" s="49"/>
      <c r="N105" s="49"/>
      <c r="O105" s="49"/>
      <c r="P105" s="49"/>
      <c r="Q105" s="49"/>
    </row>
    <row r="106" spans="1:18" ht="15.6" x14ac:dyDescent="0.3">
      <c r="A106" s="49"/>
      <c r="B106" s="72" t="s">
        <v>18</v>
      </c>
      <c r="C106" s="72" t="s">
        <v>19</v>
      </c>
      <c r="D106" s="72" t="s">
        <v>20</v>
      </c>
      <c r="E106" s="73" t="s">
        <v>108</v>
      </c>
      <c r="F106" s="73" t="s">
        <v>109</v>
      </c>
      <c r="G106" s="73" t="s">
        <v>110</v>
      </c>
      <c r="H106" s="73" t="s">
        <v>111</v>
      </c>
      <c r="I106" s="74" t="s">
        <v>85</v>
      </c>
      <c r="J106" s="74" t="s">
        <v>112</v>
      </c>
      <c r="K106" s="75">
        <f ca="1">ROUNDDOWN(H130,0)</f>
        <v>187</v>
      </c>
      <c r="L106" s="49"/>
      <c r="M106" s="49"/>
      <c r="N106" s="49"/>
      <c r="O106" s="49"/>
      <c r="P106" s="49"/>
      <c r="Q106" s="49"/>
      <c r="R106" s="35"/>
    </row>
    <row r="107" spans="1:18" ht="15.6" x14ac:dyDescent="0.3">
      <c r="A107" s="49"/>
      <c r="B107" s="58">
        <f ca="1">+'N° de Obs.'!M34</f>
        <v>95</v>
      </c>
      <c r="C107" s="58">
        <f ca="1">+'N° de Obs.'!N34</f>
        <v>4378</v>
      </c>
      <c r="D107" s="58">
        <f ca="1">+'N° de Obs.'!O34</f>
        <v>4159.1000000000004</v>
      </c>
      <c r="E107" s="58">
        <f ca="1">IF(I107="","",IFERROR(F107*G107,""))</f>
        <v>0</v>
      </c>
      <c r="F107" s="58">
        <f ca="1">IF(I107="","",IFERROR(G107*H107,""))</f>
        <v>0</v>
      </c>
      <c r="G107" s="58">
        <v>0</v>
      </c>
      <c r="H107" s="58">
        <f ca="1">IF(I107="","",COUNTIF($D$107:$D$126,"&lt;="&amp;$J108))</f>
        <v>3</v>
      </c>
      <c r="I107" s="58">
        <f ca="1">ROUND(H129,0)</f>
        <v>3740</v>
      </c>
      <c r="J107" s="56"/>
      <c r="K107" s="53" t="s">
        <v>136</v>
      </c>
      <c r="L107" s="49"/>
      <c r="M107" s="49"/>
      <c r="N107" s="58" t="s">
        <v>113</v>
      </c>
      <c r="O107" s="58">
        <f ca="1">F112/H112</f>
        <v>2</v>
      </c>
      <c r="P107" s="49"/>
      <c r="Q107" s="49"/>
      <c r="R107" s="35"/>
    </row>
    <row r="108" spans="1:18" ht="15.6" x14ac:dyDescent="0.3">
      <c r="A108" s="49"/>
      <c r="B108" s="58">
        <f ca="1">+'N° de Obs.'!M35</f>
        <v>105</v>
      </c>
      <c r="C108" s="58">
        <f ca="1">+'N° de Obs.'!N35</f>
        <v>4164</v>
      </c>
      <c r="D108" s="58">
        <f ca="1">+'N° de Obs.'!O35</f>
        <v>4372.2</v>
      </c>
      <c r="E108" s="58">
        <f t="shared" ref="E108:E111" ca="1" si="17">IF(I108="","",IFERROR(F108*G108,""))</f>
        <v>4</v>
      </c>
      <c r="F108" s="58">
        <f t="shared" ref="F108:F111" ca="1" si="18">IF(I108="","",IFERROR(G108*H108,""))</f>
        <v>4</v>
      </c>
      <c r="G108" s="58">
        <v>1</v>
      </c>
      <c r="H108" s="58">
        <f ca="1">IF(I108="","",COUNTIFS($D$107:$D$126,"&lt;="&amp;$J109,$D$107:$D$126,"&gt;"&amp;$J108))</f>
        <v>4</v>
      </c>
      <c r="I108" s="58">
        <f ca="1">IFERROR(IF($I107+$K$106&lt;=$M$130,$I107+$K$106,""),"")</f>
        <v>3927</v>
      </c>
      <c r="J108" s="78">
        <f ca="1">IF(I107="","",IFERROR(($I107+$I108)/2,MAX($D$107:$D$126)))</f>
        <v>3833.5</v>
      </c>
      <c r="K108" s="53" t="s">
        <v>134</v>
      </c>
      <c r="L108" s="49"/>
      <c r="M108" s="49"/>
      <c r="N108" s="58" t="s">
        <v>114</v>
      </c>
      <c r="O108" s="58">
        <f ca="1">E112/H112</f>
        <v>5.6</v>
      </c>
      <c r="P108" s="49"/>
      <c r="Q108" s="49"/>
      <c r="R108" s="35"/>
    </row>
    <row r="109" spans="1:18" ht="15.6" x14ac:dyDescent="0.3">
      <c r="A109" s="49"/>
      <c r="B109" s="58">
        <f ca="1">+'N° de Obs.'!M36</f>
        <v>85</v>
      </c>
      <c r="C109" s="58">
        <f ca="1">+'N° de Obs.'!N36</f>
        <v>4414</v>
      </c>
      <c r="D109" s="58">
        <f ca="1">+'N° de Obs.'!O36</f>
        <v>3751.9</v>
      </c>
      <c r="E109" s="58">
        <f t="shared" ca="1" si="17"/>
        <v>24</v>
      </c>
      <c r="F109" s="58">
        <f t="shared" ca="1" si="18"/>
        <v>12</v>
      </c>
      <c r="G109" s="58">
        <v>2</v>
      </c>
      <c r="H109" s="58">
        <f t="shared" ref="H109:H111" ca="1" si="19">IF(I109="","",COUNTIFS($D$107:$D$126,"&lt;="&amp;$J110,$D$107:$D$126,"&gt;"&amp;$J109))</f>
        <v>6</v>
      </c>
      <c r="I109" s="58">
        <f t="shared" ref="I109:I112" ca="1" si="20">IFERROR(IF($I108+$K$106&lt;=$M$130,$I108+$K$106,""),"")</f>
        <v>4114</v>
      </c>
      <c r="J109" s="78">
        <f t="shared" ref="J109:J112" ca="1" si="21">IF(I108="","",IFERROR(($I108+$I109)/2,MAX($D$107:$D$126)))</f>
        <v>4020.5</v>
      </c>
      <c r="K109" s="53" t="s">
        <v>137</v>
      </c>
      <c r="L109" s="49"/>
      <c r="M109" s="49"/>
      <c r="N109" s="49"/>
      <c r="O109" s="49"/>
      <c r="P109" s="49"/>
      <c r="Q109" s="49"/>
      <c r="R109" s="35"/>
    </row>
    <row r="110" spans="1:18" ht="15.6" x14ac:dyDescent="0.3">
      <c r="A110" s="49"/>
      <c r="B110" s="58">
        <f ca="1">+'N° de Obs.'!M37</f>
        <v>105</v>
      </c>
      <c r="C110" s="58">
        <f ca="1">+'N° de Obs.'!N37</f>
        <v>4193</v>
      </c>
      <c r="D110" s="58">
        <f ca="1">+'N° de Obs.'!O37</f>
        <v>4402.6499999999996</v>
      </c>
      <c r="E110" s="58">
        <f t="shared" ca="1" si="17"/>
        <v>36</v>
      </c>
      <c r="F110" s="58">
        <f t="shared" ca="1" si="18"/>
        <v>12</v>
      </c>
      <c r="G110" s="58">
        <v>3</v>
      </c>
      <c r="H110" s="58">
        <f t="shared" ca="1" si="19"/>
        <v>4</v>
      </c>
      <c r="I110" s="58">
        <f t="shared" ca="1" si="20"/>
        <v>4301</v>
      </c>
      <c r="J110" s="78">
        <f t="shared" ca="1" si="21"/>
        <v>4207.5</v>
      </c>
      <c r="K110" s="53" t="s">
        <v>134</v>
      </c>
      <c r="L110" s="49"/>
      <c r="M110" s="49"/>
      <c r="N110" s="58" t="s">
        <v>115</v>
      </c>
      <c r="O110" s="58">
        <f ca="1">H129+(K106*O107)</f>
        <v>4114</v>
      </c>
      <c r="P110" s="49"/>
      <c r="Q110" s="49"/>
      <c r="R110" s="35"/>
    </row>
    <row r="111" spans="1:18" ht="16.2" thickBot="1" x14ac:dyDescent="0.35">
      <c r="A111" s="49"/>
      <c r="B111" s="58">
        <f ca="1">+'N° de Obs.'!M38</f>
        <v>100</v>
      </c>
      <c r="C111" s="58">
        <f ca="1">+'N° de Obs.'!N38</f>
        <v>4220</v>
      </c>
      <c r="D111" s="58">
        <f ca="1">+'N° de Obs.'!O38</f>
        <v>4220</v>
      </c>
      <c r="E111" s="58">
        <f t="shared" ca="1" si="17"/>
        <v>48</v>
      </c>
      <c r="F111" s="58">
        <f t="shared" ca="1" si="18"/>
        <v>12</v>
      </c>
      <c r="G111" s="58">
        <v>4</v>
      </c>
      <c r="H111" s="58">
        <f t="shared" ca="1" si="19"/>
        <v>3</v>
      </c>
      <c r="I111" s="58">
        <f t="shared" ca="1" si="20"/>
        <v>4488</v>
      </c>
      <c r="J111" s="78">
        <f t="shared" ca="1" si="21"/>
        <v>4394.5</v>
      </c>
      <c r="K111" s="53" t="s">
        <v>136</v>
      </c>
      <c r="L111" s="49"/>
      <c r="M111" s="49"/>
      <c r="N111" s="58" t="s">
        <v>116</v>
      </c>
      <c r="O111" s="79">
        <f ca="1">K106*(SQRT(O108-POWER(O107,2)))</f>
        <v>236.53836898059473</v>
      </c>
      <c r="P111" s="49"/>
      <c r="Q111" s="49"/>
      <c r="R111" s="35"/>
    </row>
    <row r="112" spans="1:18" ht="16.2" thickBot="1" x14ac:dyDescent="0.35">
      <c r="A112" s="49"/>
      <c r="B112" s="58">
        <f ca="1">+'N° de Obs.'!M39</f>
        <v>105</v>
      </c>
      <c r="C112" s="58">
        <f ca="1">+'N° de Obs.'!N39</f>
        <v>4323</v>
      </c>
      <c r="D112" s="58">
        <f ca="1">+'N° de Obs.'!O39</f>
        <v>4539.1499999999996</v>
      </c>
      <c r="E112" s="76">
        <f ca="1">SUM(E107:E119)</f>
        <v>112</v>
      </c>
      <c r="F112" s="77">
        <f ca="1">SUM(F107:F119)</f>
        <v>40</v>
      </c>
      <c r="G112" s="49"/>
      <c r="H112" s="77">
        <f ca="1">SUM(H107:H119)</f>
        <v>20</v>
      </c>
      <c r="I112" s="80" t="str">
        <f t="shared" ca="1" si="20"/>
        <v/>
      </c>
      <c r="J112" s="81">
        <f t="shared" ca="1" si="21"/>
        <v>4617.8999999999996</v>
      </c>
      <c r="K112" s="49"/>
      <c r="L112" s="49"/>
      <c r="M112" s="49"/>
      <c r="N112" s="49"/>
      <c r="O112" s="49"/>
      <c r="P112" s="49"/>
      <c r="Q112" s="49"/>
      <c r="R112" s="35"/>
    </row>
    <row r="113" spans="1:18" ht="15.6" x14ac:dyDescent="0.3">
      <c r="A113" s="49"/>
      <c r="B113" s="58">
        <f ca="1">+'N° de Obs.'!M40</f>
        <v>100</v>
      </c>
      <c r="C113" s="58">
        <f ca="1">+'N° de Obs.'!N40</f>
        <v>4222</v>
      </c>
      <c r="D113" s="58">
        <f ca="1">+'N° de Obs.'!O40</f>
        <v>4222</v>
      </c>
      <c r="E113" s="49"/>
      <c r="F113" s="49"/>
      <c r="G113" s="49"/>
      <c r="H113" s="49"/>
      <c r="I113" s="49"/>
      <c r="J113" s="49"/>
      <c r="K113" s="49"/>
      <c r="L113" s="49"/>
      <c r="M113" s="49"/>
      <c r="N113" s="58" t="s">
        <v>117</v>
      </c>
      <c r="O113" s="58">
        <f ca="1">(O111*100)/O110</f>
        <v>5.7495957457606881</v>
      </c>
      <c r="P113" s="58" t="s">
        <v>8</v>
      </c>
      <c r="Q113" s="49"/>
      <c r="R113" s="35"/>
    </row>
    <row r="114" spans="1:18" ht="15.6" x14ac:dyDescent="0.3">
      <c r="A114" s="49"/>
      <c r="B114" s="58">
        <f ca="1">+'N° de Obs.'!M41</f>
        <v>90</v>
      </c>
      <c r="C114" s="58">
        <f ca="1">+'N° de Obs.'!N41</f>
        <v>4377</v>
      </c>
      <c r="D114" s="58">
        <f ca="1">+'N° de Obs.'!O41</f>
        <v>3939.3</v>
      </c>
      <c r="E114" s="49"/>
      <c r="F114" s="49"/>
      <c r="G114" s="49"/>
      <c r="H114" s="49"/>
      <c r="I114" s="49"/>
      <c r="J114" s="49"/>
      <c r="K114" s="49"/>
      <c r="L114" s="49"/>
      <c r="M114" s="49"/>
      <c r="N114" s="49"/>
      <c r="O114" s="49"/>
      <c r="P114" s="49"/>
      <c r="Q114" s="49"/>
      <c r="R114" s="35"/>
    </row>
    <row r="115" spans="1:18" ht="15.6" x14ac:dyDescent="0.3">
      <c r="A115" s="49"/>
      <c r="B115" s="58">
        <f ca="1">+'N° de Obs.'!M42</f>
        <v>85</v>
      </c>
      <c r="C115" s="58">
        <f ca="1">+'N° de Obs.'!N42</f>
        <v>4400</v>
      </c>
      <c r="D115" s="58">
        <f ca="1">+'N° de Obs.'!O42</f>
        <v>3740</v>
      </c>
      <c r="E115" s="49"/>
      <c r="F115" s="49"/>
      <c r="G115" s="49"/>
      <c r="H115" s="49"/>
      <c r="I115" s="49"/>
      <c r="J115" s="49"/>
      <c r="K115" s="49"/>
      <c r="L115" s="49"/>
      <c r="M115" s="49"/>
      <c r="N115" s="133" t="str">
        <f ca="1">IF(O113&lt;6,"Se puede continuar con el estudio","No se puede continuar con el estudio")</f>
        <v>Se puede continuar con el estudio</v>
      </c>
      <c r="O115" s="133"/>
      <c r="P115" s="49"/>
      <c r="Q115" s="49"/>
      <c r="R115" s="35"/>
    </row>
    <row r="116" spans="1:18" ht="15.6" x14ac:dyDescent="0.3">
      <c r="A116" s="49"/>
      <c r="B116" s="58">
        <f ca="1">+'N° de Obs.'!M43</f>
        <v>90</v>
      </c>
      <c r="C116" s="58">
        <f ca="1">+'N° de Obs.'!N43</f>
        <v>4320</v>
      </c>
      <c r="D116" s="58">
        <f ca="1">+'N° de Obs.'!O43</f>
        <v>3888</v>
      </c>
      <c r="E116" s="49"/>
      <c r="F116" s="49"/>
      <c r="G116" s="49"/>
      <c r="H116" s="49"/>
      <c r="I116" s="49"/>
      <c r="J116" s="49"/>
      <c r="K116" s="49"/>
      <c r="L116" s="49"/>
      <c r="M116" s="49"/>
      <c r="N116" s="133"/>
      <c r="O116" s="133"/>
      <c r="P116" s="49"/>
      <c r="Q116" s="49"/>
      <c r="R116" s="35"/>
    </row>
    <row r="117" spans="1:18" ht="15.6" x14ac:dyDescent="0.3">
      <c r="A117" s="49"/>
      <c r="B117" s="58">
        <f ca="1">+'N° de Obs.'!M44</f>
        <v>85</v>
      </c>
      <c r="C117" s="58">
        <f ca="1">+'N° de Obs.'!N44</f>
        <v>4403</v>
      </c>
      <c r="D117" s="58">
        <f ca="1">+'N° de Obs.'!O44</f>
        <v>3742.55</v>
      </c>
      <c r="E117" s="49"/>
      <c r="F117" s="49"/>
      <c r="G117" s="49"/>
      <c r="H117" s="49"/>
      <c r="I117" s="49"/>
      <c r="J117" s="49"/>
      <c r="K117" s="49"/>
      <c r="L117" s="49"/>
      <c r="M117" s="49"/>
      <c r="N117" s="49"/>
      <c r="O117" s="49"/>
      <c r="P117" s="49"/>
      <c r="Q117" s="49"/>
      <c r="R117" s="35"/>
    </row>
    <row r="118" spans="1:18" ht="15.6" x14ac:dyDescent="0.3">
      <c r="A118" s="49"/>
      <c r="B118" s="58">
        <f ca="1">+'N° de Obs.'!M45</f>
        <v>100</v>
      </c>
      <c r="C118" s="58">
        <f ca="1">+'N° de Obs.'!N45</f>
        <v>4368</v>
      </c>
      <c r="D118" s="58">
        <f ca="1">+'N° de Obs.'!O45</f>
        <v>4368</v>
      </c>
      <c r="E118" s="49"/>
      <c r="F118" s="49"/>
      <c r="G118" s="49"/>
      <c r="H118" s="49"/>
      <c r="I118" s="49"/>
      <c r="J118" s="49"/>
      <c r="K118" s="49"/>
      <c r="L118" s="49"/>
      <c r="M118" s="49"/>
      <c r="N118" s="49"/>
      <c r="O118" s="49"/>
      <c r="P118" s="49"/>
      <c r="Q118" s="49"/>
      <c r="R118" s="35"/>
    </row>
    <row r="119" spans="1:18" ht="15.6" x14ac:dyDescent="0.3">
      <c r="A119" s="49"/>
      <c r="B119" s="58">
        <f ca="1">+'N° de Obs.'!M46</f>
        <v>95</v>
      </c>
      <c r="C119" s="58">
        <f ca="1">+'N° de Obs.'!N46</f>
        <v>4383</v>
      </c>
      <c r="D119" s="58">
        <f ca="1">+'N° de Obs.'!O46</f>
        <v>4163.8500000000004</v>
      </c>
      <c r="E119" s="49"/>
      <c r="F119" s="49"/>
      <c r="G119" s="49"/>
      <c r="H119" s="49"/>
      <c r="I119" s="49"/>
      <c r="J119" s="49"/>
      <c r="K119" s="49"/>
      <c r="L119" s="49"/>
      <c r="M119" s="49"/>
      <c r="N119" s="49"/>
      <c r="O119" s="49"/>
      <c r="P119" s="49"/>
      <c r="Q119" s="49"/>
      <c r="R119" s="35"/>
    </row>
    <row r="120" spans="1:18" ht="15.6" x14ac:dyDescent="0.3">
      <c r="A120" s="49"/>
      <c r="B120" s="58">
        <f ca="1">+'N° de Obs.'!M47</f>
        <v>95</v>
      </c>
      <c r="C120" s="58">
        <f ca="1">+'N° de Obs.'!N47</f>
        <v>4233</v>
      </c>
      <c r="D120" s="58">
        <f ca="1">+'N° de Obs.'!O47</f>
        <v>4021.35</v>
      </c>
      <c r="E120" s="49"/>
      <c r="F120" s="49"/>
      <c r="G120" s="49"/>
      <c r="H120" s="49"/>
      <c r="I120" s="49"/>
      <c r="J120" s="49"/>
      <c r="K120" s="49"/>
      <c r="L120" s="49"/>
      <c r="M120" s="49"/>
      <c r="N120" s="49"/>
      <c r="O120" s="49"/>
      <c r="P120" s="49"/>
      <c r="Q120" s="49"/>
      <c r="R120" s="35"/>
    </row>
    <row r="121" spans="1:18" ht="15.6" x14ac:dyDescent="0.3">
      <c r="A121" s="49"/>
      <c r="B121" s="58">
        <f ca="1">+'N° de Obs.'!M48</f>
        <v>95</v>
      </c>
      <c r="C121" s="58">
        <f ca="1">+'N° de Obs.'!N48</f>
        <v>4246</v>
      </c>
      <c r="D121" s="58">
        <f ca="1">+'N° de Obs.'!O48</f>
        <v>4033.7</v>
      </c>
      <c r="E121" s="49"/>
      <c r="F121" s="49"/>
      <c r="G121" s="49"/>
      <c r="H121" s="49"/>
      <c r="I121" s="49"/>
      <c r="J121" s="49"/>
      <c r="K121" s="49"/>
      <c r="L121" s="49"/>
      <c r="M121" s="49"/>
      <c r="N121" s="49"/>
      <c r="O121" s="49"/>
      <c r="P121" s="49"/>
      <c r="Q121" s="49"/>
      <c r="R121" s="35"/>
    </row>
    <row r="122" spans="1:18" ht="15.6" x14ac:dyDescent="0.3">
      <c r="A122" s="49"/>
      <c r="B122" s="58">
        <f ca="1">+'N° de Obs.'!M49</f>
        <v>105</v>
      </c>
      <c r="C122" s="58">
        <f ca="1">+'N° de Obs.'!N49</f>
        <v>4398</v>
      </c>
      <c r="D122" s="58">
        <f ca="1">+'N° de Obs.'!O49</f>
        <v>4617.8999999999996</v>
      </c>
      <c r="E122" s="49"/>
      <c r="F122" s="49"/>
      <c r="G122" s="49"/>
      <c r="H122" s="49"/>
      <c r="I122" s="49"/>
      <c r="J122" s="49"/>
      <c r="K122" s="49"/>
      <c r="L122" s="49"/>
      <c r="M122" s="49"/>
      <c r="N122" s="49"/>
      <c r="O122" s="49"/>
      <c r="P122" s="49"/>
      <c r="Q122" s="49"/>
      <c r="R122" s="35"/>
    </row>
    <row r="123" spans="1:18" ht="15.6" x14ac:dyDescent="0.3">
      <c r="A123" s="49"/>
      <c r="B123" s="58">
        <f ca="1">+'N° de Obs.'!M50</f>
        <v>90</v>
      </c>
      <c r="C123" s="58">
        <f ca="1">+'N° de Obs.'!N50</f>
        <v>4279</v>
      </c>
      <c r="D123" s="58">
        <f ca="1">+'N° de Obs.'!O50</f>
        <v>3851.1</v>
      </c>
      <c r="E123" s="49"/>
      <c r="F123" s="49"/>
      <c r="G123" s="49"/>
      <c r="H123" s="49"/>
      <c r="I123" s="49"/>
      <c r="J123" s="49"/>
      <c r="K123" s="49"/>
      <c r="L123" s="49"/>
      <c r="M123" s="49"/>
      <c r="N123" s="49"/>
      <c r="O123" s="49"/>
      <c r="P123" s="49"/>
      <c r="Q123" s="49"/>
      <c r="R123" s="35"/>
    </row>
    <row r="124" spans="1:18" ht="15.6" x14ac:dyDescent="0.3">
      <c r="A124" s="49"/>
      <c r="B124" s="58">
        <f ca="1">+'N° de Obs.'!M51</f>
        <v>100</v>
      </c>
      <c r="C124" s="58">
        <f ca="1">+'N° de Obs.'!N51</f>
        <v>4174</v>
      </c>
      <c r="D124" s="58">
        <f ca="1">+'N° de Obs.'!O51</f>
        <v>4174</v>
      </c>
      <c r="E124" s="49"/>
      <c r="F124" s="49"/>
      <c r="G124" s="49"/>
      <c r="H124" s="49"/>
      <c r="I124" s="49"/>
      <c r="J124" s="49"/>
      <c r="K124" s="49"/>
      <c r="L124" s="49"/>
      <c r="M124" s="49"/>
      <c r="N124" s="49"/>
      <c r="O124" s="49"/>
      <c r="P124" s="49"/>
      <c r="Q124" s="49"/>
      <c r="R124" s="35"/>
    </row>
    <row r="125" spans="1:18" ht="15.6" x14ac:dyDescent="0.3">
      <c r="A125" s="49"/>
      <c r="B125" s="58">
        <f ca="1">+'N° de Obs.'!M52</f>
        <v>95</v>
      </c>
      <c r="C125" s="58">
        <f ca="1">+'N° de Obs.'!N52</f>
        <v>4269</v>
      </c>
      <c r="D125" s="58">
        <f ca="1">+'N° de Obs.'!O52</f>
        <v>4055.55</v>
      </c>
      <c r="E125" s="49"/>
      <c r="F125" s="49"/>
      <c r="G125" s="49"/>
      <c r="H125" s="49"/>
      <c r="I125" s="49"/>
      <c r="J125" s="49"/>
      <c r="K125" s="49"/>
      <c r="L125" s="49"/>
      <c r="M125" s="49"/>
      <c r="N125" s="49"/>
      <c r="O125" s="49"/>
      <c r="P125" s="49"/>
      <c r="Q125" s="49"/>
      <c r="R125" s="35"/>
    </row>
    <row r="126" spans="1:18" ht="15.6" x14ac:dyDescent="0.3">
      <c r="A126" s="49"/>
      <c r="B126" s="58">
        <f ca="1">+'N° de Obs.'!M53</f>
        <v>95</v>
      </c>
      <c r="C126" s="58">
        <f ca="1">+'N° de Obs.'!N53</f>
        <v>4174</v>
      </c>
      <c r="D126" s="58">
        <f ca="1">+'N° de Obs.'!O53</f>
        <v>3965.3</v>
      </c>
      <c r="E126" s="49"/>
      <c r="F126" s="49"/>
      <c r="G126" s="49"/>
      <c r="H126" s="49"/>
      <c r="I126" s="49"/>
      <c r="J126" s="49"/>
      <c r="K126" s="49"/>
      <c r="L126" s="49"/>
      <c r="M126" s="49"/>
      <c r="N126" s="49"/>
      <c r="O126" s="49"/>
      <c r="P126" s="49"/>
      <c r="Q126" s="49"/>
      <c r="R126" s="35"/>
    </row>
    <row r="127" spans="1:18" ht="15.6" x14ac:dyDescent="0.3">
      <c r="A127" s="49"/>
      <c r="B127" s="49"/>
      <c r="C127" s="49"/>
      <c r="D127" s="49"/>
      <c r="E127" s="49"/>
      <c r="F127" s="49"/>
      <c r="G127" s="49"/>
      <c r="H127" s="49"/>
      <c r="I127" s="49"/>
      <c r="J127" s="49"/>
      <c r="K127" s="49"/>
      <c r="L127" s="49"/>
      <c r="M127" s="49"/>
      <c r="N127" s="49"/>
      <c r="O127" s="49"/>
      <c r="P127" s="49"/>
      <c r="Q127" s="49"/>
      <c r="R127" s="35"/>
    </row>
    <row r="128" spans="1:18" ht="15.6" x14ac:dyDescent="0.3">
      <c r="A128" s="49"/>
      <c r="B128" s="49"/>
      <c r="C128" s="49"/>
      <c r="D128" s="49"/>
      <c r="E128" s="49"/>
      <c r="F128" s="49"/>
      <c r="G128" s="49"/>
      <c r="H128" s="49"/>
      <c r="I128" s="49"/>
      <c r="J128" s="49"/>
      <c r="K128" s="49"/>
      <c r="L128" s="49"/>
      <c r="M128" s="49"/>
      <c r="N128" s="49"/>
      <c r="O128" s="49"/>
      <c r="P128" s="49"/>
      <c r="Q128" s="49"/>
      <c r="R128" s="35"/>
    </row>
    <row r="129" spans="1:18" ht="15.6" x14ac:dyDescent="0.3">
      <c r="A129" s="49"/>
      <c r="B129" s="49"/>
      <c r="C129" s="49"/>
      <c r="D129" s="58" t="s">
        <v>23</v>
      </c>
      <c r="E129" s="58">
        <f ca="1">COUNTA(C107:C126)</f>
        <v>20</v>
      </c>
      <c r="F129" s="49"/>
      <c r="G129" s="49"/>
      <c r="H129" s="58">
        <f ca="1">MIN(D107:D126)</f>
        <v>3740</v>
      </c>
      <c r="I129" s="52">
        <v>100</v>
      </c>
      <c r="J129" s="53" t="s">
        <v>8</v>
      </c>
      <c r="K129" s="49"/>
      <c r="L129" s="58" t="s">
        <v>118</v>
      </c>
      <c r="M129" s="58">
        <f ca="1">ROUND(MIN(D107:D126),0)</f>
        <v>3740</v>
      </c>
      <c r="N129" s="49"/>
      <c r="O129" s="49"/>
      <c r="P129" s="49"/>
      <c r="Q129" s="49"/>
      <c r="R129" s="35"/>
    </row>
    <row r="130" spans="1:18" ht="15.6" x14ac:dyDescent="0.3">
      <c r="A130" s="49"/>
      <c r="B130" s="49"/>
      <c r="C130" s="49"/>
      <c r="D130" s="49"/>
      <c r="E130" s="49"/>
      <c r="F130" s="49"/>
      <c r="G130" s="49"/>
      <c r="H130" s="60">
        <f ca="1">(I130*H129)/I129</f>
        <v>187</v>
      </c>
      <c r="I130" s="56">
        <v>5</v>
      </c>
      <c r="J130" s="57" t="s">
        <v>8</v>
      </c>
      <c r="K130" s="49"/>
      <c r="L130" s="58" t="s">
        <v>119</v>
      </c>
      <c r="M130" s="58">
        <f ca="1">ROUND(MAX(D107:D126),0)</f>
        <v>4618</v>
      </c>
      <c r="N130" s="49"/>
      <c r="O130" s="49"/>
      <c r="P130" s="49"/>
      <c r="Q130" s="49"/>
      <c r="R130" s="35"/>
    </row>
    <row r="131" spans="1:18" ht="15.6" x14ac:dyDescent="0.3">
      <c r="A131" s="49"/>
      <c r="B131" s="134" t="s">
        <v>24</v>
      </c>
      <c r="C131" s="134"/>
      <c r="D131" s="134"/>
      <c r="E131" s="58">
        <f ca="1">ROUND(SUM(D107:D126)/E129,0)</f>
        <v>4111</v>
      </c>
      <c r="F131" s="49"/>
      <c r="G131" s="49"/>
      <c r="H131" s="49"/>
      <c r="I131" s="49"/>
      <c r="J131" s="49"/>
      <c r="K131" s="49"/>
      <c r="L131" s="49"/>
      <c r="M131" s="49"/>
      <c r="N131" s="49"/>
      <c r="O131" s="49"/>
      <c r="P131" s="49"/>
      <c r="Q131" s="49"/>
      <c r="R131" s="35"/>
    </row>
    <row r="132" spans="1:18" ht="15.6" x14ac:dyDescent="0.3">
      <c r="A132" s="49"/>
      <c r="B132" s="49"/>
      <c r="C132" s="49"/>
      <c r="D132" s="49"/>
      <c r="E132" s="49"/>
      <c r="F132" s="49"/>
      <c r="G132" s="49"/>
      <c r="H132" s="49"/>
      <c r="I132" s="49"/>
      <c r="J132" s="49"/>
      <c r="K132" s="49"/>
      <c r="L132" s="49"/>
      <c r="M132" s="49"/>
      <c r="N132" s="49"/>
      <c r="O132" s="49"/>
      <c r="P132" s="49"/>
      <c r="Q132" s="49"/>
      <c r="R132" s="35"/>
    </row>
    <row r="133" spans="1:18" ht="15.6" x14ac:dyDescent="0.3">
      <c r="A133" s="49"/>
      <c r="B133" s="40"/>
      <c r="C133" s="40"/>
      <c r="D133" s="40"/>
      <c r="E133" s="40"/>
      <c r="F133" s="40"/>
      <c r="G133" s="40"/>
      <c r="H133" s="40"/>
      <c r="I133" s="40"/>
      <c r="J133" s="40"/>
      <c r="K133" s="40"/>
      <c r="L133" s="40"/>
      <c r="M133" s="40"/>
      <c r="N133" s="40"/>
      <c r="O133" s="40"/>
      <c r="P133" s="40"/>
      <c r="Q133" s="40"/>
    </row>
    <row r="134" spans="1:18" ht="15.6" x14ac:dyDescent="0.3">
      <c r="A134" s="40"/>
      <c r="B134" s="40"/>
      <c r="C134" s="40"/>
      <c r="D134" s="40"/>
      <c r="E134" s="40"/>
      <c r="F134" s="40"/>
      <c r="G134" s="40"/>
      <c r="H134" s="40"/>
      <c r="I134" s="40"/>
      <c r="J134" s="40"/>
      <c r="K134" s="40"/>
      <c r="L134" s="40"/>
      <c r="M134" s="40"/>
      <c r="N134" s="40"/>
      <c r="O134" s="40"/>
      <c r="P134" s="40"/>
      <c r="Q134" s="40"/>
    </row>
    <row r="135" spans="1:18" ht="15.6" x14ac:dyDescent="0.3">
      <c r="A135" s="40"/>
      <c r="B135" s="40"/>
      <c r="C135" s="40"/>
      <c r="D135" s="40"/>
      <c r="E135" s="40"/>
      <c r="F135" s="40"/>
      <c r="G135" s="40"/>
      <c r="H135" s="40"/>
      <c r="I135" s="40"/>
      <c r="J135" s="40"/>
      <c r="K135" s="40"/>
      <c r="L135" s="40"/>
      <c r="M135" s="40"/>
      <c r="N135" s="40"/>
      <c r="O135" s="40"/>
      <c r="P135" s="40"/>
      <c r="Q135" s="40"/>
    </row>
    <row r="136" spans="1:18" ht="15.6" x14ac:dyDescent="0.3">
      <c r="A136" s="40"/>
      <c r="B136" s="40"/>
      <c r="C136" s="40"/>
      <c r="D136" s="40"/>
      <c r="E136" s="40"/>
      <c r="F136" s="40"/>
      <c r="G136" s="40"/>
      <c r="H136" s="40"/>
      <c r="I136" s="40"/>
      <c r="J136" s="40"/>
      <c r="K136" s="40"/>
      <c r="L136" s="40"/>
      <c r="M136" s="40"/>
      <c r="N136" s="40"/>
      <c r="O136" s="40"/>
      <c r="P136" s="40"/>
      <c r="Q136" s="40"/>
    </row>
    <row r="137" spans="1:18" ht="15.6" x14ac:dyDescent="0.3">
      <c r="A137" s="40"/>
      <c r="B137" s="40"/>
      <c r="C137" s="40"/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</row>
    <row r="138" spans="1:18" ht="15.6" x14ac:dyDescent="0.3">
      <c r="A138" s="40"/>
      <c r="B138" s="40"/>
      <c r="C138" s="40"/>
      <c r="D138" s="40"/>
      <c r="E138" s="40"/>
      <c r="F138" s="40"/>
      <c r="G138" s="40"/>
      <c r="H138" s="40"/>
      <c r="I138" s="40"/>
      <c r="J138" s="40"/>
      <c r="K138" s="40"/>
      <c r="L138" s="40"/>
      <c r="M138" s="40"/>
      <c r="N138" s="40"/>
      <c r="O138" s="40"/>
      <c r="P138" s="40"/>
      <c r="Q138" s="40"/>
    </row>
    <row r="139" spans="1:18" ht="15.6" x14ac:dyDescent="0.3">
      <c r="A139" s="40"/>
      <c r="B139" s="40"/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</row>
    <row r="140" spans="1:18" ht="15.6" x14ac:dyDescent="0.3">
      <c r="A140" s="40"/>
      <c r="B140" s="40"/>
      <c r="C140" s="40"/>
      <c r="D140" s="40"/>
      <c r="E140" s="40"/>
      <c r="F140" s="40"/>
      <c r="G140" s="40"/>
      <c r="H140" s="40"/>
      <c r="I140" s="40"/>
      <c r="J140" s="40"/>
      <c r="K140" s="40"/>
      <c r="L140" s="40"/>
      <c r="M140" s="40"/>
      <c r="N140" s="40"/>
      <c r="O140" s="40"/>
      <c r="P140" s="40"/>
      <c r="Q140" s="40"/>
    </row>
    <row r="141" spans="1:18" ht="15.6" x14ac:dyDescent="0.3">
      <c r="A141" s="40"/>
      <c r="B141" s="40"/>
      <c r="C141" s="40"/>
      <c r="D141" s="40"/>
      <c r="E141" s="40"/>
      <c r="F141" s="40"/>
      <c r="G141" s="40"/>
      <c r="H141" s="40"/>
      <c r="I141" s="40"/>
      <c r="J141" s="40"/>
      <c r="K141" s="40"/>
      <c r="L141" s="40"/>
      <c r="M141" s="40"/>
      <c r="N141" s="40"/>
      <c r="O141" s="40"/>
      <c r="P141" s="40"/>
      <c r="Q141" s="40"/>
    </row>
    <row r="142" spans="1:18" ht="15.6" x14ac:dyDescent="0.3">
      <c r="A142" s="40"/>
      <c r="B142" s="40"/>
      <c r="C142" s="40"/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</row>
    <row r="143" spans="1:18" ht="15.6" x14ac:dyDescent="0.3">
      <c r="A143" s="40"/>
      <c r="B143" s="40"/>
      <c r="C143" s="40"/>
      <c r="D143" s="40"/>
      <c r="E143" s="40"/>
      <c r="F143" s="40"/>
      <c r="G143" s="40"/>
      <c r="H143" s="40"/>
      <c r="I143" s="40"/>
      <c r="J143" s="40"/>
      <c r="K143" s="40"/>
      <c r="L143" s="40"/>
      <c r="M143" s="40"/>
      <c r="N143" s="40"/>
      <c r="O143" s="40"/>
      <c r="P143" s="40"/>
      <c r="Q143" s="40"/>
    </row>
    <row r="144" spans="1:18" ht="15.6" x14ac:dyDescent="0.3">
      <c r="A144" s="40"/>
      <c r="B144" s="40"/>
      <c r="C144" s="40"/>
      <c r="D144" s="40"/>
      <c r="E144" s="40"/>
      <c r="F144" s="40"/>
      <c r="G144" s="40"/>
      <c r="H144" s="40"/>
      <c r="I144" s="40"/>
      <c r="J144" s="40"/>
      <c r="K144" s="40"/>
      <c r="L144" s="40"/>
      <c r="M144" s="40"/>
      <c r="N144" s="40"/>
      <c r="O144" s="40"/>
      <c r="P144" s="40"/>
      <c r="Q144" s="40"/>
    </row>
    <row r="145" spans="1:17" ht="15.6" x14ac:dyDescent="0.3">
      <c r="A145" s="40"/>
      <c r="B145" s="40"/>
      <c r="C145" s="40"/>
      <c r="D145" s="40"/>
      <c r="E145" s="40"/>
      <c r="F145" s="40"/>
      <c r="G145" s="40"/>
      <c r="H145" s="40"/>
      <c r="I145" s="40"/>
      <c r="J145" s="40"/>
      <c r="K145" s="40"/>
      <c r="L145" s="40"/>
      <c r="M145" s="40"/>
      <c r="N145" s="40"/>
      <c r="O145" s="40"/>
      <c r="P145" s="40"/>
      <c r="Q145" s="40"/>
    </row>
    <row r="146" spans="1:17" ht="15.6" x14ac:dyDescent="0.3">
      <c r="A146" s="40"/>
      <c r="B146" s="40"/>
      <c r="C146" s="40"/>
      <c r="D146" s="40"/>
      <c r="E146" s="40"/>
      <c r="F146" s="40"/>
      <c r="G146" s="40"/>
      <c r="H146" s="40"/>
      <c r="I146" s="40"/>
      <c r="J146" s="40"/>
      <c r="K146" s="40"/>
      <c r="L146" s="40"/>
      <c r="M146" s="40"/>
      <c r="N146" s="40"/>
      <c r="O146" s="40"/>
      <c r="P146" s="40"/>
      <c r="Q146" s="40"/>
    </row>
    <row r="147" spans="1:17" ht="15.6" x14ac:dyDescent="0.3">
      <c r="A147" s="40"/>
      <c r="B147" s="40"/>
      <c r="C147" s="40"/>
      <c r="D147" s="40"/>
      <c r="E147" s="40"/>
      <c r="F147" s="40"/>
      <c r="G147" s="40"/>
      <c r="H147" s="40"/>
      <c r="I147" s="40"/>
      <c r="J147" s="40"/>
      <c r="K147" s="40"/>
      <c r="L147" s="40"/>
      <c r="M147" s="40"/>
      <c r="N147" s="40"/>
      <c r="O147" s="40"/>
      <c r="P147" s="40"/>
      <c r="Q147" s="40"/>
    </row>
    <row r="148" spans="1:17" ht="15.6" x14ac:dyDescent="0.3">
      <c r="A148" s="40"/>
      <c r="B148" s="40"/>
      <c r="C148" s="40"/>
      <c r="D148" s="40"/>
      <c r="E148" s="40"/>
      <c r="F148" s="40"/>
      <c r="G148" s="40"/>
      <c r="H148" s="40"/>
      <c r="I148" s="40"/>
      <c r="J148" s="40"/>
      <c r="K148" s="40"/>
      <c r="L148" s="40"/>
      <c r="M148" s="40"/>
      <c r="N148" s="40"/>
      <c r="O148" s="40"/>
      <c r="P148" s="40"/>
      <c r="Q148" s="40"/>
    </row>
    <row r="149" spans="1:17" ht="15.6" x14ac:dyDescent="0.3">
      <c r="A149" s="40"/>
      <c r="B149" s="40"/>
      <c r="C149" s="40"/>
      <c r="D149" s="40"/>
      <c r="E149" s="40"/>
      <c r="F149" s="40"/>
      <c r="G149" s="40"/>
      <c r="H149" s="40"/>
      <c r="I149" s="40"/>
      <c r="J149" s="40"/>
      <c r="K149" s="40"/>
      <c r="L149" s="40"/>
      <c r="M149" s="40"/>
      <c r="N149" s="40"/>
      <c r="O149" s="40"/>
      <c r="P149" s="40"/>
      <c r="Q149" s="40"/>
    </row>
    <row r="150" spans="1:17" ht="15.6" x14ac:dyDescent="0.3">
      <c r="A150" s="40"/>
      <c r="B150" s="40"/>
      <c r="C150" s="40"/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</row>
    <row r="151" spans="1:17" ht="15.6" x14ac:dyDescent="0.3">
      <c r="A151" s="40"/>
      <c r="B151" s="40"/>
      <c r="C151" s="40"/>
      <c r="D151" s="40"/>
      <c r="E151" s="40"/>
      <c r="F151" s="40"/>
      <c r="G151" s="40"/>
      <c r="H151" s="40"/>
      <c r="I151" s="40"/>
      <c r="J151" s="40"/>
      <c r="K151" s="40"/>
      <c r="L151" s="40"/>
      <c r="M151" s="40"/>
      <c r="N151" s="40"/>
      <c r="O151" s="40"/>
      <c r="P151" s="40"/>
      <c r="Q151" s="40"/>
    </row>
    <row r="152" spans="1:17" ht="15.6" x14ac:dyDescent="0.3">
      <c r="A152" s="40"/>
      <c r="B152" s="40"/>
      <c r="C152" s="40"/>
      <c r="D152" s="40"/>
      <c r="E152" s="40"/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0"/>
    </row>
    <row r="153" spans="1:17" ht="15.6" x14ac:dyDescent="0.3">
      <c r="A153" s="40"/>
      <c r="B153" s="40"/>
      <c r="C153" s="40"/>
      <c r="D153" s="40"/>
      <c r="E153" s="40"/>
      <c r="F153" s="40"/>
      <c r="G153" s="40"/>
      <c r="H153" s="40"/>
      <c r="I153" s="40"/>
      <c r="J153" s="40"/>
      <c r="K153" s="40"/>
      <c r="L153" s="40"/>
      <c r="M153" s="40"/>
      <c r="N153" s="40"/>
      <c r="O153" s="40"/>
      <c r="P153" s="40"/>
      <c r="Q153" s="40"/>
    </row>
    <row r="154" spans="1:17" ht="15.6" x14ac:dyDescent="0.3">
      <c r="A154" s="40"/>
      <c r="B154" s="40"/>
      <c r="C154" s="40"/>
      <c r="D154" s="40"/>
      <c r="E154" s="40"/>
      <c r="F154" s="40"/>
      <c r="G154" s="40"/>
      <c r="H154" s="40"/>
      <c r="I154" s="40"/>
      <c r="J154" s="40"/>
      <c r="K154" s="40"/>
      <c r="L154" s="40"/>
      <c r="M154" s="40"/>
      <c r="N154" s="40"/>
      <c r="O154" s="40"/>
      <c r="P154" s="40"/>
      <c r="Q154" s="40"/>
    </row>
    <row r="155" spans="1:17" ht="15.6" x14ac:dyDescent="0.3">
      <c r="A155" s="40"/>
      <c r="B155" s="40"/>
      <c r="C155" s="40"/>
      <c r="D155" s="40"/>
      <c r="E155" s="40"/>
      <c r="F155" s="40"/>
      <c r="G155" s="40"/>
      <c r="H155" s="40"/>
      <c r="I155" s="40"/>
      <c r="J155" s="40"/>
      <c r="K155" s="40"/>
      <c r="L155" s="40"/>
      <c r="M155" s="40"/>
      <c r="N155" s="40"/>
      <c r="O155" s="40"/>
      <c r="P155" s="40"/>
      <c r="Q155" s="40"/>
    </row>
    <row r="156" spans="1:17" ht="15.6" x14ac:dyDescent="0.3">
      <c r="A156" s="40"/>
      <c r="B156" s="40"/>
      <c r="C156" s="40"/>
      <c r="D156" s="40"/>
      <c r="E156" s="40"/>
      <c r="F156" s="40"/>
      <c r="G156" s="40"/>
      <c r="H156" s="40"/>
      <c r="I156" s="40"/>
      <c r="J156" s="40"/>
      <c r="K156" s="40"/>
      <c r="L156" s="40"/>
      <c r="M156" s="40"/>
      <c r="N156" s="40"/>
      <c r="O156" s="40"/>
      <c r="P156" s="40"/>
      <c r="Q156" s="40"/>
    </row>
    <row r="157" spans="1:17" ht="15.6" x14ac:dyDescent="0.3">
      <c r="A157" s="40"/>
      <c r="B157" s="40"/>
      <c r="C157" s="40"/>
      <c r="D157" s="40"/>
      <c r="E157" s="40"/>
      <c r="F157" s="40"/>
      <c r="G157" s="40"/>
      <c r="H157" s="40"/>
      <c r="I157" s="40"/>
      <c r="J157" s="40"/>
      <c r="K157" s="40"/>
      <c r="L157" s="40"/>
      <c r="M157" s="40"/>
      <c r="N157" s="40"/>
      <c r="O157" s="40"/>
      <c r="P157" s="40"/>
      <c r="Q157" s="40"/>
    </row>
    <row r="158" spans="1:17" ht="15.6" x14ac:dyDescent="0.3">
      <c r="A158" s="40"/>
      <c r="B158" s="40"/>
      <c r="C158" s="40"/>
      <c r="D158" s="40"/>
      <c r="E158" s="40"/>
      <c r="F158" s="40"/>
      <c r="G158" s="40"/>
      <c r="H158" s="40"/>
      <c r="I158" s="40"/>
      <c r="J158" s="40"/>
      <c r="K158" s="40"/>
      <c r="L158" s="40"/>
      <c r="M158" s="40"/>
      <c r="N158" s="40"/>
      <c r="O158" s="40"/>
      <c r="P158" s="40"/>
      <c r="Q158" s="40"/>
    </row>
    <row r="159" spans="1:17" ht="15.6" x14ac:dyDescent="0.3">
      <c r="A159" s="40"/>
      <c r="B159" s="40"/>
      <c r="C159" s="40"/>
      <c r="D159" s="40"/>
      <c r="E159" s="40"/>
      <c r="F159" s="40"/>
      <c r="G159" s="40"/>
      <c r="H159" s="40"/>
      <c r="I159" s="40"/>
      <c r="J159" s="40"/>
      <c r="K159" s="40"/>
      <c r="L159" s="40"/>
      <c r="M159" s="40"/>
      <c r="N159" s="40"/>
      <c r="O159" s="40"/>
      <c r="P159" s="40"/>
      <c r="Q159" s="40"/>
    </row>
    <row r="160" spans="1:17" ht="15.6" x14ac:dyDescent="0.3">
      <c r="A160" s="40"/>
      <c r="B160" s="40"/>
      <c r="C160" s="40"/>
      <c r="D160" s="40"/>
      <c r="E160" s="40"/>
      <c r="F160" s="40"/>
      <c r="G160" s="40"/>
      <c r="H160" s="40"/>
      <c r="I160" s="40"/>
      <c r="J160" s="40"/>
      <c r="K160" s="40"/>
      <c r="L160" s="40"/>
      <c r="M160" s="40"/>
      <c r="N160" s="40"/>
      <c r="O160" s="40"/>
      <c r="P160" s="40"/>
      <c r="Q160" s="40"/>
    </row>
    <row r="161" spans="1:17" ht="15.6" x14ac:dyDescent="0.3">
      <c r="A161" s="40"/>
      <c r="B161" s="40"/>
      <c r="C161" s="40"/>
      <c r="D161" s="40"/>
      <c r="E161" s="40"/>
      <c r="F161" s="40"/>
      <c r="G161" s="40"/>
      <c r="H161" s="40"/>
      <c r="I161" s="40"/>
      <c r="J161" s="40"/>
      <c r="K161" s="40"/>
      <c r="L161" s="40"/>
      <c r="M161" s="40"/>
      <c r="N161" s="40"/>
      <c r="O161" s="40"/>
      <c r="P161" s="40"/>
      <c r="Q161" s="40"/>
    </row>
    <row r="162" spans="1:17" ht="15.6" x14ac:dyDescent="0.3">
      <c r="A162" s="40"/>
      <c r="B162" s="40"/>
      <c r="C162" s="40"/>
      <c r="D162" s="40"/>
      <c r="E162" s="40"/>
      <c r="F162" s="40"/>
      <c r="G162" s="40"/>
      <c r="H162" s="40"/>
      <c r="I162" s="40"/>
      <c r="J162" s="40"/>
      <c r="K162" s="40"/>
      <c r="L162" s="40"/>
      <c r="M162" s="40"/>
      <c r="N162" s="40"/>
      <c r="O162" s="40"/>
      <c r="P162" s="40"/>
      <c r="Q162" s="40"/>
    </row>
    <row r="163" spans="1:17" ht="15.6" x14ac:dyDescent="0.3">
      <c r="A163" s="40"/>
      <c r="B163" s="40"/>
      <c r="C163" s="40"/>
      <c r="D163" s="40"/>
      <c r="E163" s="40"/>
      <c r="F163" s="40"/>
      <c r="G163" s="40"/>
      <c r="H163" s="40"/>
      <c r="I163" s="40"/>
      <c r="J163" s="40"/>
      <c r="K163" s="40"/>
      <c r="L163" s="40"/>
      <c r="M163" s="40"/>
      <c r="N163" s="40"/>
      <c r="O163" s="40"/>
      <c r="P163" s="40"/>
      <c r="Q163" s="40"/>
    </row>
    <row r="164" spans="1:17" ht="15.6" x14ac:dyDescent="0.3">
      <c r="A164" s="40"/>
      <c r="B164" s="40"/>
      <c r="C164" s="40"/>
      <c r="D164" s="40"/>
      <c r="E164" s="40"/>
      <c r="F164" s="40"/>
      <c r="G164" s="40"/>
      <c r="H164" s="40"/>
      <c r="I164" s="40"/>
      <c r="J164" s="40"/>
      <c r="K164" s="40"/>
      <c r="L164" s="40"/>
      <c r="M164" s="40"/>
      <c r="N164" s="40"/>
      <c r="O164" s="40"/>
      <c r="P164" s="40"/>
      <c r="Q164" s="40"/>
    </row>
    <row r="165" spans="1:17" ht="15.6" x14ac:dyDescent="0.3">
      <c r="A165" s="40"/>
      <c r="B165" s="40"/>
      <c r="C165" s="40"/>
      <c r="D165" s="40"/>
      <c r="E165" s="40"/>
      <c r="F165" s="40"/>
      <c r="G165" s="40"/>
      <c r="H165" s="40"/>
      <c r="I165" s="40"/>
      <c r="J165" s="40"/>
      <c r="K165" s="40"/>
      <c r="L165" s="40"/>
      <c r="M165" s="40"/>
      <c r="N165" s="40"/>
      <c r="O165" s="40"/>
      <c r="P165" s="40"/>
      <c r="Q165" s="40"/>
    </row>
    <row r="166" spans="1:17" ht="15.6" x14ac:dyDescent="0.3">
      <c r="A166" s="40"/>
      <c r="B166" s="40"/>
      <c r="C166" s="40"/>
      <c r="D166" s="40"/>
      <c r="E166" s="40"/>
      <c r="F166" s="40"/>
      <c r="G166" s="40"/>
      <c r="H166" s="40"/>
      <c r="I166" s="40"/>
      <c r="J166" s="40"/>
      <c r="K166" s="40"/>
      <c r="L166" s="40"/>
      <c r="M166" s="40"/>
      <c r="N166" s="40"/>
      <c r="O166" s="40"/>
      <c r="P166" s="40"/>
      <c r="Q166" s="40"/>
    </row>
    <row r="167" spans="1:17" ht="15.6" x14ac:dyDescent="0.3">
      <c r="A167" s="40"/>
      <c r="B167" s="40"/>
      <c r="C167" s="40"/>
      <c r="D167" s="40"/>
      <c r="E167" s="40"/>
      <c r="F167" s="40"/>
      <c r="G167" s="40"/>
      <c r="H167" s="40"/>
      <c r="I167" s="40"/>
      <c r="J167" s="40"/>
      <c r="K167" s="40"/>
      <c r="L167" s="40"/>
      <c r="M167" s="40"/>
      <c r="N167" s="40"/>
      <c r="O167" s="40"/>
      <c r="P167" s="40"/>
      <c r="Q167" s="40"/>
    </row>
    <row r="168" spans="1:17" ht="15.6" x14ac:dyDescent="0.3">
      <c r="A168" s="40"/>
      <c r="B168" s="40"/>
      <c r="C168" s="40"/>
      <c r="D168" s="40"/>
      <c r="E168" s="40"/>
      <c r="F168" s="40"/>
      <c r="G168" s="40"/>
      <c r="H168" s="40"/>
      <c r="I168" s="40"/>
      <c r="J168" s="40"/>
      <c r="K168" s="40"/>
      <c r="L168" s="40"/>
      <c r="M168" s="40"/>
      <c r="N168" s="40"/>
      <c r="O168" s="40"/>
      <c r="P168" s="40"/>
      <c r="Q168" s="40"/>
    </row>
    <row r="169" spans="1:17" ht="15.6" x14ac:dyDescent="0.3">
      <c r="A169" s="40"/>
      <c r="B169" s="40"/>
      <c r="C169" s="40"/>
      <c r="D169" s="40"/>
      <c r="E169" s="40"/>
      <c r="F169" s="40"/>
      <c r="G169" s="40"/>
      <c r="H169" s="40"/>
      <c r="I169" s="40"/>
      <c r="J169" s="40"/>
      <c r="K169" s="40"/>
      <c r="L169" s="40"/>
      <c r="M169" s="40"/>
      <c r="N169" s="40"/>
      <c r="O169" s="40"/>
      <c r="P169" s="40"/>
      <c r="Q169" s="40"/>
    </row>
    <row r="170" spans="1:17" ht="15.6" x14ac:dyDescent="0.3">
      <c r="A170" s="40"/>
      <c r="B170" s="40"/>
      <c r="C170" s="40"/>
      <c r="D170" s="40"/>
      <c r="E170" s="40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</row>
    <row r="171" spans="1:17" ht="15.6" x14ac:dyDescent="0.3">
      <c r="A171" s="40"/>
      <c r="B171" s="40"/>
      <c r="C171" s="40"/>
      <c r="D171" s="40"/>
      <c r="E171" s="40"/>
      <c r="F171" s="40"/>
      <c r="G171" s="40"/>
      <c r="H171" s="40"/>
      <c r="I171" s="40"/>
      <c r="J171" s="40"/>
      <c r="K171" s="40"/>
      <c r="L171" s="40"/>
      <c r="M171" s="40"/>
      <c r="N171" s="40"/>
      <c r="O171" s="40"/>
      <c r="P171" s="40"/>
      <c r="Q171" s="40"/>
    </row>
    <row r="172" spans="1:17" ht="15.6" x14ac:dyDescent="0.3">
      <c r="A172" s="40"/>
      <c r="B172" s="40"/>
      <c r="C172" s="40"/>
      <c r="D172" s="40"/>
      <c r="E172" s="40"/>
      <c r="F172" s="40"/>
      <c r="G172" s="40"/>
      <c r="H172" s="40"/>
      <c r="I172" s="40"/>
      <c r="J172" s="40"/>
      <c r="K172" s="40"/>
      <c r="L172" s="40"/>
      <c r="M172" s="40"/>
      <c r="N172" s="40"/>
      <c r="O172" s="40"/>
      <c r="P172" s="40"/>
      <c r="Q172" s="40"/>
    </row>
    <row r="173" spans="1:17" ht="15.6" x14ac:dyDescent="0.3">
      <c r="A173" s="40"/>
      <c r="B173" s="40"/>
      <c r="C173" s="40"/>
      <c r="D173" s="40"/>
      <c r="E173" s="40"/>
      <c r="F173" s="40"/>
      <c r="G173" s="40"/>
      <c r="H173" s="40"/>
      <c r="I173" s="40"/>
      <c r="J173" s="40"/>
      <c r="K173" s="40"/>
      <c r="L173" s="40"/>
      <c r="M173" s="40"/>
      <c r="N173" s="40"/>
      <c r="O173" s="40"/>
      <c r="P173" s="40"/>
      <c r="Q173" s="40"/>
    </row>
    <row r="174" spans="1:17" ht="15.6" x14ac:dyDescent="0.3">
      <c r="A174" s="40"/>
      <c r="B174" s="40"/>
      <c r="C174" s="40"/>
      <c r="D174" s="40"/>
      <c r="E174" s="40"/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P174" s="40"/>
      <c r="Q174" s="40"/>
    </row>
    <row r="175" spans="1:17" ht="15.6" x14ac:dyDescent="0.3">
      <c r="A175" s="40"/>
      <c r="B175" s="40"/>
      <c r="C175" s="40"/>
      <c r="D175" s="40"/>
      <c r="E175" s="40"/>
      <c r="F175" s="40"/>
      <c r="G175" s="40"/>
      <c r="H175" s="40"/>
      <c r="I175" s="40"/>
      <c r="J175" s="40"/>
      <c r="K175" s="40"/>
      <c r="L175" s="40"/>
      <c r="M175" s="40"/>
      <c r="N175" s="40"/>
      <c r="O175" s="40"/>
      <c r="P175" s="40"/>
      <c r="Q175" s="40"/>
    </row>
    <row r="176" spans="1:17" ht="15.6" x14ac:dyDescent="0.3">
      <c r="A176" s="40"/>
      <c r="B176" s="40"/>
      <c r="C176" s="40"/>
      <c r="D176" s="40"/>
      <c r="E176" s="40"/>
      <c r="F176" s="40"/>
      <c r="G176" s="40"/>
      <c r="H176" s="40"/>
      <c r="I176" s="40"/>
      <c r="J176" s="40"/>
      <c r="K176" s="40"/>
      <c r="L176" s="40"/>
      <c r="M176" s="40"/>
      <c r="N176" s="40"/>
      <c r="O176" s="40"/>
      <c r="P176" s="40"/>
      <c r="Q176" s="40"/>
    </row>
    <row r="177" spans="1:17" ht="15.6" x14ac:dyDescent="0.3">
      <c r="A177" s="40"/>
      <c r="B177" s="40"/>
      <c r="C177" s="40"/>
      <c r="D177" s="40"/>
      <c r="E177" s="40"/>
      <c r="F177" s="40"/>
      <c r="G177" s="40"/>
      <c r="H177" s="40"/>
      <c r="I177" s="40"/>
      <c r="J177" s="40"/>
      <c r="K177" s="40"/>
      <c r="L177" s="40"/>
      <c r="M177" s="40"/>
      <c r="N177" s="40"/>
      <c r="O177" s="40"/>
      <c r="P177" s="40"/>
      <c r="Q177" s="40"/>
    </row>
    <row r="178" spans="1:17" ht="15.6" x14ac:dyDescent="0.3">
      <c r="A178" s="40"/>
      <c r="B178" s="40"/>
      <c r="C178" s="40"/>
      <c r="D178" s="40"/>
      <c r="E178" s="40"/>
      <c r="F178" s="40"/>
      <c r="G178" s="40"/>
      <c r="H178" s="40"/>
      <c r="I178" s="40"/>
      <c r="J178" s="40"/>
      <c r="K178" s="40"/>
      <c r="L178" s="40"/>
      <c r="M178" s="40"/>
      <c r="N178" s="40"/>
      <c r="O178" s="40"/>
      <c r="P178" s="40"/>
      <c r="Q178" s="40"/>
    </row>
    <row r="179" spans="1:17" ht="15.6" x14ac:dyDescent="0.3">
      <c r="A179" s="40"/>
      <c r="B179" s="40"/>
      <c r="C179" s="40"/>
      <c r="D179" s="40"/>
      <c r="E179" s="40"/>
      <c r="F179" s="40"/>
      <c r="G179" s="40"/>
      <c r="H179" s="40"/>
      <c r="I179" s="40"/>
      <c r="J179" s="40"/>
      <c r="K179" s="40"/>
      <c r="L179" s="40"/>
      <c r="M179" s="40"/>
      <c r="N179" s="40"/>
      <c r="O179" s="40"/>
      <c r="P179" s="40"/>
      <c r="Q179" s="40"/>
    </row>
    <row r="180" spans="1:17" ht="15.6" x14ac:dyDescent="0.3">
      <c r="A180" s="40"/>
      <c r="B180" s="40"/>
      <c r="C180" s="40"/>
      <c r="D180" s="40"/>
      <c r="E180" s="40"/>
      <c r="F180" s="40"/>
      <c r="G180" s="40"/>
      <c r="H180" s="40"/>
      <c r="I180" s="40"/>
      <c r="J180" s="40"/>
      <c r="K180" s="40"/>
      <c r="L180" s="40"/>
      <c r="M180" s="40"/>
      <c r="N180" s="40"/>
      <c r="O180" s="40"/>
      <c r="P180" s="40"/>
      <c r="Q180" s="40"/>
    </row>
    <row r="181" spans="1:17" ht="15.6" x14ac:dyDescent="0.3">
      <c r="A181" s="40"/>
      <c r="B181" s="40"/>
      <c r="C181" s="40"/>
      <c r="D181" s="40"/>
      <c r="E181" s="40"/>
      <c r="F181" s="40"/>
      <c r="G181" s="40"/>
      <c r="H181" s="40"/>
      <c r="I181" s="40"/>
      <c r="J181" s="40"/>
      <c r="K181" s="40"/>
      <c r="L181" s="40"/>
      <c r="M181" s="40"/>
      <c r="N181" s="40"/>
      <c r="O181" s="40"/>
      <c r="P181" s="40"/>
      <c r="Q181" s="40"/>
    </row>
    <row r="182" spans="1:17" ht="15.6" x14ac:dyDescent="0.3">
      <c r="A182" s="40"/>
      <c r="B182" s="40"/>
      <c r="C182" s="40"/>
      <c r="D182" s="40"/>
      <c r="E182" s="40"/>
      <c r="F182" s="40"/>
      <c r="G182" s="40"/>
      <c r="H182" s="40"/>
      <c r="I182" s="40"/>
      <c r="J182" s="40"/>
      <c r="K182" s="40"/>
      <c r="L182" s="40"/>
      <c r="M182" s="40"/>
      <c r="N182" s="40"/>
      <c r="O182" s="40"/>
      <c r="P182" s="40"/>
      <c r="Q182" s="40"/>
    </row>
    <row r="183" spans="1:17" ht="15.6" x14ac:dyDescent="0.3">
      <c r="A183" s="40"/>
      <c r="B183" s="40"/>
      <c r="C183" s="40"/>
      <c r="D183" s="40"/>
      <c r="E183" s="40"/>
      <c r="F183" s="40"/>
      <c r="G183" s="40"/>
      <c r="H183" s="40"/>
      <c r="I183" s="40"/>
      <c r="J183" s="40"/>
      <c r="K183" s="40"/>
      <c r="L183" s="40"/>
      <c r="M183" s="40"/>
      <c r="N183" s="40"/>
      <c r="O183" s="40"/>
      <c r="P183" s="40"/>
      <c r="Q183" s="40"/>
    </row>
    <row r="184" spans="1:17" ht="15.6" x14ac:dyDescent="0.3">
      <c r="A184" s="40"/>
      <c r="B184" s="40"/>
      <c r="C184" s="40"/>
      <c r="D184" s="40"/>
      <c r="E184" s="40"/>
      <c r="F184" s="40"/>
      <c r="G184" s="40"/>
      <c r="H184" s="40"/>
      <c r="I184" s="40"/>
      <c r="J184" s="40"/>
      <c r="K184" s="40"/>
      <c r="L184" s="40"/>
      <c r="M184" s="40"/>
      <c r="N184" s="40"/>
      <c r="O184" s="40"/>
      <c r="P184" s="40"/>
      <c r="Q184" s="40"/>
    </row>
    <row r="185" spans="1:17" ht="15.6" x14ac:dyDescent="0.3">
      <c r="A185" s="40"/>
      <c r="B185" s="40"/>
      <c r="C185" s="40"/>
      <c r="D185" s="40"/>
      <c r="E185" s="40"/>
      <c r="F185" s="40"/>
      <c r="G185" s="40"/>
      <c r="H185" s="40"/>
      <c r="I185" s="40"/>
      <c r="J185" s="40"/>
      <c r="K185" s="40"/>
      <c r="L185" s="40"/>
      <c r="M185" s="40"/>
      <c r="N185" s="40"/>
      <c r="O185" s="40"/>
      <c r="P185" s="40"/>
      <c r="Q185" s="40"/>
    </row>
    <row r="186" spans="1:17" ht="15.6" x14ac:dyDescent="0.3">
      <c r="A186" s="40"/>
      <c r="B186" s="40"/>
      <c r="C186" s="40"/>
      <c r="D186" s="40"/>
      <c r="E186" s="40"/>
      <c r="F186" s="40"/>
      <c r="G186" s="40"/>
      <c r="H186" s="40"/>
      <c r="I186" s="40"/>
      <c r="J186" s="40"/>
      <c r="K186" s="40"/>
      <c r="L186" s="40"/>
      <c r="M186" s="40"/>
      <c r="N186" s="40"/>
      <c r="O186" s="40"/>
      <c r="P186" s="40"/>
      <c r="Q186" s="40"/>
    </row>
    <row r="187" spans="1:17" ht="15.6" x14ac:dyDescent="0.3">
      <c r="A187" s="40"/>
      <c r="B187" s="40"/>
      <c r="C187" s="40"/>
      <c r="D187" s="40"/>
      <c r="E187" s="40"/>
      <c r="F187" s="40"/>
      <c r="G187" s="40"/>
      <c r="H187" s="40"/>
      <c r="I187" s="40"/>
      <c r="J187" s="40"/>
      <c r="K187" s="40"/>
      <c r="L187" s="40"/>
      <c r="M187" s="40"/>
      <c r="N187" s="40"/>
      <c r="O187" s="40"/>
      <c r="P187" s="40"/>
      <c r="Q187" s="40"/>
    </row>
    <row r="188" spans="1:17" ht="15.6" x14ac:dyDescent="0.3">
      <c r="A188" s="40"/>
      <c r="B188" s="40"/>
      <c r="C188" s="40"/>
      <c r="D188" s="40"/>
      <c r="E188" s="40"/>
      <c r="F188" s="40"/>
      <c r="G188" s="40"/>
      <c r="H188" s="40"/>
      <c r="I188" s="40"/>
      <c r="J188" s="40"/>
      <c r="K188" s="40"/>
      <c r="L188" s="40"/>
      <c r="M188" s="40"/>
      <c r="N188" s="40"/>
      <c r="O188" s="40"/>
      <c r="P188" s="40"/>
      <c r="Q188" s="40"/>
    </row>
    <row r="189" spans="1:17" ht="15.6" x14ac:dyDescent="0.3">
      <c r="A189" s="40"/>
      <c r="B189" s="40"/>
      <c r="C189" s="40"/>
      <c r="D189" s="40"/>
      <c r="E189" s="40"/>
      <c r="F189" s="40"/>
      <c r="G189" s="40"/>
      <c r="H189" s="40"/>
      <c r="I189" s="40"/>
      <c r="J189" s="40"/>
      <c r="K189" s="40"/>
      <c r="L189" s="40"/>
      <c r="M189" s="40"/>
      <c r="N189" s="40"/>
      <c r="O189" s="40"/>
      <c r="P189" s="40"/>
      <c r="Q189" s="40"/>
    </row>
    <row r="190" spans="1:17" ht="15.6" x14ac:dyDescent="0.3">
      <c r="A190" s="40"/>
      <c r="B190" s="40"/>
      <c r="C190" s="40"/>
      <c r="D190" s="40"/>
      <c r="E190" s="40"/>
      <c r="F190" s="40"/>
      <c r="G190" s="40"/>
      <c r="H190" s="40"/>
      <c r="I190" s="40"/>
      <c r="J190" s="40"/>
      <c r="K190" s="40"/>
      <c r="L190" s="40"/>
      <c r="M190" s="40"/>
      <c r="N190" s="40"/>
      <c r="O190" s="40"/>
      <c r="P190" s="40"/>
      <c r="Q190" s="40"/>
    </row>
    <row r="191" spans="1:17" ht="15.6" x14ac:dyDescent="0.3">
      <c r="A191" s="40"/>
      <c r="B191" s="40"/>
      <c r="C191" s="40"/>
      <c r="D191" s="40"/>
      <c r="E191" s="40"/>
      <c r="F191" s="40"/>
      <c r="G191" s="40"/>
      <c r="H191" s="40"/>
      <c r="I191" s="40"/>
      <c r="J191" s="40"/>
      <c r="K191" s="40"/>
      <c r="L191" s="40"/>
      <c r="M191" s="40"/>
      <c r="N191" s="40"/>
      <c r="O191" s="40"/>
      <c r="P191" s="40"/>
      <c r="Q191" s="40"/>
    </row>
    <row r="192" spans="1:17" ht="15.6" x14ac:dyDescent="0.3">
      <c r="A192" s="40"/>
      <c r="B192" s="40"/>
      <c r="C192" s="40"/>
      <c r="D192" s="40"/>
      <c r="E192" s="40"/>
      <c r="F192" s="40"/>
      <c r="G192" s="40"/>
      <c r="H192" s="40"/>
      <c r="I192" s="40"/>
      <c r="J192" s="40"/>
      <c r="K192" s="40"/>
      <c r="L192" s="40"/>
      <c r="M192" s="40"/>
      <c r="N192" s="40"/>
      <c r="O192" s="40"/>
      <c r="P192" s="40"/>
      <c r="Q192" s="40"/>
    </row>
    <row r="193" spans="1:17" ht="15.6" x14ac:dyDescent="0.3">
      <c r="A193" s="40"/>
      <c r="B193" s="40"/>
      <c r="C193" s="40"/>
      <c r="D193" s="40"/>
      <c r="E193" s="40"/>
      <c r="F193" s="40"/>
      <c r="G193" s="40"/>
      <c r="H193" s="40"/>
      <c r="I193" s="40"/>
      <c r="J193" s="40"/>
      <c r="K193" s="40"/>
      <c r="L193" s="40"/>
      <c r="M193" s="40"/>
      <c r="N193" s="40"/>
      <c r="O193" s="40"/>
      <c r="P193" s="40"/>
      <c r="Q193" s="40"/>
    </row>
    <row r="194" spans="1:17" ht="15.6" x14ac:dyDescent="0.3">
      <c r="A194" s="40"/>
      <c r="B194" s="40"/>
      <c r="C194" s="40"/>
      <c r="D194" s="40"/>
      <c r="E194" s="40"/>
      <c r="F194" s="40"/>
      <c r="G194" s="40"/>
      <c r="H194" s="40"/>
      <c r="I194" s="40"/>
      <c r="J194" s="40"/>
      <c r="K194" s="40"/>
      <c r="L194" s="40"/>
      <c r="M194" s="40"/>
      <c r="N194" s="40"/>
      <c r="O194" s="40"/>
      <c r="P194" s="40"/>
      <c r="Q194" s="40"/>
    </row>
    <row r="195" spans="1:17" ht="15.6" x14ac:dyDescent="0.3">
      <c r="A195" s="40"/>
      <c r="B195" s="40"/>
      <c r="C195" s="40"/>
      <c r="D195" s="40"/>
      <c r="E195" s="40"/>
      <c r="F195" s="40"/>
      <c r="G195" s="40"/>
      <c r="H195" s="40"/>
      <c r="I195" s="40"/>
      <c r="J195" s="40"/>
      <c r="K195" s="40"/>
      <c r="L195" s="40"/>
      <c r="M195" s="40"/>
      <c r="N195" s="40"/>
      <c r="O195" s="40"/>
      <c r="P195" s="40"/>
      <c r="Q195" s="40"/>
    </row>
    <row r="196" spans="1:17" ht="15.6" x14ac:dyDescent="0.3">
      <c r="A196" s="40"/>
      <c r="B196" s="40"/>
      <c r="C196" s="40"/>
      <c r="D196" s="40"/>
      <c r="E196" s="40"/>
      <c r="F196" s="40"/>
      <c r="G196" s="40"/>
      <c r="H196" s="40"/>
      <c r="I196" s="40"/>
      <c r="J196" s="40"/>
      <c r="K196" s="40"/>
      <c r="L196" s="40"/>
      <c r="M196" s="40"/>
      <c r="N196" s="40"/>
      <c r="O196" s="40"/>
      <c r="P196" s="40"/>
      <c r="Q196" s="40"/>
    </row>
    <row r="197" spans="1:17" ht="15.6" x14ac:dyDescent="0.3">
      <c r="A197" s="40"/>
      <c r="B197" s="40"/>
      <c r="C197" s="40"/>
      <c r="D197" s="40"/>
      <c r="E197" s="40"/>
      <c r="F197" s="40"/>
      <c r="G197" s="40"/>
      <c r="H197" s="40"/>
      <c r="I197" s="40"/>
      <c r="J197" s="40"/>
      <c r="K197" s="40"/>
      <c r="L197" s="40"/>
      <c r="M197" s="40"/>
      <c r="N197" s="40"/>
      <c r="O197" s="40"/>
      <c r="P197" s="40"/>
      <c r="Q197" s="40"/>
    </row>
    <row r="198" spans="1:17" ht="15.6" x14ac:dyDescent="0.3">
      <c r="A198" s="40"/>
      <c r="B198" s="40"/>
      <c r="C198" s="40"/>
      <c r="D198" s="40"/>
      <c r="E198" s="40"/>
      <c r="F198" s="40"/>
      <c r="G198" s="40"/>
      <c r="H198" s="40"/>
      <c r="I198" s="40"/>
      <c r="J198" s="40"/>
      <c r="K198" s="40"/>
      <c r="L198" s="40"/>
      <c r="M198" s="40"/>
      <c r="N198" s="40"/>
      <c r="O198" s="40"/>
      <c r="P198" s="40"/>
      <c r="Q198" s="40"/>
    </row>
    <row r="199" spans="1:17" ht="15.6" x14ac:dyDescent="0.3">
      <c r="A199" s="40"/>
      <c r="B199" s="40"/>
      <c r="C199" s="40"/>
      <c r="D199" s="40"/>
      <c r="E199" s="40"/>
      <c r="F199" s="40"/>
      <c r="G199" s="40"/>
      <c r="H199" s="40"/>
      <c r="I199" s="40"/>
      <c r="J199" s="40"/>
      <c r="K199" s="40"/>
      <c r="L199" s="40"/>
      <c r="M199" s="40"/>
      <c r="N199" s="40"/>
      <c r="O199" s="40"/>
      <c r="P199" s="40"/>
      <c r="Q199" s="40"/>
    </row>
    <row r="200" spans="1:17" ht="15.6" x14ac:dyDescent="0.3">
      <c r="A200" s="40"/>
      <c r="B200" s="40"/>
      <c r="C200" s="40"/>
      <c r="D200" s="40"/>
      <c r="E200" s="40"/>
      <c r="F200" s="40"/>
      <c r="G200" s="40"/>
      <c r="H200" s="40"/>
      <c r="I200" s="40"/>
      <c r="J200" s="40"/>
      <c r="K200" s="40"/>
      <c r="L200" s="40"/>
      <c r="M200" s="40"/>
      <c r="N200" s="40"/>
      <c r="O200" s="40"/>
      <c r="P200" s="40"/>
      <c r="Q200" s="40"/>
    </row>
    <row r="201" spans="1:17" ht="15.6" x14ac:dyDescent="0.3">
      <c r="A201" s="40"/>
      <c r="B201" s="40"/>
      <c r="C201" s="40"/>
      <c r="D201" s="40"/>
      <c r="E201" s="40"/>
      <c r="F201" s="40"/>
      <c r="G201" s="40"/>
      <c r="H201" s="40"/>
      <c r="I201" s="40"/>
      <c r="J201" s="40"/>
      <c r="K201" s="40"/>
      <c r="L201" s="40"/>
      <c r="M201" s="40"/>
      <c r="N201" s="40"/>
      <c r="O201" s="40"/>
      <c r="P201" s="40"/>
      <c r="Q201" s="40"/>
    </row>
    <row r="202" spans="1:17" ht="15.6" x14ac:dyDescent="0.3">
      <c r="A202" s="40"/>
      <c r="B202" s="40"/>
      <c r="C202" s="40"/>
      <c r="D202" s="40"/>
      <c r="E202" s="40"/>
      <c r="F202" s="40"/>
      <c r="G202" s="40"/>
      <c r="H202" s="40"/>
      <c r="I202" s="40"/>
      <c r="J202" s="40"/>
      <c r="K202" s="40"/>
      <c r="L202" s="40"/>
      <c r="M202" s="40"/>
      <c r="N202" s="40"/>
      <c r="O202" s="40"/>
      <c r="P202" s="40"/>
      <c r="Q202" s="40"/>
    </row>
    <row r="203" spans="1:17" ht="15.6" x14ac:dyDescent="0.3">
      <c r="A203" s="40"/>
      <c r="B203" s="40"/>
      <c r="C203" s="40"/>
      <c r="D203" s="40"/>
      <c r="E203" s="40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s="40"/>
    </row>
    <row r="204" spans="1:17" ht="15.6" x14ac:dyDescent="0.3">
      <c r="A204" s="40"/>
      <c r="B204" s="40"/>
      <c r="C204" s="40"/>
      <c r="D204" s="40"/>
      <c r="E204" s="40"/>
      <c r="F204" s="40"/>
      <c r="G204" s="40"/>
      <c r="H204" s="40"/>
      <c r="I204" s="40"/>
      <c r="J204" s="40"/>
      <c r="K204" s="40"/>
      <c r="L204" s="40"/>
      <c r="M204" s="40"/>
      <c r="N204" s="40"/>
      <c r="O204" s="40"/>
      <c r="P204" s="40"/>
      <c r="Q204" s="40"/>
    </row>
    <row r="205" spans="1:17" ht="15.6" x14ac:dyDescent="0.3">
      <c r="A205" s="40"/>
      <c r="B205" s="40"/>
      <c r="C205" s="40"/>
      <c r="D205" s="40"/>
      <c r="E205" s="40"/>
      <c r="F205" s="40"/>
      <c r="G205" s="40"/>
      <c r="H205" s="40"/>
      <c r="I205" s="40"/>
      <c r="J205" s="40"/>
      <c r="K205" s="40"/>
      <c r="L205" s="40"/>
      <c r="M205" s="40"/>
      <c r="N205" s="40"/>
      <c r="O205" s="40"/>
      <c r="P205" s="40"/>
      <c r="Q205" s="40"/>
    </row>
    <row r="206" spans="1:17" ht="15.6" x14ac:dyDescent="0.3">
      <c r="A206" s="40"/>
      <c r="B206" s="40"/>
      <c r="C206" s="40"/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</row>
    <row r="207" spans="1:17" ht="15.6" x14ac:dyDescent="0.3">
      <c r="A207" s="40"/>
      <c r="B207" s="40"/>
      <c r="C207" s="40"/>
      <c r="D207" s="40"/>
      <c r="E207" s="40"/>
      <c r="F207" s="40"/>
      <c r="G207" s="40"/>
      <c r="H207" s="40"/>
      <c r="I207" s="40"/>
      <c r="J207" s="40"/>
      <c r="K207" s="40"/>
      <c r="L207" s="40"/>
      <c r="M207" s="40"/>
      <c r="N207" s="40"/>
      <c r="O207" s="40"/>
      <c r="P207" s="40"/>
      <c r="Q207" s="40"/>
    </row>
    <row r="208" spans="1:17" ht="15.6" x14ac:dyDescent="0.3">
      <c r="A208" s="40"/>
      <c r="B208" s="40"/>
      <c r="C208" s="40"/>
      <c r="D208" s="40"/>
      <c r="E208" s="40"/>
      <c r="F208" s="40"/>
      <c r="G208" s="40"/>
      <c r="H208" s="40"/>
      <c r="I208" s="40"/>
      <c r="J208" s="40"/>
      <c r="K208" s="40"/>
      <c r="L208" s="40"/>
      <c r="M208" s="40"/>
      <c r="N208" s="40"/>
      <c r="O208" s="40"/>
      <c r="P208" s="40"/>
      <c r="Q208" s="40"/>
    </row>
    <row r="209" spans="1:17" ht="15.6" x14ac:dyDescent="0.3">
      <c r="A209" s="40"/>
      <c r="B209" s="40"/>
      <c r="C209" s="40"/>
      <c r="D209" s="40"/>
      <c r="E209" s="40"/>
      <c r="F209" s="40"/>
      <c r="G209" s="40"/>
      <c r="H209" s="40"/>
      <c r="I209" s="40"/>
      <c r="J209" s="40"/>
      <c r="K209" s="40"/>
      <c r="L209" s="40"/>
      <c r="M209" s="40"/>
      <c r="N209" s="40"/>
      <c r="O209" s="40"/>
      <c r="P209" s="40"/>
      <c r="Q209" s="40"/>
    </row>
    <row r="210" spans="1:17" ht="15.6" x14ac:dyDescent="0.3">
      <c r="A210" s="40"/>
      <c r="B210" s="40"/>
      <c r="C210" s="40"/>
      <c r="D210" s="40"/>
      <c r="E210" s="40"/>
      <c r="F210" s="40"/>
      <c r="G210" s="40"/>
      <c r="H210" s="40"/>
      <c r="I210" s="40"/>
      <c r="J210" s="40"/>
      <c r="K210" s="40"/>
      <c r="L210" s="40"/>
      <c r="M210" s="40"/>
      <c r="N210" s="40"/>
      <c r="O210" s="40"/>
      <c r="P210" s="40"/>
      <c r="Q210" s="40"/>
    </row>
    <row r="211" spans="1:17" ht="15.6" x14ac:dyDescent="0.3">
      <c r="A211" s="40"/>
      <c r="B211" s="40"/>
      <c r="C211" s="40"/>
      <c r="D211" s="40"/>
      <c r="E211" s="40"/>
      <c r="F211" s="40"/>
      <c r="G211" s="40"/>
      <c r="H211" s="40"/>
      <c r="I211" s="40"/>
      <c r="J211" s="40"/>
      <c r="K211" s="40"/>
      <c r="L211" s="40"/>
      <c r="M211" s="40"/>
      <c r="N211" s="40"/>
      <c r="O211" s="40"/>
      <c r="P211" s="40"/>
      <c r="Q211" s="40"/>
    </row>
    <row r="212" spans="1:17" ht="15.6" x14ac:dyDescent="0.3">
      <c r="A212" s="40"/>
      <c r="B212" s="40"/>
      <c r="C212" s="40"/>
      <c r="D212" s="40"/>
      <c r="E212" s="40"/>
      <c r="F212" s="40"/>
      <c r="G212" s="40"/>
      <c r="H212" s="40"/>
      <c r="I212" s="40"/>
      <c r="J212" s="40"/>
      <c r="K212" s="40"/>
      <c r="L212" s="40"/>
      <c r="M212" s="40"/>
      <c r="N212" s="40"/>
      <c r="O212" s="40"/>
      <c r="P212" s="40"/>
      <c r="Q212" s="40"/>
    </row>
    <row r="213" spans="1:17" ht="15.6" x14ac:dyDescent="0.3">
      <c r="A213" s="40"/>
      <c r="B213" s="40"/>
      <c r="C213" s="40"/>
      <c r="D213" s="40"/>
      <c r="E213" s="40"/>
      <c r="F213" s="40"/>
      <c r="G213" s="40"/>
      <c r="H213" s="40"/>
      <c r="I213" s="40"/>
      <c r="J213" s="40"/>
      <c r="K213" s="40"/>
      <c r="L213" s="40"/>
      <c r="M213" s="40"/>
      <c r="N213" s="40"/>
      <c r="O213" s="40"/>
      <c r="P213" s="40"/>
      <c r="Q213" s="40"/>
    </row>
    <row r="214" spans="1:17" ht="15.6" x14ac:dyDescent="0.3">
      <c r="A214" s="40"/>
      <c r="B214" s="40"/>
      <c r="C214" s="40"/>
      <c r="D214" s="40"/>
      <c r="E214" s="40"/>
      <c r="F214" s="40"/>
      <c r="G214" s="40"/>
      <c r="H214" s="40"/>
      <c r="I214" s="40"/>
      <c r="J214" s="40"/>
      <c r="K214" s="40"/>
      <c r="L214" s="40"/>
      <c r="M214" s="40"/>
      <c r="N214" s="40"/>
      <c r="O214" s="40"/>
      <c r="P214" s="40"/>
      <c r="Q214" s="40"/>
    </row>
    <row r="215" spans="1:17" ht="15.6" x14ac:dyDescent="0.3">
      <c r="A215" s="40"/>
      <c r="B215" s="40"/>
      <c r="C215" s="40"/>
      <c r="D215" s="40"/>
      <c r="E215" s="40"/>
      <c r="F215" s="40"/>
      <c r="G215" s="40"/>
      <c r="H215" s="40"/>
      <c r="I215" s="40"/>
      <c r="J215" s="40"/>
      <c r="K215" s="40"/>
      <c r="L215" s="40"/>
      <c r="M215" s="40"/>
      <c r="N215" s="40"/>
      <c r="O215" s="40"/>
      <c r="P215" s="40"/>
      <c r="Q215" s="40"/>
    </row>
    <row r="216" spans="1:17" ht="15.6" x14ac:dyDescent="0.3">
      <c r="A216" s="40"/>
      <c r="B216" s="40"/>
      <c r="C216" s="40"/>
      <c r="D216" s="40"/>
      <c r="E216" s="40"/>
      <c r="F216" s="40"/>
      <c r="G216" s="40"/>
      <c r="H216" s="40"/>
      <c r="I216" s="40"/>
      <c r="J216" s="40"/>
      <c r="K216" s="40"/>
      <c r="L216" s="40"/>
      <c r="M216" s="40"/>
      <c r="N216" s="40"/>
      <c r="O216" s="40"/>
      <c r="P216" s="40"/>
      <c r="Q216" s="40"/>
    </row>
    <row r="217" spans="1:17" ht="15.6" x14ac:dyDescent="0.3">
      <c r="A217" s="40"/>
      <c r="B217" s="40"/>
      <c r="C217" s="40"/>
      <c r="D217" s="40"/>
      <c r="E217" s="40"/>
      <c r="F217" s="40"/>
      <c r="G217" s="40"/>
      <c r="H217" s="40"/>
      <c r="I217" s="40"/>
      <c r="J217" s="40"/>
      <c r="K217" s="40"/>
      <c r="L217" s="40"/>
      <c r="M217" s="40"/>
      <c r="N217" s="40"/>
      <c r="O217" s="40"/>
      <c r="P217" s="40"/>
      <c r="Q217" s="40"/>
    </row>
    <row r="218" spans="1:17" ht="15.6" x14ac:dyDescent="0.3">
      <c r="A218" s="40"/>
      <c r="B218" s="40"/>
      <c r="C218" s="40"/>
      <c r="D218" s="40"/>
      <c r="E218" s="40"/>
      <c r="F218" s="40"/>
      <c r="G218" s="40"/>
      <c r="H218" s="40"/>
      <c r="I218" s="40"/>
      <c r="J218" s="40"/>
      <c r="K218" s="40"/>
      <c r="L218" s="40"/>
      <c r="M218" s="40"/>
      <c r="N218" s="40"/>
      <c r="O218" s="40"/>
      <c r="P218" s="40"/>
      <c r="Q218" s="40"/>
    </row>
    <row r="219" spans="1:17" ht="15.6" x14ac:dyDescent="0.3">
      <c r="A219" s="40"/>
      <c r="B219" s="40"/>
      <c r="C219" s="40"/>
      <c r="D219" s="40"/>
      <c r="E219" s="40"/>
      <c r="F219" s="40"/>
      <c r="G219" s="40"/>
      <c r="H219" s="40"/>
      <c r="I219" s="40"/>
      <c r="J219" s="40"/>
      <c r="K219" s="40"/>
      <c r="L219" s="40"/>
      <c r="M219" s="40"/>
      <c r="N219" s="40"/>
      <c r="O219" s="40"/>
      <c r="P219" s="40"/>
      <c r="Q219" s="40"/>
    </row>
    <row r="220" spans="1:17" ht="15.6" x14ac:dyDescent="0.3">
      <c r="A220" s="40"/>
      <c r="B220" s="40"/>
      <c r="C220" s="40"/>
      <c r="D220" s="40"/>
      <c r="E220" s="40"/>
      <c r="F220" s="40"/>
      <c r="G220" s="40"/>
      <c r="H220" s="40"/>
      <c r="I220" s="40"/>
      <c r="J220" s="40"/>
      <c r="K220" s="40"/>
      <c r="L220" s="40"/>
      <c r="M220" s="40"/>
      <c r="N220" s="40"/>
      <c r="O220" s="40"/>
      <c r="P220" s="40"/>
      <c r="Q220" s="40"/>
    </row>
    <row r="221" spans="1:17" ht="15.6" x14ac:dyDescent="0.3">
      <c r="A221" s="40"/>
      <c r="B221" s="40"/>
      <c r="C221" s="40"/>
      <c r="D221" s="40"/>
      <c r="E221" s="40"/>
      <c r="F221" s="40"/>
      <c r="G221" s="40"/>
      <c r="H221" s="40"/>
      <c r="I221" s="40"/>
      <c r="J221" s="40"/>
      <c r="K221" s="40"/>
      <c r="L221" s="40"/>
      <c r="M221" s="40"/>
      <c r="N221" s="40"/>
      <c r="O221" s="40"/>
      <c r="P221" s="40"/>
      <c r="Q221" s="40"/>
    </row>
    <row r="222" spans="1:17" ht="15.6" x14ac:dyDescent="0.3">
      <c r="A222" s="40"/>
      <c r="B222" s="40"/>
      <c r="C222" s="40"/>
      <c r="D222" s="40"/>
      <c r="E222" s="40"/>
      <c r="F222" s="40"/>
      <c r="G222" s="40"/>
      <c r="H222" s="40"/>
      <c r="I222" s="40"/>
      <c r="J222" s="40"/>
      <c r="K222" s="40"/>
      <c r="L222" s="40"/>
      <c r="M222" s="40"/>
      <c r="N222" s="40"/>
      <c r="O222" s="40"/>
      <c r="P222" s="40"/>
      <c r="Q222" s="40"/>
    </row>
    <row r="223" spans="1:17" ht="15.6" x14ac:dyDescent="0.3">
      <c r="A223" s="40"/>
      <c r="B223" s="40"/>
      <c r="C223" s="40"/>
      <c r="D223" s="40"/>
      <c r="E223" s="40"/>
      <c r="F223" s="40"/>
      <c r="G223" s="40"/>
      <c r="H223" s="40"/>
      <c r="I223" s="40"/>
      <c r="J223" s="40"/>
      <c r="K223" s="40"/>
      <c r="L223" s="40"/>
      <c r="M223" s="40"/>
      <c r="N223" s="40"/>
      <c r="O223" s="40"/>
      <c r="P223" s="40"/>
      <c r="Q223" s="40"/>
    </row>
    <row r="224" spans="1:17" ht="15.6" x14ac:dyDescent="0.3">
      <c r="A224" s="40"/>
      <c r="B224" s="40"/>
      <c r="C224" s="40"/>
      <c r="D224" s="40"/>
      <c r="E224" s="40"/>
      <c r="F224" s="40"/>
      <c r="G224" s="40"/>
      <c r="H224" s="40"/>
      <c r="I224" s="40"/>
      <c r="J224" s="40"/>
      <c r="K224" s="40"/>
      <c r="L224" s="40"/>
      <c r="M224" s="40"/>
      <c r="N224" s="40"/>
      <c r="O224" s="40"/>
      <c r="P224" s="40"/>
      <c r="Q224" s="40"/>
    </row>
    <row r="225" spans="1:17" ht="15.6" x14ac:dyDescent="0.3">
      <c r="A225" s="40"/>
      <c r="B225" s="40"/>
      <c r="C225" s="40"/>
      <c r="D225" s="40"/>
      <c r="E225" s="40"/>
      <c r="F225" s="40"/>
      <c r="G225" s="40"/>
      <c r="H225" s="40"/>
      <c r="I225" s="40"/>
      <c r="J225" s="40"/>
      <c r="K225" s="40"/>
      <c r="L225" s="40"/>
      <c r="M225" s="40"/>
      <c r="N225" s="40"/>
      <c r="O225" s="40"/>
      <c r="P225" s="40"/>
      <c r="Q225" s="40"/>
    </row>
    <row r="226" spans="1:17" ht="15.6" x14ac:dyDescent="0.3">
      <c r="A226" s="40"/>
      <c r="B226" s="40"/>
      <c r="C226" s="40"/>
      <c r="D226" s="40"/>
      <c r="E226" s="40"/>
      <c r="F226" s="40"/>
      <c r="G226" s="40"/>
      <c r="H226" s="40"/>
      <c r="I226" s="40"/>
      <c r="J226" s="40"/>
      <c r="K226" s="40"/>
      <c r="L226" s="40"/>
      <c r="M226" s="40"/>
      <c r="N226" s="40"/>
      <c r="O226" s="40"/>
      <c r="P226" s="40"/>
      <c r="Q226" s="40"/>
    </row>
    <row r="227" spans="1:17" ht="15.6" x14ac:dyDescent="0.3">
      <c r="A227" s="40"/>
      <c r="B227" s="40"/>
      <c r="C227" s="40"/>
      <c r="D227" s="40"/>
      <c r="E227" s="40"/>
      <c r="F227" s="40"/>
      <c r="G227" s="40"/>
      <c r="H227" s="40"/>
      <c r="I227" s="40"/>
      <c r="J227" s="40"/>
      <c r="K227" s="40"/>
      <c r="L227" s="40"/>
      <c r="M227" s="40"/>
      <c r="N227" s="40"/>
      <c r="O227" s="40"/>
      <c r="P227" s="40"/>
      <c r="Q227" s="40"/>
    </row>
    <row r="228" spans="1:17" ht="15.6" x14ac:dyDescent="0.3">
      <c r="A228" s="40"/>
      <c r="B228" s="40"/>
      <c r="C228" s="40"/>
      <c r="D228" s="40"/>
      <c r="E228" s="40"/>
      <c r="F228" s="40"/>
      <c r="G228" s="40"/>
      <c r="H228" s="40"/>
      <c r="I228" s="40"/>
      <c r="J228" s="40"/>
      <c r="K228" s="40"/>
      <c r="L228" s="40"/>
      <c r="M228" s="40"/>
      <c r="N228" s="40"/>
      <c r="O228" s="40"/>
      <c r="P228" s="40"/>
      <c r="Q228" s="40"/>
    </row>
    <row r="229" spans="1:17" ht="15.6" x14ac:dyDescent="0.3">
      <c r="A229" s="40"/>
      <c r="B229" s="40"/>
      <c r="C229" s="40"/>
      <c r="D229" s="40"/>
      <c r="E229" s="40"/>
      <c r="F229" s="40"/>
      <c r="G229" s="40"/>
      <c r="H229" s="40"/>
      <c r="I229" s="40"/>
      <c r="J229" s="40"/>
      <c r="K229" s="40"/>
      <c r="L229" s="40"/>
      <c r="M229" s="40"/>
      <c r="N229" s="40"/>
      <c r="O229" s="40"/>
      <c r="P229" s="40"/>
      <c r="Q229" s="40"/>
    </row>
    <row r="230" spans="1:17" ht="15.6" x14ac:dyDescent="0.3">
      <c r="A230" s="40"/>
      <c r="B230" s="40"/>
      <c r="C230" s="40"/>
      <c r="D230" s="40"/>
      <c r="E230" s="40"/>
      <c r="F230" s="40"/>
      <c r="G230" s="40"/>
      <c r="H230" s="40"/>
      <c r="I230" s="40"/>
      <c r="J230" s="40"/>
      <c r="K230" s="40"/>
      <c r="L230" s="40"/>
      <c r="M230" s="40"/>
      <c r="N230" s="40"/>
      <c r="O230" s="40"/>
      <c r="P230" s="40"/>
      <c r="Q230" s="40"/>
    </row>
    <row r="231" spans="1:17" ht="15.6" x14ac:dyDescent="0.3">
      <c r="A231" s="40"/>
      <c r="B231" s="40"/>
      <c r="C231" s="40"/>
      <c r="D231" s="40"/>
      <c r="E231" s="40"/>
      <c r="F231" s="40"/>
      <c r="G231" s="40"/>
      <c r="H231" s="40"/>
      <c r="I231" s="40"/>
      <c r="J231" s="40"/>
      <c r="K231" s="40"/>
      <c r="L231" s="40"/>
      <c r="M231" s="40"/>
      <c r="N231" s="40"/>
      <c r="O231" s="40"/>
      <c r="P231" s="40"/>
      <c r="Q231" s="40"/>
    </row>
    <row r="232" spans="1:17" ht="15.6" x14ac:dyDescent="0.3">
      <c r="A232" s="40"/>
      <c r="B232" s="40"/>
      <c r="C232" s="40"/>
      <c r="D232" s="40"/>
      <c r="E232" s="40"/>
      <c r="F232" s="40"/>
      <c r="G232" s="40"/>
      <c r="H232" s="40"/>
      <c r="I232" s="40"/>
      <c r="J232" s="40"/>
      <c r="K232" s="40"/>
      <c r="L232" s="40"/>
      <c r="M232" s="40"/>
      <c r="N232" s="40"/>
      <c r="O232" s="40"/>
      <c r="P232" s="40"/>
      <c r="Q232" s="40"/>
    </row>
    <row r="233" spans="1:17" ht="15.6" x14ac:dyDescent="0.3">
      <c r="A233" s="40"/>
      <c r="B233" s="40"/>
      <c r="C233" s="40"/>
      <c r="D233" s="40"/>
      <c r="E233" s="40"/>
      <c r="F233" s="40"/>
      <c r="G233" s="40"/>
      <c r="H233" s="40"/>
      <c r="I233" s="40"/>
      <c r="J233" s="40"/>
      <c r="K233" s="40"/>
      <c r="L233" s="40"/>
      <c r="M233" s="40"/>
      <c r="N233" s="40"/>
      <c r="O233" s="40"/>
      <c r="P233" s="40"/>
      <c r="Q233" s="40"/>
    </row>
    <row r="234" spans="1:17" ht="15.6" x14ac:dyDescent="0.3">
      <c r="A234" s="40"/>
      <c r="B234" s="40"/>
      <c r="C234" s="40"/>
      <c r="D234" s="40"/>
      <c r="E234" s="40"/>
      <c r="F234" s="40"/>
      <c r="G234" s="40"/>
      <c r="H234" s="40"/>
      <c r="I234" s="40"/>
      <c r="J234" s="40"/>
      <c r="K234" s="40"/>
      <c r="L234" s="40"/>
      <c r="M234" s="40"/>
      <c r="N234" s="40"/>
      <c r="O234" s="40"/>
      <c r="P234" s="40"/>
      <c r="Q234" s="40"/>
    </row>
    <row r="235" spans="1:17" ht="15.6" x14ac:dyDescent="0.3">
      <c r="A235" s="40"/>
      <c r="B235" s="40"/>
      <c r="C235" s="40"/>
      <c r="D235" s="40"/>
      <c r="E235" s="40"/>
      <c r="F235" s="40"/>
      <c r="G235" s="40"/>
      <c r="H235" s="40"/>
      <c r="I235" s="40"/>
      <c r="J235" s="40"/>
      <c r="K235" s="40"/>
      <c r="L235" s="40"/>
      <c r="M235" s="40"/>
      <c r="N235" s="40"/>
      <c r="O235" s="40"/>
      <c r="P235" s="40"/>
      <c r="Q235" s="40"/>
    </row>
    <row r="236" spans="1:17" ht="15.6" x14ac:dyDescent="0.3">
      <c r="A236" s="40"/>
      <c r="B236" s="40"/>
      <c r="C236" s="40"/>
      <c r="D236" s="40"/>
      <c r="E236" s="40"/>
      <c r="F236" s="40"/>
      <c r="G236" s="40"/>
      <c r="H236" s="40"/>
      <c r="I236" s="40"/>
      <c r="J236" s="40"/>
      <c r="K236" s="40"/>
      <c r="L236" s="40"/>
      <c r="M236" s="40"/>
      <c r="N236" s="40"/>
      <c r="O236" s="40"/>
      <c r="P236" s="40"/>
      <c r="Q236" s="40"/>
    </row>
    <row r="237" spans="1:17" ht="15.6" x14ac:dyDescent="0.3">
      <c r="A237" s="40"/>
      <c r="B237" s="40"/>
      <c r="C237" s="40"/>
      <c r="D237" s="40"/>
      <c r="E237" s="40"/>
      <c r="F237" s="40"/>
      <c r="G237" s="40"/>
      <c r="H237" s="40"/>
      <c r="I237" s="40"/>
      <c r="J237" s="40"/>
      <c r="K237" s="40"/>
      <c r="L237" s="40"/>
      <c r="M237" s="40"/>
      <c r="N237" s="40"/>
      <c r="O237" s="40"/>
      <c r="P237" s="40"/>
      <c r="Q237" s="40"/>
    </row>
    <row r="238" spans="1:17" ht="15.6" x14ac:dyDescent="0.3">
      <c r="A238" s="40"/>
      <c r="B238" s="40"/>
      <c r="C238" s="40"/>
      <c r="D238" s="40"/>
      <c r="E238" s="40"/>
      <c r="F238" s="40"/>
      <c r="G238" s="40"/>
      <c r="H238" s="40"/>
      <c r="I238" s="40"/>
      <c r="J238" s="40"/>
      <c r="K238" s="40"/>
      <c r="L238" s="40"/>
      <c r="M238" s="40"/>
      <c r="N238" s="40"/>
      <c r="O238" s="40"/>
      <c r="P238" s="40"/>
      <c r="Q238" s="40"/>
    </row>
    <row r="239" spans="1:17" ht="15.6" x14ac:dyDescent="0.3">
      <c r="A239" s="40"/>
      <c r="B239" s="40"/>
      <c r="C239" s="40"/>
      <c r="D239" s="40"/>
      <c r="E239" s="40"/>
      <c r="F239" s="40"/>
      <c r="G239" s="40"/>
      <c r="H239" s="40"/>
      <c r="I239" s="40"/>
      <c r="J239" s="40"/>
      <c r="K239" s="40"/>
      <c r="L239" s="40"/>
      <c r="M239" s="40"/>
      <c r="N239" s="40"/>
      <c r="O239" s="40"/>
      <c r="P239" s="40"/>
      <c r="Q239" s="40"/>
    </row>
    <row r="240" spans="1:17" ht="15.6" x14ac:dyDescent="0.3">
      <c r="A240" s="40"/>
      <c r="B240" s="40"/>
      <c r="C240" s="40"/>
      <c r="D240" s="40"/>
      <c r="E240" s="40"/>
      <c r="F240" s="40"/>
      <c r="G240" s="40"/>
      <c r="H240" s="40"/>
      <c r="I240" s="40"/>
      <c r="J240" s="40"/>
      <c r="K240" s="40"/>
      <c r="L240" s="40"/>
      <c r="M240" s="40"/>
      <c r="N240" s="40"/>
      <c r="O240" s="40"/>
      <c r="P240" s="40"/>
      <c r="Q240" s="40"/>
    </row>
    <row r="241" spans="1:17" ht="15.6" x14ac:dyDescent="0.3">
      <c r="A241" s="40"/>
      <c r="B241" s="40"/>
      <c r="C241" s="40"/>
      <c r="D241" s="40"/>
      <c r="E241" s="40"/>
      <c r="F241" s="40"/>
      <c r="G241" s="40"/>
      <c r="H241" s="40"/>
      <c r="I241" s="40"/>
      <c r="J241" s="40"/>
      <c r="K241" s="40"/>
      <c r="L241" s="40"/>
      <c r="M241" s="40"/>
      <c r="N241" s="40"/>
      <c r="O241" s="40"/>
      <c r="P241" s="40"/>
      <c r="Q241" s="40"/>
    </row>
    <row r="242" spans="1:17" ht="15.6" x14ac:dyDescent="0.3">
      <c r="A242" s="40"/>
      <c r="B242" s="40"/>
      <c r="C242" s="40"/>
      <c r="D242" s="40"/>
      <c r="E242" s="40"/>
      <c r="F242" s="40"/>
      <c r="G242" s="40"/>
      <c r="H242" s="40"/>
      <c r="I242" s="40"/>
      <c r="J242" s="40"/>
      <c r="K242" s="40"/>
      <c r="L242" s="40"/>
      <c r="M242" s="40"/>
      <c r="N242" s="40"/>
      <c r="O242" s="40"/>
      <c r="P242" s="40"/>
      <c r="Q242" s="40"/>
    </row>
    <row r="243" spans="1:17" ht="15.6" x14ac:dyDescent="0.3">
      <c r="A243" s="40"/>
      <c r="B243" s="40"/>
      <c r="C243" s="40"/>
      <c r="D243" s="40"/>
      <c r="E243" s="40"/>
      <c r="F243" s="40"/>
      <c r="G243" s="40"/>
      <c r="H243" s="40"/>
      <c r="I243" s="40"/>
      <c r="J243" s="40"/>
      <c r="K243" s="40"/>
      <c r="L243" s="40"/>
      <c r="M243" s="40"/>
      <c r="N243" s="40"/>
      <c r="O243" s="40"/>
      <c r="P243" s="40"/>
      <c r="Q243" s="40"/>
    </row>
    <row r="244" spans="1:17" ht="15.6" x14ac:dyDescent="0.3">
      <c r="A244" s="40"/>
      <c r="B244" s="40"/>
      <c r="C244" s="40"/>
      <c r="D244" s="40"/>
      <c r="E244" s="40"/>
      <c r="F244" s="40"/>
      <c r="G244" s="40"/>
      <c r="H244" s="40"/>
      <c r="I244" s="40"/>
      <c r="J244" s="40"/>
      <c r="K244" s="40"/>
      <c r="L244" s="40"/>
      <c r="M244" s="40"/>
      <c r="N244" s="40"/>
      <c r="O244" s="40"/>
      <c r="P244" s="40"/>
      <c r="Q244" s="40"/>
    </row>
    <row r="245" spans="1:17" ht="15.6" x14ac:dyDescent="0.3">
      <c r="A245" s="40"/>
      <c r="B245" s="40"/>
      <c r="C245" s="40"/>
      <c r="D245" s="40"/>
      <c r="E245" s="40"/>
      <c r="F245" s="40"/>
      <c r="G245" s="40"/>
      <c r="H245" s="40"/>
      <c r="I245" s="40"/>
      <c r="J245" s="40"/>
      <c r="K245" s="40"/>
      <c r="L245" s="40"/>
      <c r="M245" s="40"/>
      <c r="N245" s="40"/>
      <c r="O245" s="40"/>
      <c r="P245" s="40"/>
      <c r="Q245" s="40"/>
    </row>
    <row r="246" spans="1:17" ht="15.6" x14ac:dyDescent="0.3">
      <c r="A246" s="40"/>
      <c r="B246" s="40"/>
      <c r="C246" s="40"/>
      <c r="D246" s="40"/>
      <c r="E246" s="40"/>
      <c r="F246" s="40"/>
      <c r="G246" s="40"/>
      <c r="H246" s="40"/>
      <c r="I246" s="40"/>
      <c r="J246" s="40"/>
      <c r="K246" s="40"/>
      <c r="L246" s="40"/>
      <c r="M246" s="40"/>
      <c r="N246" s="40"/>
      <c r="O246" s="40"/>
      <c r="P246" s="40"/>
      <c r="Q246" s="40"/>
    </row>
    <row r="247" spans="1:17" ht="15.6" x14ac:dyDescent="0.3">
      <c r="A247" s="40"/>
      <c r="B247" s="40"/>
      <c r="C247" s="40"/>
      <c r="D247" s="40"/>
      <c r="E247" s="40"/>
      <c r="F247" s="40"/>
      <c r="G247" s="40"/>
      <c r="H247" s="40"/>
      <c r="I247" s="40"/>
      <c r="J247" s="40"/>
      <c r="K247" s="40"/>
      <c r="L247" s="40"/>
      <c r="M247" s="40"/>
      <c r="N247" s="40"/>
      <c r="O247" s="40"/>
      <c r="P247" s="40"/>
      <c r="Q247" s="40"/>
    </row>
    <row r="248" spans="1:17" ht="15.6" x14ac:dyDescent="0.3">
      <c r="A248" s="40"/>
      <c r="B248" s="40"/>
      <c r="C248" s="40"/>
      <c r="D248" s="40"/>
      <c r="E248" s="40"/>
      <c r="F248" s="40"/>
      <c r="G248" s="40"/>
      <c r="H248" s="40"/>
      <c r="I248" s="40"/>
      <c r="J248" s="40"/>
      <c r="K248" s="40"/>
      <c r="L248" s="40"/>
      <c r="M248" s="40"/>
      <c r="N248" s="40"/>
      <c r="O248" s="40"/>
      <c r="P248" s="40"/>
      <c r="Q248" s="40"/>
    </row>
    <row r="249" spans="1:17" ht="15.6" x14ac:dyDescent="0.3">
      <c r="A249" s="40"/>
      <c r="B249" s="40"/>
      <c r="C249" s="40"/>
      <c r="D249" s="40"/>
      <c r="E249" s="40"/>
      <c r="F249" s="40"/>
      <c r="G249" s="40"/>
      <c r="H249" s="40"/>
      <c r="I249" s="40"/>
      <c r="J249" s="40"/>
      <c r="K249" s="40"/>
      <c r="L249" s="40"/>
      <c r="M249" s="40"/>
      <c r="N249" s="40"/>
      <c r="O249" s="40"/>
      <c r="P249" s="40"/>
      <c r="Q249" s="40"/>
    </row>
    <row r="250" spans="1:17" ht="15.6" x14ac:dyDescent="0.3">
      <c r="A250" s="40"/>
      <c r="B250" s="40"/>
      <c r="C250" s="40"/>
      <c r="D250" s="40"/>
      <c r="E250" s="40"/>
      <c r="F250" s="40"/>
      <c r="G250" s="40"/>
      <c r="H250" s="40"/>
      <c r="I250" s="40"/>
      <c r="J250" s="40"/>
      <c r="K250" s="40"/>
      <c r="L250" s="40"/>
      <c r="M250" s="40"/>
      <c r="N250" s="40"/>
      <c r="O250" s="40"/>
      <c r="P250" s="40"/>
      <c r="Q250" s="40"/>
    </row>
    <row r="251" spans="1:17" ht="15.6" x14ac:dyDescent="0.3">
      <c r="A251" s="40"/>
      <c r="B251" s="40"/>
      <c r="C251" s="40"/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</row>
    <row r="252" spans="1:17" ht="15.6" x14ac:dyDescent="0.3">
      <c r="A252" s="40"/>
      <c r="B252" s="40"/>
      <c r="C252" s="40"/>
      <c r="D252" s="40"/>
      <c r="E252" s="40"/>
      <c r="F252" s="40"/>
      <c r="G252" s="40"/>
      <c r="H252" s="40"/>
      <c r="I252" s="40"/>
      <c r="J252" s="40"/>
      <c r="K252" s="40"/>
      <c r="L252" s="40"/>
      <c r="M252" s="40"/>
      <c r="N252" s="40"/>
      <c r="O252" s="40"/>
      <c r="P252" s="40"/>
      <c r="Q252" s="40"/>
    </row>
    <row r="253" spans="1:17" ht="15.6" x14ac:dyDescent="0.3">
      <c r="A253" s="40"/>
      <c r="B253" s="40"/>
      <c r="C253" s="40"/>
      <c r="D253" s="40"/>
      <c r="E253" s="40"/>
      <c r="F253" s="40"/>
      <c r="G253" s="40"/>
      <c r="H253" s="40"/>
      <c r="I253" s="40"/>
      <c r="J253" s="40"/>
      <c r="K253" s="40"/>
      <c r="L253" s="40"/>
      <c r="M253" s="40"/>
      <c r="N253" s="40"/>
      <c r="O253" s="40"/>
      <c r="P253" s="40"/>
      <c r="Q253" s="40"/>
    </row>
    <row r="254" spans="1:17" ht="15.6" x14ac:dyDescent="0.3">
      <c r="A254" s="40"/>
      <c r="B254" s="40"/>
      <c r="C254" s="40"/>
      <c r="D254" s="40"/>
      <c r="E254" s="40"/>
      <c r="F254" s="40"/>
      <c r="G254" s="40"/>
      <c r="H254" s="40"/>
      <c r="I254" s="40"/>
      <c r="J254" s="40"/>
      <c r="K254" s="40"/>
      <c r="L254" s="40"/>
      <c r="M254" s="40"/>
      <c r="N254" s="40"/>
      <c r="O254" s="40"/>
      <c r="P254" s="40"/>
      <c r="Q254" s="40"/>
    </row>
  </sheetData>
  <mergeCells count="12">
    <mergeCell ref="B131:D131"/>
    <mergeCell ref="N115:O116"/>
    <mergeCell ref="B97:D97"/>
    <mergeCell ref="D104:E104"/>
    <mergeCell ref="N81:O82"/>
    <mergeCell ref="N13:O14"/>
    <mergeCell ref="D2:E2"/>
    <mergeCell ref="B63:D63"/>
    <mergeCell ref="D70:E70"/>
    <mergeCell ref="D36:E36"/>
    <mergeCell ref="N47:O48"/>
    <mergeCell ref="B29:D2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27E69-6A6C-43AE-BD87-E8FD9858B0F7}">
  <dimension ref="D7:R12"/>
  <sheetViews>
    <sheetView showGridLines="0" zoomScaleNormal="100" workbookViewId="0">
      <selection activeCell="H19" sqref="H19"/>
    </sheetView>
  </sheetViews>
  <sheetFormatPr baseColWidth="10" defaultRowHeight="14.4" x14ac:dyDescent="0.3"/>
  <cols>
    <col min="4" max="4" width="18.77734375" customWidth="1"/>
    <col min="5" max="16" width="8.77734375" customWidth="1"/>
    <col min="17" max="17" width="16.77734375" customWidth="1"/>
    <col min="18" max="18" width="12.77734375" customWidth="1"/>
  </cols>
  <sheetData>
    <row r="7" spans="4:18" ht="31.2" x14ac:dyDescent="0.3">
      <c r="D7" s="94" t="s">
        <v>28</v>
      </c>
      <c r="E7" s="95" t="s">
        <v>30</v>
      </c>
      <c r="F7" s="96" t="s">
        <v>140</v>
      </c>
      <c r="G7" s="96" t="s">
        <v>31</v>
      </c>
      <c r="H7" s="96" t="s">
        <v>120</v>
      </c>
      <c r="I7" s="96" t="s">
        <v>129</v>
      </c>
      <c r="J7" s="96" t="s">
        <v>29</v>
      </c>
      <c r="K7" s="96" t="s">
        <v>141</v>
      </c>
      <c r="L7" s="96" t="s">
        <v>142</v>
      </c>
      <c r="M7" s="96" t="s">
        <v>143</v>
      </c>
      <c r="N7" s="96" t="s">
        <v>144</v>
      </c>
      <c r="O7" s="96" t="s">
        <v>125</v>
      </c>
      <c r="P7" s="96" t="s">
        <v>32</v>
      </c>
      <c r="Q7" s="97" t="s">
        <v>33</v>
      </c>
      <c r="R7" s="98" t="s">
        <v>34</v>
      </c>
    </row>
    <row r="8" spans="4:18" ht="30" customHeight="1" x14ac:dyDescent="0.3">
      <c r="D8" s="82" t="str">
        <f>+'Elementos de la operación'!D3</f>
        <v>Posiciona prenda</v>
      </c>
      <c r="E8" s="89">
        <v>0.05</v>
      </c>
      <c r="F8" s="83">
        <v>0.05</v>
      </c>
      <c r="G8" s="83">
        <v>0.02</v>
      </c>
      <c r="H8" s="83">
        <v>0.02</v>
      </c>
      <c r="I8" s="83">
        <v>0.02</v>
      </c>
      <c r="J8" s="83">
        <v>0.02</v>
      </c>
      <c r="K8" s="83">
        <v>0</v>
      </c>
      <c r="L8" s="83">
        <v>0</v>
      </c>
      <c r="M8" s="83">
        <v>0</v>
      </c>
      <c r="N8" s="83">
        <v>0</v>
      </c>
      <c r="O8" s="83">
        <v>0.02</v>
      </c>
      <c r="P8" s="83">
        <v>0</v>
      </c>
      <c r="Q8" s="92">
        <f t="shared" ref="Q8:Q10" si="0">(SUM(E8:P8))</f>
        <v>0.19999999999999998</v>
      </c>
      <c r="R8" s="84">
        <f t="shared" ref="R8:R11" si="1">Q8+1</f>
        <v>1.2</v>
      </c>
    </row>
    <row r="9" spans="4:18" ht="30" customHeight="1" x14ac:dyDescent="0.3">
      <c r="D9" s="82" t="str">
        <f>+'Elementos de la operación'!D4</f>
        <v>Basta de mangas</v>
      </c>
      <c r="E9" s="90">
        <v>0.05</v>
      </c>
      <c r="F9" s="85">
        <v>0.05</v>
      </c>
      <c r="G9" s="85">
        <v>0.02</v>
      </c>
      <c r="H9" s="85">
        <v>0.02</v>
      </c>
      <c r="I9" s="85">
        <v>0.02</v>
      </c>
      <c r="J9" s="85">
        <v>0.02</v>
      </c>
      <c r="K9" s="85">
        <v>0</v>
      </c>
      <c r="L9" s="85">
        <v>0</v>
      </c>
      <c r="M9" s="85">
        <v>0</v>
      </c>
      <c r="N9" s="85">
        <v>0</v>
      </c>
      <c r="O9" s="85">
        <v>0.02</v>
      </c>
      <c r="P9" s="85">
        <v>0</v>
      </c>
      <c r="Q9" s="92">
        <f t="shared" si="0"/>
        <v>0.19999999999999998</v>
      </c>
      <c r="R9" s="84">
        <f t="shared" si="1"/>
        <v>1.2</v>
      </c>
    </row>
    <row r="10" spans="4:18" ht="30" customHeight="1" x14ac:dyDescent="0.3">
      <c r="D10" s="82" t="str">
        <f>+'Elementos de la operación'!D5</f>
        <v>Volver a posicionar prenda</v>
      </c>
      <c r="E10" s="90">
        <v>0.05</v>
      </c>
      <c r="F10" s="85">
        <v>0.05</v>
      </c>
      <c r="G10" s="85">
        <v>0.02</v>
      </c>
      <c r="H10" s="85">
        <v>0.02</v>
      </c>
      <c r="I10" s="85">
        <v>0.02</v>
      </c>
      <c r="J10" s="85">
        <v>0.02</v>
      </c>
      <c r="K10" s="85">
        <v>0</v>
      </c>
      <c r="L10" s="85">
        <v>0</v>
      </c>
      <c r="M10" s="85">
        <v>0</v>
      </c>
      <c r="N10" s="85">
        <v>0</v>
      </c>
      <c r="O10" s="85">
        <v>0.02</v>
      </c>
      <c r="P10" s="85">
        <v>0</v>
      </c>
      <c r="Q10" s="92">
        <f t="shared" si="0"/>
        <v>0.19999999999999998</v>
      </c>
      <c r="R10" s="84">
        <f t="shared" si="1"/>
        <v>1.2</v>
      </c>
    </row>
    <row r="11" spans="4:18" ht="30" customHeight="1" x14ac:dyDescent="0.3">
      <c r="D11" s="86" t="str">
        <f>+'Elementos de la operación'!D6</f>
        <v>Basta de faldon</v>
      </c>
      <c r="E11" s="91">
        <v>0.05</v>
      </c>
      <c r="F11" s="87">
        <v>0.05</v>
      </c>
      <c r="G11" s="87">
        <v>0.02</v>
      </c>
      <c r="H11" s="87">
        <v>0.02</v>
      </c>
      <c r="I11" s="87">
        <v>0.02</v>
      </c>
      <c r="J11" s="87">
        <v>0.02</v>
      </c>
      <c r="K11" s="87">
        <v>0</v>
      </c>
      <c r="L11" s="87">
        <v>0</v>
      </c>
      <c r="M11" s="87">
        <v>0</v>
      </c>
      <c r="N11" s="87">
        <v>0</v>
      </c>
      <c r="O11" s="87">
        <v>0.02</v>
      </c>
      <c r="P11" s="87">
        <v>0</v>
      </c>
      <c r="Q11" s="93">
        <f t="shared" ref="Q11" si="2">(SUM(E11:P11))</f>
        <v>0.19999999999999998</v>
      </c>
      <c r="R11" s="88">
        <f t="shared" si="1"/>
        <v>1.2</v>
      </c>
    </row>
    <row r="12" spans="4:18" ht="15" customHeight="1" x14ac:dyDescent="0.3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0F82D-4181-498D-A286-D919E17D82D9}">
  <dimension ref="A2:N54"/>
  <sheetViews>
    <sheetView tabSelected="1" topLeftCell="A26" workbookViewId="0">
      <selection activeCell="K41" sqref="K41"/>
    </sheetView>
  </sheetViews>
  <sheetFormatPr baseColWidth="10" defaultRowHeight="14.4" x14ac:dyDescent="0.3"/>
  <cols>
    <col min="2" max="2" width="18.44140625" customWidth="1"/>
    <col min="4" max="4" width="20.77734375" customWidth="1"/>
    <col min="5" max="5" width="15.5546875" customWidth="1"/>
    <col min="6" max="6" width="19.88671875" customWidth="1"/>
    <col min="7" max="7" width="16.77734375" customWidth="1"/>
    <col min="19" max="19" width="23.88671875" customWidth="1"/>
    <col min="20" max="20" width="15.44140625" customWidth="1"/>
    <col min="21" max="21" width="19.6640625" customWidth="1"/>
    <col min="22" max="22" width="21.33203125" customWidth="1"/>
  </cols>
  <sheetData>
    <row r="2" spans="1:14" ht="15.6" x14ac:dyDescent="0.3">
      <c r="D2" s="27"/>
      <c r="E2" s="28"/>
      <c r="F2" s="27"/>
      <c r="G2" s="27"/>
    </row>
    <row r="3" spans="1:14" ht="15.6" x14ac:dyDescent="0.3">
      <c r="D3" s="27"/>
      <c r="E3" s="28"/>
      <c r="F3" s="27"/>
      <c r="G3" s="27"/>
    </row>
    <row r="4" spans="1:14" ht="15.6" customHeight="1" x14ac:dyDescent="0.3">
      <c r="B4" s="26" t="s">
        <v>98</v>
      </c>
      <c r="D4" s="27"/>
      <c r="E4" t="s">
        <v>100</v>
      </c>
      <c r="F4" s="27"/>
      <c r="G4" s="114" t="s">
        <v>101</v>
      </c>
      <c r="H4" s="114"/>
      <c r="I4" s="114"/>
    </row>
    <row r="5" spans="1:14" ht="15.6" x14ac:dyDescent="0.3">
      <c r="B5" t="str">
        <f>+'Elementos de la operación'!B3</f>
        <v>Basta de mangas y faldon</v>
      </c>
      <c r="D5" s="27"/>
      <c r="E5" t="s">
        <v>102</v>
      </c>
      <c r="F5" s="27"/>
      <c r="G5" s="27"/>
    </row>
    <row r="6" spans="1:14" ht="15.6" x14ac:dyDescent="0.3">
      <c r="A6" s="49"/>
      <c r="B6" s="49"/>
      <c r="C6" s="49"/>
      <c r="D6" s="99"/>
      <c r="E6" s="99"/>
      <c r="F6" s="99"/>
      <c r="G6" s="99"/>
      <c r="H6" s="49"/>
      <c r="I6" s="49"/>
      <c r="J6" s="49"/>
      <c r="K6" s="49"/>
      <c r="L6" s="49"/>
      <c r="M6" s="49"/>
      <c r="N6" s="49"/>
    </row>
    <row r="7" spans="1:14" ht="15.6" x14ac:dyDescent="0.3">
      <c r="A7" s="49"/>
      <c r="B7" s="49"/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</row>
    <row r="8" spans="1:14" ht="15.6" x14ac:dyDescent="0.3">
      <c r="A8" s="49"/>
      <c r="B8" s="143" t="s">
        <v>28</v>
      </c>
      <c r="C8" s="139" t="s">
        <v>41</v>
      </c>
      <c r="D8" s="145" t="s">
        <v>103</v>
      </c>
      <c r="E8" s="139" t="s">
        <v>34</v>
      </c>
      <c r="F8" s="139" t="s">
        <v>35</v>
      </c>
      <c r="G8" s="96" t="s">
        <v>36</v>
      </c>
      <c r="H8" s="97" t="s">
        <v>37</v>
      </c>
      <c r="I8" s="96" t="s">
        <v>38</v>
      </c>
      <c r="J8" s="139" t="s">
        <v>39</v>
      </c>
      <c r="K8" s="139" t="s">
        <v>40</v>
      </c>
      <c r="L8" s="141" t="s">
        <v>43</v>
      </c>
      <c r="M8" s="49"/>
      <c r="N8" s="49"/>
    </row>
    <row r="9" spans="1:14" ht="15.6" x14ac:dyDescent="0.3">
      <c r="A9" s="49"/>
      <c r="B9" s="144"/>
      <c r="C9" s="140"/>
      <c r="D9" s="146"/>
      <c r="E9" s="140"/>
      <c r="F9" s="140"/>
      <c r="G9" s="147" t="str">
        <f>+CONCATENATE("POR ",UPPER(B5))</f>
        <v>POR BASTA DE MANGAS Y FALDON</v>
      </c>
      <c r="H9" s="147"/>
      <c r="I9" s="147"/>
      <c r="J9" s="140"/>
      <c r="K9" s="140"/>
      <c r="L9" s="142"/>
      <c r="M9" s="49"/>
      <c r="N9" s="49"/>
    </row>
    <row r="10" spans="1:14" ht="28.95" customHeight="1" x14ac:dyDescent="0.3">
      <c r="A10" s="49"/>
      <c r="B10" s="66" t="str">
        <f>+'Elementos de la operación'!D3</f>
        <v>Posiciona prenda</v>
      </c>
      <c r="C10" s="70" t="s">
        <v>37</v>
      </c>
      <c r="D10" s="65">
        <f ca="1">+MAI!E29</f>
        <v>1132</v>
      </c>
      <c r="E10" s="103">
        <f>+Suplementos!R8</f>
        <v>1.2</v>
      </c>
      <c r="F10" s="70">
        <f t="shared" ref="F10:F13" ca="1" si="0">D10*E10</f>
        <v>1358.3999999999999</v>
      </c>
      <c r="G10" s="105">
        <v>2</v>
      </c>
      <c r="H10" s="108">
        <f t="shared" ref="H10:H13" ca="1" si="1">+IFERROR(IF(VLOOKUP("tmp",C10,1)="tmp",F10,"")*G10,"")</f>
        <v>2716.7999999999997</v>
      </c>
      <c r="I10" s="108" t="str">
        <f t="shared" ref="I10:I13" si="2">+IFERROR(IF(VLOOKUP("ttm",C10,1)="ttm",F10,"")*G10,"")</f>
        <v/>
      </c>
      <c r="J10" s="109">
        <f t="shared" ref="J10:J13" ca="1" si="3">+SUM(H10:I10)</f>
        <v>2716.7999999999997</v>
      </c>
      <c r="K10" s="109">
        <f t="shared" ref="K10:K13" ca="1" si="4">J10*0.75</f>
        <v>2037.6</v>
      </c>
      <c r="L10" s="100">
        <f t="shared" ref="L10:L13" ca="1" si="5">J10*0.8</f>
        <v>2173.44</v>
      </c>
      <c r="M10" s="49"/>
      <c r="N10" s="49"/>
    </row>
    <row r="11" spans="1:14" ht="28.95" customHeight="1" x14ac:dyDescent="0.3">
      <c r="A11" s="49"/>
      <c r="B11" s="66" t="str">
        <f>+'Elementos de la operación'!D4</f>
        <v>Basta de mangas</v>
      </c>
      <c r="C11" s="70" t="s">
        <v>38</v>
      </c>
      <c r="D11" s="65">
        <f ca="1">+MAI!E63</f>
        <v>2666</v>
      </c>
      <c r="E11" s="103">
        <f>+Suplementos!R9</f>
        <v>1.2</v>
      </c>
      <c r="F11" s="70">
        <f t="shared" ca="1" si="0"/>
        <v>3199.2</v>
      </c>
      <c r="G11" s="106">
        <v>2</v>
      </c>
      <c r="H11" s="109" t="str">
        <f t="shared" si="1"/>
        <v/>
      </c>
      <c r="I11" s="109">
        <f t="shared" ca="1" si="2"/>
        <v>6398.4</v>
      </c>
      <c r="J11" s="109">
        <f t="shared" ca="1" si="3"/>
        <v>6398.4</v>
      </c>
      <c r="K11" s="109">
        <f t="shared" ca="1" si="4"/>
        <v>4798.7999999999993</v>
      </c>
      <c r="L11" s="100">
        <f t="shared" ca="1" si="5"/>
        <v>5118.72</v>
      </c>
      <c r="M11" s="49"/>
      <c r="N11" s="49"/>
    </row>
    <row r="12" spans="1:14" ht="28.95" customHeight="1" x14ac:dyDescent="0.3">
      <c r="A12" s="49"/>
      <c r="B12" s="66" t="str">
        <f>+'Elementos de la operación'!D5</f>
        <v>Volver a posicionar prenda</v>
      </c>
      <c r="C12" s="70" t="s">
        <v>37</v>
      </c>
      <c r="D12" s="65">
        <f ca="1">+MAI!E97</f>
        <v>1133</v>
      </c>
      <c r="E12" s="103">
        <f>+Suplementos!R10</f>
        <v>1.2</v>
      </c>
      <c r="F12" s="70">
        <f t="shared" ca="1" si="0"/>
        <v>1359.6</v>
      </c>
      <c r="G12" s="106">
        <v>1</v>
      </c>
      <c r="H12" s="109">
        <f t="shared" ca="1" si="1"/>
        <v>1359.6</v>
      </c>
      <c r="I12" s="109" t="str">
        <f t="shared" si="2"/>
        <v/>
      </c>
      <c r="J12" s="109">
        <f t="shared" ca="1" si="3"/>
        <v>1359.6</v>
      </c>
      <c r="K12" s="109">
        <f t="shared" ca="1" si="4"/>
        <v>1019.6999999999999</v>
      </c>
      <c r="L12" s="100">
        <f t="shared" ca="1" si="5"/>
        <v>1087.68</v>
      </c>
      <c r="M12" s="49"/>
      <c r="N12" s="49"/>
    </row>
    <row r="13" spans="1:14" ht="28.95" customHeight="1" x14ac:dyDescent="0.3">
      <c r="A13" s="49"/>
      <c r="B13" s="66" t="str">
        <f>+'Elementos de la operación'!D6</f>
        <v>Basta de faldon</v>
      </c>
      <c r="C13" s="71" t="s">
        <v>38</v>
      </c>
      <c r="D13" s="65">
        <f ca="1">+MAI!E131</f>
        <v>4111</v>
      </c>
      <c r="E13" s="104">
        <f>+Suplementos!R11</f>
        <v>1.2</v>
      </c>
      <c r="F13" s="71">
        <f t="shared" ca="1" si="0"/>
        <v>4933.2</v>
      </c>
      <c r="G13" s="107">
        <v>1</v>
      </c>
      <c r="H13" s="109" t="str">
        <f t="shared" si="1"/>
        <v/>
      </c>
      <c r="I13" s="109">
        <f t="shared" ca="1" si="2"/>
        <v>4933.2</v>
      </c>
      <c r="J13" s="109">
        <f t="shared" ca="1" si="3"/>
        <v>4933.2</v>
      </c>
      <c r="K13" s="109">
        <f t="shared" ca="1" si="4"/>
        <v>3699.8999999999996</v>
      </c>
      <c r="L13" s="100">
        <f t="shared" ca="1" si="5"/>
        <v>3946.56</v>
      </c>
      <c r="M13" s="49"/>
      <c r="N13" s="49"/>
    </row>
    <row r="14" spans="1:14" ht="15.6" customHeight="1" x14ac:dyDescent="0.3">
      <c r="A14" s="49"/>
      <c r="B14" s="137" t="s">
        <v>104</v>
      </c>
      <c r="C14" s="138"/>
      <c r="D14" s="138"/>
      <c r="E14" s="138"/>
      <c r="F14" s="138"/>
      <c r="G14" s="138"/>
      <c r="H14" s="108">
        <f ca="1">SUM(H10:H13)</f>
        <v>4076.3999999999996</v>
      </c>
      <c r="I14" s="108">
        <f ca="1">SUM(I10:I13)</f>
        <v>11331.599999999999</v>
      </c>
      <c r="J14" s="108">
        <f ca="1">SUM(J10:J12)</f>
        <v>10474.799999999999</v>
      </c>
      <c r="K14" s="108"/>
      <c r="L14" s="101"/>
      <c r="M14" s="49"/>
      <c r="N14" s="49"/>
    </row>
    <row r="15" spans="1:14" ht="15.6" customHeight="1" x14ac:dyDescent="0.3">
      <c r="A15" s="49"/>
      <c r="B15" s="137" t="s">
        <v>105</v>
      </c>
      <c r="C15" s="138"/>
      <c r="D15" s="138"/>
      <c r="E15" s="138"/>
      <c r="F15" s="138"/>
      <c r="G15" s="138"/>
      <c r="H15" s="108">
        <f ca="1">H14*0.75</f>
        <v>3057.2999999999997</v>
      </c>
      <c r="I15" s="108">
        <f ca="1">I14*0.75</f>
        <v>8498.6999999999989</v>
      </c>
      <c r="J15" s="108"/>
      <c r="K15" s="108">
        <f ca="1">SUM(K10:K12)</f>
        <v>7856.0999999999995</v>
      </c>
      <c r="L15" s="101"/>
      <c r="M15" s="49"/>
      <c r="N15" s="49"/>
    </row>
    <row r="16" spans="1:14" ht="15.6" customHeight="1" x14ac:dyDescent="0.3">
      <c r="A16" s="49"/>
      <c r="B16" s="137" t="s">
        <v>42</v>
      </c>
      <c r="C16" s="138"/>
      <c r="D16" s="138"/>
      <c r="E16" s="138"/>
      <c r="F16" s="138"/>
      <c r="G16" s="138"/>
      <c r="H16" s="110">
        <f ca="1">H14*0.8</f>
        <v>3261.12</v>
      </c>
      <c r="I16" s="110">
        <f ca="1">I14*0.8</f>
        <v>9065.2799999999988</v>
      </c>
      <c r="J16" s="110"/>
      <c r="K16" s="110"/>
      <c r="L16" s="102">
        <f ca="1">SUM(H16:I16)</f>
        <v>12326.399999999998</v>
      </c>
      <c r="M16" s="49"/>
      <c r="N16" s="49"/>
    </row>
    <row r="17" spans="1:14" ht="14.4" customHeight="1" x14ac:dyDescent="0.3">
      <c r="A17" s="49"/>
      <c r="B17" s="80"/>
      <c r="C17" s="80"/>
      <c r="D17" s="80"/>
      <c r="E17" s="80"/>
      <c r="F17" s="80"/>
      <c r="G17" s="80"/>
      <c r="H17" s="80"/>
      <c r="I17" s="80"/>
      <c r="J17" s="80"/>
      <c r="K17" s="80"/>
      <c r="L17" s="80"/>
      <c r="M17" s="49"/>
      <c r="N17" s="49"/>
    </row>
    <row r="18" spans="1:14" ht="14.4" customHeight="1" x14ac:dyDescent="0.3">
      <c r="A18" s="49"/>
      <c r="B18" s="49"/>
      <c r="C18" s="49"/>
      <c r="D18" s="49"/>
      <c r="E18" s="49"/>
      <c r="F18" s="49"/>
      <c r="G18" s="49"/>
      <c r="H18" s="49"/>
      <c r="I18" s="49"/>
      <c r="J18" s="49"/>
      <c r="K18" s="49"/>
      <c r="L18" s="49"/>
      <c r="M18" s="49"/>
      <c r="N18" s="49"/>
    </row>
    <row r="19" spans="1:14" ht="15.6" x14ac:dyDescent="0.3">
      <c r="A19" s="49"/>
      <c r="B19" s="49"/>
      <c r="C19" s="49"/>
      <c r="D19" s="49"/>
      <c r="E19" s="49"/>
      <c r="F19" s="49"/>
      <c r="G19" s="49"/>
      <c r="H19" s="49"/>
      <c r="I19" s="49"/>
      <c r="J19" s="49"/>
      <c r="K19" s="49"/>
      <c r="L19" s="49"/>
      <c r="M19" s="49"/>
      <c r="N19" s="49"/>
    </row>
    <row r="20" spans="1:14" ht="15.6" x14ac:dyDescent="0.3">
      <c r="A20" s="49"/>
      <c r="B20" s="49"/>
      <c r="C20" s="49"/>
      <c r="D20" s="49"/>
      <c r="E20" s="139" t="s">
        <v>44</v>
      </c>
      <c r="F20" s="80" t="s">
        <v>46</v>
      </c>
      <c r="G20" s="111">
        <f ca="1">SUM(H14:I14)</f>
        <v>15407.999999999998</v>
      </c>
      <c r="H20" s="49"/>
      <c r="I20" s="49"/>
      <c r="J20" s="49"/>
      <c r="K20" s="49"/>
      <c r="L20" s="49"/>
      <c r="M20" s="49"/>
      <c r="N20" s="49"/>
    </row>
    <row r="21" spans="1:14" ht="15.6" x14ac:dyDescent="0.3">
      <c r="A21" s="49"/>
      <c r="B21" s="49"/>
      <c r="C21" s="49"/>
      <c r="D21" s="49"/>
      <c r="E21" s="148"/>
      <c r="F21" s="49" t="s">
        <v>47</v>
      </c>
      <c r="G21" s="112">
        <f ca="1">SUM(H15:I15)</f>
        <v>11555.999999999998</v>
      </c>
      <c r="H21" s="49"/>
      <c r="I21" s="49"/>
      <c r="J21" s="49"/>
      <c r="K21" s="49"/>
      <c r="L21" s="49"/>
      <c r="M21" s="49"/>
      <c r="N21" s="49"/>
    </row>
    <row r="22" spans="1:14" ht="15.6" x14ac:dyDescent="0.3">
      <c r="A22" s="49"/>
      <c r="B22" s="49"/>
      <c r="C22" s="49"/>
      <c r="D22" s="49"/>
      <c r="E22" s="140"/>
      <c r="F22" s="50" t="s">
        <v>29</v>
      </c>
      <c r="G22" s="113">
        <f ca="1">SUM(H16:I16)</f>
        <v>12326.399999999998</v>
      </c>
      <c r="H22" s="49"/>
      <c r="I22" s="49"/>
      <c r="J22" s="49"/>
      <c r="K22" s="49"/>
      <c r="L22" s="49"/>
      <c r="M22" s="49"/>
      <c r="N22" s="49"/>
    </row>
    <row r="23" spans="1:14" ht="15.6" x14ac:dyDescent="0.3">
      <c r="A23" s="49"/>
      <c r="B23" s="49"/>
      <c r="C23" s="49"/>
      <c r="D23" s="49"/>
      <c r="E23" s="139" t="s">
        <v>45</v>
      </c>
      <c r="F23" s="80" t="s">
        <v>46</v>
      </c>
      <c r="G23" s="111">
        <f ca="1">I14</f>
        <v>11331.599999999999</v>
      </c>
      <c r="H23" s="49"/>
      <c r="I23" s="49"/>
      <c r="J23" s="49"/>
      <c r="K23" s="49"/>
      <c r="L23" s="49"/>
      <c r="M23" s="49"/>
      <c r="N23" s="49"/>
    </row>
    <row r="24" spans="1:14" ht="15.6" x14ac:dyDescent="0.3">
      <c r="A24" s="49"/>
      <c r="B24" s="49"/>
      <c r="C24" s="49"/>
      <c r="D24" s="49"/>
      <c r="E24" s="148"/>
      <c r="F24" s="49" t="s">
        <v>47</v>
      </c>
      <c r="G24" s="112">
        <f ca="1">I15</f>
        <v>8498.6999999999989</v>
      </c>
      <c r="H24" s="49"/>
      <c r="I24" s="49"/>
      <c r="J24" s="49"/>
      <c r="K24" s="49"/>
      <c r="L24" s="49"/>
      <c r="M24" s="49"/>
      <c r="N24" s="49"/>
    </row>
    <row r="25" spans="1:14" ht="15.6" x14ac:dyDescent="0.3">
      <c r="A25" s="49"/>
      <c r="B25" s="49"/>
      <c r="C25" s="49"/>
      <c r="D25" s="49"/>
      <c r="E25" s="140"/>
      <c r="F25" s="50" t="s">
        <v>29</v>
      </c>
      <c r="G25" s="113">
        <f ca="1">I16</f>
        <v>9065.2799999999988</v>
      </c>
      <c r="H25" s="49"/>
      <c r="I25" s="49"/>
      <c r="J25" s="49"/>
      <c r="K25" s="49"/>
      <c r="L25" s="49"/>
      <c r="M25" s="49"/>
      <c r="N25" s="49"/>
    </row>
    <row r="26" spans="1:14" ht="15.6" x14ac:dyDescent="0.3">
      <c r="A26" s="49"/>
      <c r="B26" s="49"/>
      <c r="C26" s="49"/>
      <c r="D26" s="49"/>
      <c r="E26" s="148" t="s">
        <v>106</v>
      </c>
      <c r="F26" s="49" t="s">
        <v>46</v>
      </c>
      <c r="G26" s="112">
        <f ca="1">SUM(H14:I14)</f>
        <v>15407.999999999998</v>
      </c>
      <c r="H26" s="49"/>
      <c r="I26" s="49"/>
      <c r="J26" s="49"/>
      <c r="K26" s="49"/>
      <c r="L26" s="49"/>
      <c r="M26" s="49"/>
      <c r="N26" s="49"/>
    </row>
    <row r="27" spans="1:14" ht="15.6" x14ac:dyDescent="0.3">
      <c r="A27" s="49"/>
      <c r="B27" s="49"/>
      <c r="C27" s="49"/>
      <c r="D27" s="49"/>
      <c r="E27" s="148"/>
      <c r="F27" s="49" t="s">
        <v>47</v>
      </c>
      <c r="G27" s="112">
        <f ca="1">SUM(H15:I15)</f>
        <v>11555.999999999998</v>
      </c>
      <c r="H27" s="49"/>
      <c r="I27" s="49"/>
      <c r="J27" s="49"/>
      <c r="K27" s="49"/>
      <c r="L27" s="49"/>
      <c r="M27" s="49"/>
      <c r="N27" s="49"/>
    </row>
    <row r="28" spans="1:14" ht="15.6" x14ac:dyDescent="0.3">
      <c r="A28" s="49"/>
      <c r="B28" s="49"/>
      <c r="C28" s="49"/>
      <c r="D28" s="49"/>
      <c r="E28" s="140"/>
      <c r="F28" s="50" t="s">
        <v>29</v>
      </c>
      <c r="G28" s="113">
        <f ca="1">SUM(H16:I16)</f>
        <v>12326.399999999998</v>
      </c>
      <c r="H28" s="49"/>
      <c r="I28" s="49"/>
      <c r="J28" s="49"/>
      <c r="K28" s="49"/>
      <c r="L28" s="49"/>
      <c r="M28" s="49"/>
      <c r="N28" s="49"/>
    </row>
    <row r="29" spans="1:14" ht="15.6" x14ac:dyDescent="0.3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</row>
    <row r="30" spans="1:14" ht="15.6" x14ac:dyDescent="0.3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</row>
    <row r="31" spans="1:14" ht="15.6" x14ac:dyDescent="0.3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</row>
    <row r="32" spans="1:14" ht="15.6" x14ac:dyDescent="0.3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</row>
    <row r="33" spans="1:14" ht="15.6" x14ac:dyDescent="0.3">
      <c r="A33" s="49"/>
      <c r="B33" s="49"/>
      <c r="C33" s="49"/>
      <c r="D33" s="143" t="s">
        <v>145</v>
      </c>
      <c r="E33" s="139" t="s">
        <v>48</v>
      </c>
      <c r="F33" s="139" t="s">
        <v>49</v>
      </c>
      <c r="G33" s="141" t="s">
        <v>146</v>
      </c>
      <c r="H33" s="49"/>
      <c r="I33" s="49"/>
      <c r="J33" s="49"/>
      <c r="K33" s="49"/>
      <c r="L33" s="49"/>
      <c r="M33" s="49"/>
      <c r="N33" s="49"/>
    </row>
    <row r="34" spans="1:14" ht="15.6" x14ac:dyDescent="0.3">
      <c r="A34" s="49"/>
      <c r="B34" s="49"/>
      <c r="C34" s="49"/>
      <c r="D34" s="144"/>
      <c r="E34" s="140"/>
      <c r="F34" s="140"/>
      <c r="G34" s="142"/>
      <c r="H34" s="49"/>
      <c r="I34" s="49"/>
      <c r="J34" s="49"/>
      <c r="K34" s="49"/>
      <c r="L34" s="49"/>
      <c r="M34" s="49"/>
      <c r="N34" s="49"/>
    </row>
    <row r="35" spans="1:14" ht="16.95" customHeight="1" x14ac:dyDescent="0.3">
      <c r="A35" s="49"/>
      <c r="B35" s="49"/>
      <c r="C35" s="49"/>
      <c r="D35" s="149" t="s">
        <v>50</v>
      </c>
      <c r="E35" s="150">
        <f ca="1">360000/G26</f>
        <v>23.364485981308412</v>
      </c>
      <c r="F35" s="150">
        <f ca="1">360000/G27</f>
        <v>31.152647975077887</v>
      </c>
      <c r="G35" s="151">
        <f ca="1">360000/G28</f>
        <v>29.205607476635521</v>
      </c>
      <c r="H35" s="49"/>
      <c r="I35" s="49"/>
      <c r="J35" s="49"/>
      <c r="K35" s="49"/>
      <c r="L35" s="49"/>
      <c r="M35" s="49"/>
      <c r="N35" s="49"/>
    </row>
    <row r="36" spans="1:14" ht="16.95" customHeight="1" x14ac:dyDescent="0.3">
      <c r="A36" s="49"/>
      <c r="B36" s="49"/>
      <c r="C36" s="49"/>
      <c r="D36" s="149"/>
      <c r="E36" s="150"/>
      <c r="F36" s="150"/>
      <c r="G36" s="151"/>
      <c r="H36" s="49"/>
      <c r="I36" s="49"/>
      <c r="J36" s="49"/>
      <c r="K36" s="49"/>
      <c r="L36" s="49"/>
      <c r="M36" s="49"/>
      <c r="N36" s="49"/>
    </row>
    <row r="37" spans="1:14" ht="16.95" customHeight="1" x14ac:dyDescent="0.3">
      <c r="A37" s="49"/>
      <c r="B37" s="49"/>
      <c r="C37" s="49"/>
      <c r="D37" s="149" t="s">
        <v>51</v>
      </c>
      <c r="E37" s="150">
        <f ca="1">((G20*100)/G26)</f>
        <v>100</v>
      </c>
      <c r="F37" s="150">
        <f ca="1">((G21*100)/G27)</f>
        <v>100</v>
      </c>
      <c r="G37" s="151">
        <f ca="1">((G22*100)/G28)</f>
        <v>100</v>
      </c>
      <c r="H37" s="49"/>
      <c r="I37" s="49"/>
      <c r="J37" s="49"/>
      <c r="K37" s="49"/>
      <c r="L37" s="49"/>
      <c r="M37" s="49"/>
      <c r="N37" s="49"/>
    </row>
    <row r="38" spans="1:14" ht="16.95" customHeight="1" x14ac:dyDescent="0.3">
      <c r="A38" s="49"/>
      <c r="B38" s="49"/>
      <c r="C38" s="49"/>
      <c r="D38" s="149"/>
      <c r="E38" s="150"/>
      <c r="F38" s="150"/>
      <c r="G38" s="151"/>
      <c r="H38" s="49"/>
      <c r="I38" s="49"/>
      <c r="J38" s="49"/>
      <c r="K38" s="49"/>
      <c r="L38" s="49"/>
      <c r="M38" s="49"/>
      <c r="N38" s="49"/>
    </row>
    <row r="39" spans="1:14" ht="16.95" customHeight="1" x14ac:dyDescent="0.3">
      <c r="A39" s="49"/>
      <c r="B39" s="49"/>
      <c r="C39" s="49"/>
      <c r="D39" s="149" t="s">
        <v>52</v>
      </c>
      <c r="E39" s="150">
        <f ca="1">100/E37</f>
        <v>1</v>
      </c>
      <c r="F39" s="150">
        <f ca="1">100/F37</f>
        <v>1</v>
      </c>
      <c r="G39" s="151">
        <f ca="1">100/G37</f>
        <v>1</v>
      </c>
      <c r="H39" s="49"/>
      <c r="I39" s="49"/>
      <c r="J39" s="49"/>
      <c r="K39" s="49"/>
      <c r="L39" s="49"/>
      <c r="M39" s="49"/>
      <c r="N39" s="49"/>
    </row>
    <row r="40" spans="1:14" ht="16.95" customHeight="1" x14ac:dyDescent="0.3">
      <c r="A40" s="49"/>
      <c r="B40" s="49"/>
      <c r="C40" s="49"/>
      <c r="D40" s="149"/>
      <c r="E40" s="150"/>
      <c r="F40" s="150"/>
      <c r="G40" s="151"/>
      <c r="H40" s="49"/>
      <c r="I40" s="49"/>
      <c r="J40" s="49"/>
      <c r="K40" s="49"/>
      <c r="L40" s="49"/>
      <c r="M40" s="49"/>
      <c r="N40" s="49"/>
    </row>
    <row r="41" spans="1:14" ht="16.95" customHeight="1" x14ac:dyDescent="0.3">
      <c r="A41" s="49"/>
      <c r="B41" s="49"/>
      <c r="C41" s="49"/>
      <c r="D41" s="149" t="s">
        <v>53</v>
      </c>
      <c r="E41" s="150">
        <f ca="1">(G23*100)/G26</f>
        <v>73.543613707165107</v>
      </c>
      <c r="F41" s="150">
        <f ca="1">(G24*100)/G27</f>
        <v>73.543613707165107</v>
      </c>
      <c r="G41" s="151">
        <f ca="1">(G25*100)/G28</f>
        <v>73.543613707165107</v>
      </c>
      <c r="H41" s="49"/>
      <c r="I41" s="49"/>
      <c r="J41" s="49"/>
      <c r="K41" s="49"/>
      <c r="L41" s="49"/>
      <c r="M41" s="49"/>
      <c r="N41" s="49"/>
    </row>
    <row r="42" spans="1:14" ht="16.95" customHeight="1" x14ac:dyDescent="0.3">
      <c r="A42" s="49"/>
      <c r="B42" s="49"/>
      <c r="C42" s="49"/>
      <c r="D42" s="149"/>
      <c r="E42" s="150"/>
      <c r="F42" s="150"/>
      <c r="G42" s="151"/>
      <c r="H42" s="49"/>
      <c r="I42" s="49"/>
      <c r="J42" s="49"/>
      <c r="K42" s="49"/>
      <c r="L42" s="49"/>
      <c r="M42" s="49"/>
      <c r="N42" s="49"/>
    </row>
    <row r="43" spans="1:14" ht="16.95" customHeight="1" x14ac:dyDescent="0.3">
      <c r="A43" s="49"/>
      <c r="B43" s="49"/>
      <c r="C43" s="49"/>
      <c r="D43" s="149" t="s">
        <v>55</v>
      </c>
      <c r="E43" s="150" t="s">
        <v>54</v>
      </c>
      <c r="F43" s="150">
        <f ca="1">IFERROR(360000/G24,"-")</f>
        <v>42.359419675950448</v>
      </c>
      <c r="G43" s="151" t="s">
        <v>54</v>
      </c>
      <c r="H43" s="49"/>
      <c r="I43" s="49"/>
      <c r="J43" s="49"/>
      <c r="K43" s="49"/>
      <c r="L43" s="49"/>
      <c r="M43" s="49"/>
      <c r="N43" s="49"/>
    </row>
    <row r="44" spans="1:14" ht="16.95" customHeight="1" x14ac:dyDescent="0.3">
      <c r="A44" s="49"/>
      <c r="B44" s="49"/>
      <c r="C44" s="49"/>
      <c r="D44" s="149"/>
      <c r="E44" s="150"/>
      <c r="F44" s="150"/>
      <c r="G44" s="151"/>
      <c r="H44" s="49"/>
      <c r="I44" s="49"/>
      <c r="J44" s="49"/>
      <c r="K44" s="49"/>
      <c r="L44" s="49"/>
      <c r="M44" s="49"/>
      <c r="N44" s="49"/>
    </row>
    <row r="45" spans="1:14" ht="16.95" customHeight="1" x14ac:dyDescent="0.3">
      <c r="A45" s="49"/>
      <c r="B45" s="49"/>
      <c r="C45" s="49"/>
      <c r="D45" s="149" t="s">
        <v>58</v>
      </c>
      <c r="E45" s="150" t="s">
        <v>54</v>
      </c>
      <c r="F45" s="150">
        <f ca="1">(12*G27*100)/'Error de vuelta a 0'!L9</f>
        <v>72.954161646876841</v>
      </c>
      <c r="G45" s="151" t="s">
        <v>54</v>
      </c>
      <c r="H45" s="49"/>
      <c r="I45" s="49"/>
      <c r="J45" s="49"/>
      <c r="K45" s="49"/>
      <c r="L45" s="49"/>
      <c r="M45" s="49"/>
      <c r="N45" s="49"/>
    </row>
    <row r="46" spans="1:14" ht="16.95" customHeight="1" x14ac:dyDescent="0.3">
      <c r="A46" s="49"/>
      <c r="B46" s="49"/>
      <c r="C46" s="49"/>
      <c r="D46" s="149"/>
      <c r="E46" s="150"/>
      <c r="F46" s="150"/>
      <c r="G46" s="151"/>
      <c r="H46" s="49"/>
      <c r="I46" s="49"/>
      <c r="J46" s="49"/>
      <c r="K46" s="49"/>
      <c r="L46" s="49"/>
      <c r="M46" s="49"/>
      <c r="N46" s="49"/>
    </row>
    <row r="47" spans="1:14" ht="16.95" customHeight="1" x14ac:dyDescent="0.3">
      <c r="A47" s="49"/>
      <c r="B47" s="49"/>
      <c r="C47" s="49"/>
      <c r="D47" s="149" t="s">
        <v>57</v>
      </c>
      <c r="E47" s="150" t="s">
        <v>54</v>
      </c>
      <c r="F47" s="150">
        <f ca="1">(12*G27*100)/'Error de vuelta a 0'!L8</f>
        <v>72.954161646876841</v>
      </c>
      <c r="G47" s="151" t="s">
        <v>54</v>
      </c>
      <c r="H47" s="49"/>
      <c r="I47" s="49"/>
      <c r="J47" s="49"/>
      <c r="K47" s="49"/>
      <c r="L47" s="49"/>
      <c r="M47" s="49"/>
      <c r="N47" s="49"/>
    </row>
    <row r="48" spans="1:14" ht="16.95" customHeight="1" x14ac:dyDescent="0.3">
      <c r="A48" s="49"/>
      <c r="B48" s="49"/>
      <c r="C48" s="49"/>
      <c r="D48" s="149"/>
      <c r="E48" s="150"/>
      <c r="F48" s="150"/>
      <c r="G48" s="151"/>
      <c r="H48" s="49"/>
      <c r="I48" s="49"/>
      <c r="J48" s="49"/>
      <c r="K48" s="49"/>
      <c r="L48" s="49"/>
      <c r="M48" s="49"/>
      <c r="N48" s="49"/>
    </row>
    <row r="49" spans="1:14" ht="16.95" customHeight="1" x14ac:dyDescent="0.3">
      <c r="A49" s="49"/>
      <c r="B49" s="49"/>
      <c r="C49" s="49"/>
      <c r="D49" s="149" t="s">
        <v>56</v>
      </c>
      <c r="E49" s="150" t="s">
        <v>54</v>
      </c>
      <c r="F49" s="150">
        <f ca="1">(E35*100)/F35</f>
        <v>74.999999999999986</v>
      </c>
      <c r="G49" s="151" t="s">
        <v>54</v>
      </c>
      <c r="H49" s="49"/>
      <c r="I49" s="49"/>
      <c r="J49" s="49"/>
      <c r="K49" s="49"/>
      <c r="L49" s="49"/>
      <c r="M49" s="49"/>
      <c r="N49" s="49"/>
    </row>
    <row r="50" spans="1:14" ht="16.95" customHeight="1" x14ac:dyDescent="0.3">
      <c r="A50" s="49"/>
      <c r="B50" s="49"/>
      <c r="C50" s="49"/>
      <c r="D50" s="152"/>
      <c r="E50" s="153"/>
      <c r="F50" s="153"/>
      <c r="G50" s="154"/>
      <c r="H50" s="49"/>
      <c r="I50" s="49"/>
      <c r="J50" s="49"/>
      <c r="K50" s="49"/>
      <c r="L50" s="49"/>
      <c r="M50" s="49"/>
      <c r="N50" s="49"/>
    </row>
    <row r="51" spans="1:14" ht="15.6" x14ac:dyDescent="0.3">
      <c r="A51" s="49"/>
      <c r="B51" s="49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</row>
    <row r="52" spans="1:14" ht="15.6" x14ac:dyDescent="0.3">
      <c r="A52" s="49"/>
      <c r="B52" s="49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</row>
    <row r="53" spans="1:14" ht="15.6" x14ac:dyDescent="0.3">
      <c r="A53" s="49"/>
      <c r="B53" s="49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</row>
    <row r="54" spans="1:14" ht="15.6" x14ac:dyDescent="0.3">
      <c r="A54" s="49"/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</row>
  </sheetData>
  <mergeCells count="52">
    <mergeCell ref="D49:D50"/>
    <mergeCell ref="E49:E50"/>
    <mergeCell ref="F49:F50"/>
    <mergeCell ref="G49:G50"/>
    <mergeCell ref="D45:D46"/>
    <mergeCell ref="E45:E46"/>
    <mergeCell ref="F45:F46"/>
    <mergeCell ref="G45:G46"/>
    <mergeCell ref="D47:D48"/>
    <mergeCell ref="E47:E48"/>
    <mergeCell ref="F47:F48"/>
    <mergeCell ref="G47:G48"/>
    <mergeCell ref="D41:D42"/>
    <mergeCell ref="E41:E42"/>
    <mergeCell ref="F41:F42"/>
    <mergeCell ref="G41:G42"/>
    <mergeCell ref="D43:D44"/>
    <mergeCell ref="E43:E44"/>
    <mergeCell ref="F43:F44"/>
    <mergeCell ref="G43:G44"/>
    <mergeCell ref="D37:D38"/>
    <mergeCell ref="E37:E38"/>
    <mergeCell ref="F37:F38"/>
    <mergeCell ref="G37:G38"/>
    <mergeCell ref="D39:D40"/>
    <mergeCell ref="E39:E40"/>
    <mergeCell ref="F39:F40"/>
    <mergeCell ref="G39:G40"/>
    <mergeCell ref="D33:D34"/>
    <mergeCell ref="E33:E34"/>
    <mergeCell ref="F33:F34"/>
    <mergeCell ref="G33:G34"/>
    <mergeCell ref="D35:D36"/>
    <mergeCell ref="E35:E36"/>
    <mergeCell ref="F35:F36"/>
    <mergeCell ref="G35:G36"/>
    <mergeCell ref="B16:G16"/>
    <mergeCell ref="E20:E22"/>
    <mergeCell ref="E23:E25"/>
    <mergeCell ref="E26:E28"/>
    <mergeCell ref="B15:G15"/>
    <mergeCell ref="B14:G14"/>
    <mergeCell ref="J8:J9"/>
    <mergeCell ref="K8:K9"/>
    <mergeCell ref="L8:L9"/>
    <mergeCell ref="G4:I4"/>
    <mergeCell ref="B8:B9"/>
    <mergeCell ref="C8:C9"/>
    <mergeCell ref="D8:D9"/>
    <mergeCell ref="E8:E9"/>
    <mergeCell ref="F8:F9"/>
    <mergeCell ref="G9:I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Elementos de la operación</vt:lpstr>
      <vt:lpstr>Hoja de cronometraje</vt:lpstr>
      <vt:lpstr>Error de vuelta a 0</vt:lpstr>
      <vt:lpstr>N° de Obs.</vt:lpstr>
      <vt:lpstr>Error de apreciación</vt:lpstr>
      <vt:lpstr>MAI</vt:lpstr>
      <vt:lpstr>Suplementos</vt:lpstr>
      <vt:lpstr>Cálculo de los tiempos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DanielJ</dc:creator>
  <cp:lastModifiedBy>Edgar Guerrero Zafra</cp:lastModifiedBy>
  <dcterms:created xsi:type="dcterms:W3CDTF">2020-07-20T01:17:47Z</dcterms:created>
  <dcterms:modified xsi:type="dcterms:W3CDTF">2022-09-14T19:13:55Z</dcterms:modified>
</cp:coreProperties>
</file>