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F2A124F3-CDF2-4A01-B360-47527AC08D79}" xr6:coauthVersionLast="47" xr6:coauthVersionMax="47" xr10:uidLastSave="{00000000-0000-0000-0000-000000000000}"/>
  <bookViews>
    <workbookView xWindow="-108" yWindow="-108" windowWidth="23256" windowHeight="12456" firstSheet="2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AI" sheetId="13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9" i="6" l="1"/>
  <c r="N4" i="6"/>
  <c r="K4" i="6"/>
  <c r="F12" i="10"/>
  <c r="Q9" i="7"/>
  <c r="Q10" i="7"/>
  <c r="Q8" i="7"/>
  <c r="D9" i="7"/>
  <c r="D10" i="7"/>
  <c r="D8" i="7"/>
  <c r="B5" i="12" l="1"/>
  <c r="G9" i="12" s="1"/>
  <c r="B12" i="12"/>
  <c r="B11" i="12"/>
  <c r="B10" i="12"/>
  <c r="I10" i="12"/>
  <c r="F10" i="10" l="1"/>
  <c r="Q11" i="1" l="1"/>
  <c r="E87" i="8"/>
  <c r="E3" i="8"/>
  <c r="G30" i="2" l="1"/>
  <c r="D70" i="13" s="1"/>
  <c r="P2" i="2"/>
  <c r="G2" i="2"/>
  <c r="D2" i="13" s="1"/>
  <c r="L4" i="1"/>
  <c r="Q9" i="1" s="1"/>
  <c r="L3" i="1"/>
  <c r="Q8" i="1" s="1"/>
  <c r="H16" i="6"/>
  <c r="L8" i="6" l="1"/>
  <c r="K8" i="6"/>
  <c r="L33" i="6"/>
  <c r="N8" i="6"/>
  <c r="M7" i="2" s="1"/>
  <c r="K33" i="6"/>
  <c r="D35" i="2" s="1"/>
  <c r="O8" i="6"/>
  <c r="D36" i="13"/>
  <c r="E45" i="8"/>
  <c r="H17" i="6"/>
  <c r="N7" i="6"/>
  <c r="M6" i="2" s="1"/>
  <c r="B20" i="6"/>
  <c r="D5" i="1"/>
  <c r="E5" i="1"/>
  <c r="C5" i="1"/>
  <c r="N9" i="6" l="1"/>
  <c r="M8" i="2" s="1"/>
  <c r="B41" i="13" s="1"/>
  <c r="K34" i="6"/>
  <c r="D36" i="2" s="1"/>
  <c r="K9" i="6"/>
  <c r="D8" i="2" s="1"/>
  <c r="L34" i="6"/>
  <c r="O9" i="6"/>
  <c r="L9" i="6"/>
  <c r="H18" i="6"/>
  <c r="B92" i="8"/>
  <c r="B74" i="13"/>
  <c r="B50" i="8"/>
  <c r="B40" i="13"/>
  <c r="B49" i="8"/>
  <c r="B39" i="13"/>
  <c r="Q5" i="1"/>
  <c r="O7" i="6"/>
  <c r="L7" i="6"/>
  <c r="K32" i="6"/>
  <c r="D34" i="2" s="1"/>
  <c r="B73" i="13" s="1"/>
  <c r="K7" i="6"/>
  <c r="D6" i="2" s="1"/>
  <c r="D7" i="2"/>
  <c r="R10" i="7"/>
  <c r="E12" i="12" s="1"/>
  <c r="R9" i="7"/>
  <c r="E11" i="12" s="1"/>
  <c r="R8" i="7"/>
  <c r="E10" i="12" s="1"/>
  <c r="K10" i="6" l="1"/>
  <c r="D9" i="2" s="1"/>
  <c r="B10" i="8" s="1"/>
  <c r="K35" i="6"/>
  <c r="D37" i="2" s="1"/>
  <c r="N10" i="6"/>
  <c r="M9" i="2" s="1"/>
  <c r="L35" i="6"/>
  <c r="L10" i="6"/>
  <c r="O10" i="6"/>
  <c r="B51" i="8"/>
  <c r="H19" i="6"/>
  <c r="B93" i="8"/>
  <c r="B75" i="13"/>
  <c r="B9" i="8"/>
  <c r="B7" i="13"/>
  <c r="B8" i="8"/>
  <c r="B6" i="13"/>
  <c r="B7" i="8"/>
  <c r="B5" i="13"/>
  <c r="N6" i="2"/>
  <c r="E7" i="2"/>
  <c r="E6" i="2"/>
  <c r="L32" i="6"/>
  <c r="E34" i="2" s="1"/>
  <c r="B91" i="8"/>
  <c r="K11" i="6" l="1"/>
  <c r="D10" i="2" s="1"/>
  <c r="N11" i="6"/>
  <c r="M10" i="2" s="1"/>
  <c r="K36" i="6"/>
  <c r="D38" i="2" s="1"/>
  <c r="L36" i="6"/>
  <c r="L11" i="6"/>
  <c r="O11" i="6"/>
  <c r="B8" i="13"/>
  <c r="B42" i="13"/>
  <c r="B52" i="8"/>
  <c r="B94" i="8"/>
  <c r="B76" i="13"/>
  <c r="H20" i="6"/>
  <c r="C91" i="8"/>
  <c r="C73" i="13"/>
  <c r="C49" i="8"/>
  <c r="C39" i="13"/>
  <c r="C5" i="13"/>
  <c r="C8" i="8"/>
  <c r="C6" i="13"/>
  <c r="C7" i="8"/>
  <c r="E35" i="2"/>
  <c r="E8" i="2"/>
  <c r="F7" i="2"/>
  <c r="E9" i="2"/>
  <c r="N7" i="2"/>
  <c r="E33" i="8"/>
  <c r="O6" i="2"/>
  <c r="F34" i="2"/>
  <c r="F6" i="2"/>
  <c r="D73" i="13" l="1"/>
  <c r="N12" i="6"/>
  <c r="M11" i="2" s="1"/>
  <c r="K37" i="6"/>
  <c r="D39" i="2" s="1"/>
  <c r="K12" i="6"/>
  <c r="D11" i="2" s="1"/>
  <c r="L37" i="6"/>
  <c r="L12" i="6"/>
  <c r="O12" i="6"/>
  <c r="B95" i="8"/>
  <c r="B77" i="13"/>
  <c r="B43" i="13"/>
  <c r="B53" i="8"/>
  <c r="H21" i="6"/>
  <c r="B9" i="13"/>
  <c r="B11" i="8"/>
  <c r="C40" i="13"/>
  <c r="D39" i="13"/>
  <c r="C8" i="13"/>
  <c r="D5" i="13"/>
  <c r="C92" i="8"/>
  <c r="C74" i="13"/>
  <c r="G7" i="2"/>
  <c r="D6" i="13"/>
  <c r="C9" i="8"/>
  <c r="C7" i="13"/>
  <c r="F35" i="2"/>
  <c r="F8" i="2"/>
  <c r="N8" i="2"/>
  <c r="E36" i="2"/>
  <c r="E10" i="2"/>
  <c r="C10" i="8"/>
  <c r="F9" i="2"/>
  <c r="C50" i="8"/>
  <c r="O7" i="2"/>
  <c r="P6" i="2"/>
  <c r="G34" i="2"/>
  <c r="G6" i="2"/>
  <c r="K13" i="6" l="1"/>
  <c r="D12" i="2" s="1"/>
  <c r="K38" i="6"/>
  <c r="D40" i="2" s="1"/>
  <c r="N13" i="6"/>
  <c r="M12" i="2" s="1"/>
  <c r="L38" i="6"/>
  <c r="L13" i="6"/>
  <c r="O13" i="6"/>
  <c r="B12" i="8"/>
  <c r="B10" i="13"/>
  <c r="H22" i="6"/>
  <c r="B78" i="13"/>
  <c r="B96" i="8"/>
  <c r="B54" i="8"/>
  <c r="B44" i="13"/>
  <c r="C9" i="13"/>
  <c r="C75" i="13"/>
  <c r="G35" i="2"/>
  <c r="D74" i="13"/>
  <c r="C51" i="8"/>
  <c r="C41" i="13"/>
  <c r="P7" i="2"/>
  <c r="D40" i="13"/>
  <c r="G8" i="2"/>
  <c r="D7" i="13"/>
  <c r="G9" i="2"/>
  <c r="D8" i="13"/>
  <c r="O8" i="2"/>
  <c r="N9" i="2"/>
  <c r="E37" i="2"/>
  <c r="F36" i="2"/>
  <c r="C93" i="8"/>
  <c r="C11" i="8"/>
  <c r="F10" i="2"/>
  <c r="G5" i="1"/>
  <c r="K14" i="6" l="1"/>
  <c r="D13" i="2" s="1"/>
  <c r="K39" i="6"/>
  <c r="D41" i="2" s="1"/>
  <c r="N14" i="6"/>
  <c r="M13" i="2" s="1"/>
  <c r="L14" i="6"/>
  <c r="L39" i="6"/>
  <c r="O14" i="6"/>
  <c r="B11" i="13"/>
  <c r="B13" i="8"/>
  <c r="B97" i="8"/>
  <c r="B79" i="13"/>
  <c r="B55" i="8"/>
  <c r="B45" i="13"/>
  <c r="H23" i="6"/>
  <c r="D9" i="13"/>
  <c r="C94" i="8"/>
  <c r="C76" i="13"/>
  <c r="G36" i="2"/>
  <c r="D75" i="13"/>
  <c r="O9" i="2"/>
  <c r="C42" i="13"/>
  <c r="P8" i="2"/>
  <c r="D41" i="13"/>
  <c r="C52" i="8"/>
  <c r="E11" i="2"/>
  <c r="E38" i="2"/>
  <c r="F37" i="2"/>
  <c r="N10" i="2"/>
  <c r="G10" i="2"/>
  <c r="N15" i="6" l="1"/>
  <c r="M14" i="2" s="1"/>
  <c r="K40" i="6"/>
  <c r="D42" i="2" s="1"/>
  <c r="K15" i="6"/>
  <c r="D14" i="2" s="1"/>
  <c r="L40" i="6"/>
  <c r="L15" i="6"/>
  <c r="E14" i="2" s="1"/>
  <c r="C13" i="13" s="1"/>
  <c r="O15" i="6"/>
  <c r="H24" i="6"/>
  <c r="B46" i="13"/>
  <c r="B56" i="8"/>
  <c r="B14" i="8"/>
  <c r="B12" i="13"/>
  <c r="B98" i="8"/>
  <c r="B80" i="13"/>
  <c r="D42" i="13"/>
  <c r="C43" i="13"/>
  <c r="G37" i="2"/>
  <c r="D76" i="13"/>
  <c r="C77" i="13"/>
  <c r="P9" i="2"/>
  <c r="C10" i="13"/>
  <c r="F38" i="2"/>
  <c r="C95" i="8"/>
  <c r="F11" i="2"/>
  <c r="C12" i="8"/>
  <c r="N11" i="2"/>
  <c r="E12" i="2"/>
  <c r="E39" i="2"/>
  <c r="C78" i="13" s="1"/>
  <c r="O10" i="2"/>
  <c r="C53" i="8"/>
  <c r="N16" i="6" l="1"/>
  <c r="M15" i="2" s="1"/>
  <c r="K41" i="6"/>
  <c r="D43" i="2" s="1"/>
  <c r="K16" i="6"/>
  <c r="D15" i="2" s="1"/>
  <c r="L16" i="6"/>
  <c r="E15" i="2" s="1"/>
  <c r="C16" i="8" s="1"/>
  <c r="L41" i="6"/>
  <c r="O16" i="6"/>
  <c r="F14" i="2"/>
  <c r="D13" i="13" s="1"/>
  <c r="C15" i="8"/>
  <c r="B15" i="8"/>
  <c r="B13" i="13"/>
  <c r="B57" i="8"/>
  <c r="B47" i="13"/>
  <c r="B81" i="13"/>
  <c r="B99" i="8"/>
  <c r="H25" i="6"/>
  <c r="D43" i="13"/>
  <c r="C11" i="13"/>
  <c r="G38" i="2"/>
  <c r="D77" i="13"/>
  <c r="C44" i="13"/>
  <c r="G11" i="2"/>
  <c r="D10" i="13"/>
  <c r="P10" i="2"/>
  <c r="O11" i="2"/>
  <c r="C54" i="8"/>
  <c r="N12" i="2"/>
  <c r="E13" i="2"/>
  <c r="C13" i="8"/>
  <c r="F12" i="2"/>
  <c r="E40" i="2"/>
  <c r="F39" i="2"/>
  <c r="C96" i="8"/>
  <c r="K17" i="6" l="1"/>
  <c r="D16" i="2" s="1"/>
  <c r="N17" i="6"/>
  <c r="M16" i="2" s="1"/>
  <c r="K42" i="6"/>
  <c r="D44" i="2" s="1"/>
  <c r="L42" i="6"/>
  <c r="L17" i="6"/>
  <c r="O17" i="6"/>
  <c r="G14" i="2"/>
  <c r="C14" i="13"/>
  <c r="H26" i="6"/>
  <c r="B48" i="13"/>
  <c r="B58" i="8"/>
  <c r="F15" i="2"/>
  <c r="D14" i="13" s="1"/>
  <c r="B14" i="13"/>
  <c r="B16" i="8"/>
  <c r="B82" i="13"/>
  <c r="B100" i="8"/>
  <c r="C12" i="13"/>
  <c r="G39" i="2"/>
  <c r="D78" i="13"/>
  <c r="F40" i="2"/>
  <c r="C79" i="13"/>
  <c r="C45" i="13"/>
  <c r="P11" i="2"/>
  <c r="D44" i="13"/>
  <c r="G12" i="2"/>
  <c r="D11" i="13"/>
  <c r="O12" i="2"/>
  <c r="C55" i="8"/>
  <c r="C97" i="8"/>
  <c r="E41" i="2"/>
  <c r="C14" i="8"/>
  <c r="F13" i="2"/>
  <c r="N13" i="2"/>
  <c r="N18" i="6" l="1"/>
  <c r="M17" i="2" s="1"/>
  <c r="K43" i="6"/>
  <c r="D45" i="2" s="1"/>
  <c r="K18" i="6"/>
  <c r="D17" i="2" s="1"/>
  <c r="L43" i="6"/>
  <c r="L18" i="6"/>
  <c r="O18" i="6"/>
  <c r="G15" i="2"/>
  <c r="B59" i="8"/>
  <c r="B49" i="13"/>
  <c r="B17" i="8"/>
  <c r="B15" i="13"/>
  <c r="B101" i="8"/>
  <c r="B83" i="13"/>
  <c r="H27" i="6"/>
  <c r="C80" i="13"/>
  <c r="G40" i="2"/>
  <c r="D79" i="13"/>
  <c r="C46" i="13"/>
  <c r="P12" i="2"/>
  <c r="D45" i="13"/>
  <c r="G13" i="2"/>
  <c r="D12" i="13"/>
  <c r="C98" i="8"/>
  <c r="E16" i="2"/>
  <c r="E42" i="2"/>
  <c r="F41" i="2"/>
  <c r="N14" i="2"/>
  <c r="O13" i="2"/>
  <c r="C56" i="8"/>
  <c r="K44" i="6" l="1"/>
  <c r="D46" i="2" s="1"/>
  <c r="K19" i="6"/>
  <c r="D18" i="2" s="1"/>
  <c r="N19" i="6"/>
  <c r="M18" i="2" s="1"/>
  <c r="L19" i="6"/>
  <c r="L44" i="6"/>
  <c r="O19" i="6"/>
  <c r="B102" i="8"/>
  <c r="B84" i="13"/>
  <c r="B60" i="8"/>
  <c r="B50" i="13"/>
  <c r="H28" i="6"/>
  <c r="B16" i="13"/>
  <c r="B18" i="8"/>
  <c r="C81" i="13"/>
  <c r="G41" i="2"/>
  <c r="D80" i="13"/>
  <c r="C47" i="13"/>
  <c r="P13" i="2"/>
  <c r="D46" i="13"/>
  <c r="C15" i="13"/>
  <c r="F16" i="2"/>
  <c r="C17" i="8"/>
  <c r="E17" i="2"/>
  <c r="E43" i="2"/>
  <c r="C57" i="8"/>
  <c r="O14" i="2"/>
  <c r="N15" i="2"/>
  <c r="F42" i="2"/>
  <c r="C99" i="8"/>
  <c r="K20" i="6" l="1"/>
  <c r="D19" i="2" s="1"/>
  <c r="K45" i="6"/>
  <c r="D47" i="2" s="1"/>
  <c r="N20" i="6"/>
  <c r="M19" i="2" s="1"/>
  <c r="L45" i="6"/>
  <c r="L20" i="6"/>
  <c r="E19" i="2" s="1"/>
  <c r="O20" i="6"/>
  <c r="H29" i="6"/>
  <c r="B103" i="8"/>
  <c r="B85" i="13"/>
  <c r="B19" i="8"/>
  <c r="B17" i="13"/>
  <c r="B61" i="8"/>
  <c r="B51" i="13"/>
  <c r="C82" i="13"/>
  <c r="G42" i="2"/>
  <c r="D81" i="13"/>
  <c r="C48" i="13"/>
  <c r="P14" i="2"/>
  <c r="D47" i="13"/>
  <c r="F17" i="2"/>
  <c r="C16" i="13"/>
  <c r="G16" i="2"/>
  <c r="D15" i="13"/>
  <c r="C18" i="8"/>
  <c r="E44" i="2"/>
  <c r="C58" i="8"/>
  <c r="O15" i="2"/>
  <c r="E18" i="2"/>
  <c r="F43" i="2"/>
  <c r="C100" i="8"/>
  <c r="N16" i="2"/>
  <c r="K46" i="6" l="1"/>
  <c r="D48" i="2" s="1"/>
  <c r="N21" i="6"/>
  <c r="M20" i="2" s="1"/>
  <c r="K21" i="6"/>
  <c r="D20" i="2" s="1"/>
  <c r="L46" i="6"/>
  <c r="L21" i="6"/>
  <c r="E20" i="2" s="1"/>
  <c r="O21" i="6"/>
  <c r="B62" i="8"/>
  <c r="B52" i="13"/>
  <c r="B20" i="8"/>
  <c r="B18" i="13"/>
  <c r="F19" i="2"/>
  <c r="B86" i="13"/>
  <c r="B104" i="8"/>
  <c r="C18" i="13"/>
  <c r="C20" i="8"/>
  <c r="H30" i="6"/>
  <c r="C83" i="13"/>
  <c r="G43" i="2"/>
  <c r="D82" i="13"/>
  <c r="C49" i="13"/>
  <c r="P15" i="2"/>
  <c r="D48" i="13"/>
  <c r="G17" i="2"/>
  <c r="D16" i="13"/>
  <c r="C17" i="13"/>
  <c r="F44" i="2"/>
  <c r="C101" i="8"/>
  <c r="N17" i="2"/>
  <c r="F18" i="2"/>
  <c r="C19" i="8"/>
  <c r="C59" i="8"/>
  <c r="O16" i="2"/>
  <c r="E45" i="2"/>
  <c r="K22" i="6" l="1"/>
  <c r="D21" i="2" s="1"/>
  <c r="N22" i="6"/>
  <c r="M21" i="2" s="1"/>
  <c r="K47" i="6"/>
  <c r="D49" i="2" s="1"/>
  <c r="L22" i="6"/>
  <c r="E21" i="2" s="1"/>
  <c r="L47" i="6"/>
  <c r="O22" i="6"/>
  <c r="B21" i="8"/>
  <c r="B19" i="13"/>
  <c r="F20" i="2"/>
  <c r="G19" i="2"/>
  <c r="D18" i="13"/>
  <c r="B87" i="13"/>
  <c r="B105" i="8"/>
  <c r="C21" i="8"/>
  <c r="C19" i="13"/>
  <c r="H31" i="6"/>
  <c r="B63" i="8"/>
  <c r="B53" i="13"/>
  <c r="G44" i="2"/>
  <c r="D83" i="13"/>
  <c r="C84" i="13"/>
  <c r="P16" i="2"/>
  <c r="D49" i="13"/>
  <c r="C50" i="13"/>
  <c r="G18" i="2"/>
  <c r="D17" i="13"/>
  <c r="E46" i="2"/>
  <c r="C60" i="8"/>
  <c r="O17" i="2"/>
  <c r="N18" i="2"/>
  <c r="F45" i="2"/>
  <c r="C102" i="8"/>
  <c r="K23" i="6" l="1"/>
  <c r="D22" i="2" s="1"/>
  <c r="N23" i="6"/>
  <c r="M22" i="2" s="1"/>
  <c r="K48" i="6"/>
  <c r="D50" i="2" s="1"/>
  <c r="L23" i="6"/>
  <c r="E22" i="2" s="1"/>
  <c r="L48" i="6"/>
  <c r="O23" i="6"/>
  <c r="B20" i="13"/>
  <c r="B22" i="8"/>
  <c r="B88" i="13"/>
  <c r="B106" i="8"/>
  <c r="D19" i="13"/>
  <c r="G20" i="2"/>
  <c r="B54" i="13"/>
  <c r="B64" i="8"/>
  <c r="H32" i="6"/>
  <c r="C85" i="13"/>
  <c r="G45" i="2"/>
  <c r="D84" i="13"/>
  <c r="C61" i="8"/>
  <c r="C51" i="13"/>
  <c r="P17" i="2"/>
  <c r="D50" i="13"/>
  <c r="C20" i="13"/>
  <c r="O18" i="2"/>
  <c r="C103" i="8"/>
  <c r="F46" i="2"/>
  <c r="E47" i="2"/>
  <c r="N19" i="2"/>
  <c r="F21" i="2"/>
  <c r="C22" i="8"/>
  <c r="K24" i="6" l="1"/>
  <c r="D23" i="2" s="1"/>
  <c r="K49" i="6"/>
  <c r="D51" i="2" s="1"/>
  <c r="N24" i="6"/>
  <c r="M23" i="2" s="1"/>
  <c r="L24" i="6"/>
  <c r="E23" i="2" s="1"/>
  <c r="L49" i="6"/>
  <c r="O24" i="6"/>
  <c r="B23" i="8"/>
  <c r="B21" i="13"/>
  <c r="B107" i="8"/>
  <c r="B89" i="13"/>
  <c r="B55" i="13"/>
  <c r="B65" i="8"/>
  <c r="H33" i="6"/>
  <c r="C86" i="13"/>
  <c r="G46" i="2"/>
  <c r="D85" i="13"/>
  <c r="C52" i="13"/>
  <c r="P18" i="2"/>
  <c r="D51" i="13"/>
  <c r="G21" i="2"/>
  <c r="D20" i="13"/>
  <c r="C21" i="13"/>
  <c r="C62" i="8"/>
  <c r="C104" i="8"/>
  <c r="F47" i="2"/>
  <c r="E48" i="2"/>
  <c r="O19" i="2"/>
  <c r="N20" i="2"/>
  <c r="F22" i="2"/>
  <c r="C23" i="8"/>
  <c r="N25" i="6" l="1"/>
  <c r="M24" i="2" s="1"/>
  <c r="K25" i="6"/>
  <c r="D24" i="2" s="1"/>
  <c r="K50" i="6"/>
  <c r="D52" i="2" s="1"/>
  <c r="L50" i="6"/>
  <c r="L25" i="6"/>
  <c r="E24" i="2" s="1"/>
  <c r="O25" i="6"/>
  <c r="H34" i="6"/>
  <c r="B66" i="8"/>
  <c r="B56" i="13"/>
  <c r="B90" i="13"/>
  <c r="B108" i="8"/>
  <c r="B24" i="8"/>
  <c r="B22" i="13"/>
  <c r="D21" i="13"/>
  <c r="G47" i="2"/>
  <c r="D86" i="13"/>
  <c r="C87" i="13"/>
  <c r="P19" i="2"/>
  <c r="D52" i="13"/>
  <c r="C63" i="8"/>
  <c r="C53" i="13"/>
  <c r="C22" i="13"/>
  <c r="O20" i="2"/>
  <c r="C105" i="8"/>
  <c r="F48" i="2"/>
  <c r="E49" i="2"/>
  <c r="N21" i="2"/>
  <c r="G22" i="2"/>
  <c r="F23" i="2"/>
  <c r="C24" i="8"/>
  <c r="K51" i="6" l="1"/>
  <c r="D53" i="2" s="1"/>
  <c r="K26" i="6"/>
  <c r="D25" i="2" s="1"/>
  <c r="N26" i="6"/>
  <c r="M25" i="2" s="1"/>
  <c r="L26" i="6"/>
  <c r="E25" i="2" s="1"/>
  <c r="L51" i="6"/>
  <c r="O26" i="6"/>
  <c r="C25" i="8"/>
  <c r="C23" i="13"/>
  <c r="B67" i="8"/>
  <c r="B57" i="13"/>
  <c r="B23" i="13"/>
  <c r="B25" i="8"/>
  <c r="F24" i="2"/>
  <c r="B91" i="13"/>
  <c r="B109" i="8"/>
  <c r="C88" i="13"/>
  <c r="G48" i="2"/>
  <c r="D87" i="13"/>
  <c r="P20" i="2"/>
  <c r="D53" i="13"/>
  <c r="C54" i="13"/>
  <c r="G23" i="2"/>
  <c r="D22" i="13"/>
  <c r="C106" i="8"/>
  <c r="F49" i="2"/>
  <c r="O21" i="2"/>
  <c r="C64" i="8"/>
  <c r="N22" i="2"/>
  <c r="E50" i="2"/>
  <c r="C24" i="13" l="1"/>
  <c r="C26" i="8"/>
  <c r="J7" i="2"/>
  <c r="B68" i="8"/>
  <c r="B58" i="13"/>
  <c r="B24" i="13"/>
  <c r="B26" i="8"/>
  <c r="F25" i="2"/>
  <c r="C29" i="8" s="1"/>
  <c r="B110" i="8"/>
  <c r="B92" i="13"/>
  <c r="D23" i="13"/>
  <c r="G24" i="2"/>
  <c r="G49" i="2"/>
  <c r="D88" i="13"/>
  <c r="C89" i="13"/>
  <c r="C55" i="13"/>
  <c r="P21" i="2"/>
  <c r="D54" i="13"/>
  <c r="F50" i="2"/>
  <c r="E51" i="2"/>
  <c r="C107" i="8"/>
  <c r="C65" i="8"/>
  <c r="O22" i="2"/>
  <c r="N23" i="2"/>
  <c r="D24" i="13" l="1"/>
  <c r="G25" i="2"/>
  <c r="G26" i="2" s="1"/>
  <c r="F26" i="2"/>
  <c r="D18" i="8"/>
  <c r="H18" i="8" s="1"/>
  <c r="I18" i="8" s="1"/>
  <c r="J18" i="8" s="1" a="1"/>
  <c r="J18" i="8" s="1"/>
  <c r="E18" i="8" s="1"/>
  <c r="F18" i="8" s="1"/>
  <c r="K18" i="8" s="1"/>
  <c r="G50" i="2"/>
  <c r="D89" i="13"/>
  <c r="C90" i="13"/>
  <c r="C56" i="13"/>
  <c r="P22" i="2"/>
  <c r="D55" i="13"/>
  <c r="F51" i="2"/>
  <c r="C108" i="8"/>
  <c r="E52" i="2"/>
  <c r="O23" i="2"/>
  <c r="C66" i="8"/>
  <c r="N24" i="2"/>
  <c r="N25" i="2"/>
  <c r="E53" i="2"/>
  <c r="C92" i="13" s="1"/>
  <c r="E82" i="6"/>
  <c r="J12" i="2" l="1"/>
  <c r="F27" i="2" s="1"/>
  <c r="G51" i="2"/>
  <c r="D90" i="13"/>
  <c r="C91" i="13"/>
  <c r="P23" i="2"/>
  <c r="D56" i="13"/>
  <c r="C58" i="13"/>
  <c r="C57" i="13"/>
  <c r="F52" i="2"/>
  <c r="C109" i="8"/>
  <c r="C68" i="8"/>
  <c r="O25" i="2"/>
  <c r="C67" i="8"/>
  <c r="O24" i="2"/>
  <c r="S7" i="2"/>
  <c r="D12" i="8"/>
  <c r="H12" i="8" s="1"/>
  <c r="I12" i="8" s="1"/>
  <c r="J12" i="8" s="1" a="1"/>
  <c r="J12" i="8" s="1"/>
  <c r="E12" i="8" s="1"/>
  <c r="F12" i="8" s="1"/>
  <c r="K12" i="8" s="1"/>
  <c r="D25" i="8"/>
  <c r="H25" i="8" s="1"/>
  <c r="I25" i="8" s="1"/>
  <c r="J25" i="8" s="1" a="1"/>
  <c r="J25" i="8" s="1"/>
  <c r="E25" i="8" s="1"/>
  <c r="F25" i="8" s="1"/>
  <c r="K25" i="8" s="1"/>
  <c r="D26" i="8"/>
  <c r="H26" i="8" s="1"/>
  <c r="I26" i="8" s="1"/>
  <c r="J26" i="8" s="1" a="1"/>
  <c r="J26" i="8" s="1"/>
  <c r="E26" i="8" s="1"/>
  <c r="F26" i="8" s="1"/>
  <c r="K26" i="8" s="1"/>
  <c r="D11" i="8"/>
  <c r="H11" i="8" s="1"/>
  <c r="I11" i="8" s="1"/>
  <c r="J11" i="8" s="1" a="1"/>
  <c r="J11" i="8" s="1"/>
  <c r="E11" i="8" s="1"/>
  <c r="F11" i="8" s="1"/>
  <c r="K11" i="8" s="1"/>
  <c r="D24" i="8"/>
  <c r="H24" i="8" s="1"/>
  <c r="I24" i="8" s="1"/>
  <c r="J24" i="8" s="1" a="1"/>
  <c r="J24" i="8" s="1"/>
  <c r="E24" i="8" s="1"/>
  <c r="F24" i="8" s="1"/>
  <c r="K24" i="8" s="1"/>
  <c r="D23" i="8"/>
  <c r="H23" i="8" s="1"/>
  <c r="I23" i="8" s="1"/>
  <c r="J23" i="8" s="1" a="1"/>
  <c r="J23" i="8" s="1"/>
  <c r="E23" i="8" s="1"/>
  <c r="F23" i="8" s="1"/>
  <c r="K23" i="8" s="1"/>
  <c r="E34" i="8"/>
  <c r="D15" i="8"/>
  <c r="H15" i="8" s="1"/>
  <c r="I15" i="8" s="1"/>
  <c r="J15" i="8" s="1" a="1"/>
  <c r="J15" i="8" s="1"/>
  <c r="E15" i="8" s="1"/>
  <c r="F15" i="8" s="1"/>
  <c r="K15" i="8" s="1"/>
  <c r="D20" i="8"/>
  <c r="H20" i="8" s="1"/>
  <c r="I20" i="8" s="1"/>
  <c r="J20" i="8" s="1" a="1"/>
  <c r="J20" i="8" s="1"/>
  <c r="E20" i="8" s="1"/>
  <c r="F20" i="8" s="1"/>
  <c r="K20" i="8" s="1"/>
  <c r="D16" i="8"/>
  <c r="H16" i="8" s="1"/>
  <c r="I16" i="8" s="1"/>
  <c r="J16" i="8" s="1" a="1"/>
  <c r="J16" i="8" s="1"/>
  <c r="E16" i="8" s="1"/>
  <c r="F16" i="8" s="1"/>
  <c r="K16" i="8" s="1"/>
  <c r="D22" i="8"/>
  <c r="H22" i="8" s="1"/>
  <c r="I22" i="8" s="1"/>
  <c r="J22" i="8" s="1" a="1"/>
  <c r="J22" i="8" s="1"/>
  <c r="E22" i="8" s="1"/>
  <c r="F22" i="8" s="1"/>
  <c r="K22" i="8" s="1"/>
  <c r="D8" i="8"/>
  <c r="H8" i="8" s="1"/>
  <c r="I8" i="8" s="1"/>
  <c r="J8" i="8" s="1" a="1"/>
  <c r="J8" i="8" s="1"/>
  <c r="E8" i="8" s="1"/>
  <c r="F8" i="8" s="1"/>
  <c r="K8" i="8" s="1"/>
  <c r="D14" i="8"/>
  <c r="H14" i="8" s="1"/>
  <c r="I14" i="8" s="1"/>
  <c r="J14" i="8" s="1" a="1"/>
  <c r="J14" i="8" s="1"/>
  <c r="E14" i="8" s="1"/>
  <c r="F14" i="8" s="1"/>
  <c r="K14" i="8" s="1"/>
  <c r="D10" i="8"/>
  <c r="H10" i="8" s="1"/>
  <c r="I10" i="8" s="1"/>
  <c r="J10" i="8" s="1" a="1"/>
  <c r="J10" i="8" s="1"/>
  <c r="E10" i="8" s="1"/>
  <c r="F10" i="8" s="1"/>
  <c r="K10" i="8" s="1"/>
  <c r="D13" i="8"/>
  <c r="H13" i="8" s="1"/>
  <c r="I13" i="8" s="1"/>
  <c r="J13" i="8" s="1" a="1"/>
  <c r="J13" i="8" s="1"/>
  <c r="E13" i="8" s="1"/>
  <c r="F13" i="8" s="1"/>
  <c r="K13" i="8" s="1"/>
  <c r="D17" i="8"/>
  <c r="H17" i="8" s="1"/>
  <c r="I17" i="8" s="1"/>
  <c r="J17" i="8" s="1" a="1"/>
  <c r="J17" i="8" s="1"/>
  <c r="E17" i="8" s="1"/>
  <c r="F17" i="8" s="1"/>
  <c r="K17" i="8" s="1"/>
  <c r="D21" i="8"/>
  <c r="H21" i="8" s="1"/>
  <c r="I21" i="8" s="1"/>
  <c r="J21" i="8" s="1" a="1"/>
  <c r="J21" i="8" s="1"/>
  <c r="E21" i="8" s="1"/>
  <c r="F21" i="8" s="1"/>
  <c r="K21" i="8" s="1"/>
  <c r="D19" i="8"/>
  <c r="H19" i="8" s="1"/>
  <c r="I19" i="8" s="1"/>
  <c r="J19" i="8" s="1" a="1"/>
  <c r="J19" i="8" s="1"/>
  <c r="E19" i="8" s="1"/>
  <c r="F19" i="8" s="1"/>
  <c r="K19" i="8" s="1"/>
  <c r="D7" i="8"/>
  <c r="H7" i="8" s="1"/>
  <c r="I7" i="8" s="1"/>
  <c r="J7" i="8" s="1" a="1"/>
  <c r="J7" i="8" s="1"/>
  <c r="E7" i="8" s="1"/>
  <c r="F7" i="8" s="1"/>
  <c r="K7" i="8" s="1"/>
  <c r="D9" i="8"/>
  <c r="H9" i="8" s="1"/>
  <c r="I9" i="8" s="1"/>
  <c r="J9" i="8" s="1" a="1"/>
  <c r="J9" i="8" s="1"/>
  <c r="E9" i="8" s="1"/>
  <c r="F9" i="8" s="1"/>
  <c r="K9" i="8" s="1"/>
  <c r="E84" i="6"/>
  <c r="E85" i="6" s="1"/>
  <c r="L12" i="1"/>
  <c r="Q13" i="1" s="1"/>
  <c r="C110" i="8"/>
  <c r="F53" i="2"/>
  <c r="J35" i="2"/>
  <c r="D92" i="13" l="1"/>
  <c r="C113" i="8"/>
  <c r="C71" i="8"/>
  <c r="D58" i="13"/>
  <c r="G52" i="2"/>
  <c r="D91" i="13"/>
  <c r="P24" i="2"/>
  <c r="D57" i="13"/>
  <c r="P25" i="2"/>
  <c r="O26" i="2"/>
  <c r="K27" i="8"/>
  <c r="E35" i="8" s="1"/>
  <c r="F27" i="8"/>
  <c r="G53" i="2"/>
  <c r="F54" i="2"/>
  <c r="F125" i="6"/>
  <c r="E86" i="6" s="1"/>
  <c r="E36" i="8" l="1"/>
  <c r="E37" i="8"/>
  <c r="P26" i="2"/>
  <c r="S12" i="2" s="1"/>
  <c r="O27" i="2" s="1"/>
  <c r="G54" i="2"/>
  <c r="J40" i="2" s="1"/>
  <c r="F55" i="2" s="1"/>
  <c r="F126" i="6"/>
  <c r="D68" i="8" l="1"/>
  <c r="H68" i="8" s="1"/>
  <c r="I68" i="8" s="1"/>
  <c r="J68" i="8" s="1" a="1"/>
  <c r="J68" i="8" s="1"/>
  <c r="E68" i="8" s="1"/>
  <c r="F68" i="8" s="1"/>
  <c r="K68" i="8" s="1"/>
  <c r="E87" i="6"/>
  <c r="F127" i="6" s="1"/>
  <c r="E3" i="6" s="1"/>
  <c r="I12" i="12" l="1"/>
  <c r="D62" i="8"/>
  <c r="H62" i="8" s="1"/>
  <c r="I62" i="8" s="1"/>
  <c r="J62" i="8" s="1" a="1"/>
  <c r="J62" i="8" s="1"/>
  <c r="E62" i="8" s="1"/>
  <c r="F62" i="8" s="1"/>
  <c r="K62" i="8" s="1"/>
  <c r="D51" i="8"/>
  <c r="H51" i="8" s="1"/>
  <c r="I51" i="8" s="1"/>
  <c r="J51" i="8" s="1" a="1"/>
  <c r="J51" i="8" s="1"/>
  <c r="E51" i="8" s="1"/>
  <c r="F51" i="8" s="1"/>
  <c r="K51" i="8" s="1"/>
  <c r="D50" i="8"/>
  <c r="H50" i="8" s="1"/>
  <c r="I50" i="8" s="1"/>
  <c r="J50" i="8" s="1" a="1"/>
  <c r="J50" i="8" s="1"/>
  <c r="E50" i="8" s="1"/>
  <c r="F50" i="8" s="1"/>
  <c r="K50" i="8" s="1"/>
  <c r="D56" i="8"/>
  <c r="H56" i="8" s="1"/>
  <c r="I56" i="8" s="1"/>
  <c r="J56" i="8" s="1" a="1"/>
  <c r="J56" i="8" s="1"/>
  <c r="E56" i="8" s="1"/>
  <c r="F56" i="8" s="1"/>
  <c r="K56" i="8" s="1"/>
  <c r="D65" i="8"/>
  <c r="H65" i="8" s="1"/>
  <c r="I65" i="8" s="1"/>
  <c r="J65" i="8" s="1" a="1"/>
  <c r="J65" i="8" s="1"/>
  <c r="E65" i="8" s="1"/>
  <c r="F65" i="8" s="1"/>
  <c r="K65" i="8" s="1"/>
  <c r="D55" i="8"/>
  <c r="H55" i="8" s="1"/>
  <c r="I55" i="8" s="1"/>
  <c r="J55" i="8" s="1" a="1"/>
  <c r="J55" i="8" s="1"/>
  <c r="E55" i="8" s="1"/>
  <c r="F55" i="8" s="1"/>
  <c r="K55" i="8" s="1"/>
  <c r="D63" i="8"/>
  <c r="H63" i="8" s="1"/>
  <c r="I63" i="8" s="1"/>
  <c r="J63" i="8" s="1" a="1"/>
  <c r="J63" i="8" s="1"/>
  <c r="E63" i="8" s="1"/>
  <c r="F63" i="8" s="1"/>
  <c r="K63" i="8" s="1"/>
  <c r="E76" i="8"/>
  <c r="D58" i="8"/>
  <c r="H58" i="8" s="1"/>
  <c r="I58" i="8" s="1"/>
  <c r="J58" i="8" s="1" a="1"/>
  <c r="J58" i="8" s="1"/>
  <c r="E58" i="8" s="1"/>
  <c r="F58" i="8" s="1"/>
  <c r="K58" i="8" s="1"/>
  <c r="D54" i="8"/>
  <c r="H54" i="8" s="1"/>
  <c r="I54" i="8" s="1"/>
  <c r="J54" i="8" s="1" a="1"/>
  <c r="J54" i="8" s="1"/>
  <c r="E54" i="8" s="1"/>
  <c r="F54" i="8" s="1"/>
  <c r="K54" i="8" s="1"/>
  <c r="D57" i="8"/>
  <c r="H57" i="8" s="1"/>
  <c r="I57" i="8" s="1"/>
  <c r="J57" i="8" s="1" a="1"/>
  <c r="J57" i="8" s="1"/>
  <c r="E57" i="8" s="1"/>
  <c r="F57" i="8" s="1"/>
  <c r="K57" i="8" s="1"/>
  <c r="D67" i="8"/>
  <c r="H67" i="8" s="1"/>
  <c r="I67" i="8" s="1"/>
  <c r="J67" i="8" s="1" a="1"/>
  <c r="J67" i="8" s="1"/>
  <c r="E67" i="8" s="1"/>
  <c r="F67" i="8" s="1"/>
  <c r="K67" i="8" s="1"/>
  <c r="D60" i="8"/>
  <c r="H60" i="8" s="1"/>
  <c r="I60" i="8" s="1"/>
  <c r="J60" i="8" s="1" a="1"/>
  <c r="J60" i="8" s="1"/>
  <c r="E60" i="8" s="1"/>
  <c r="F60" i="8" s="1"/>
  <c r="K60" i="8" s="1"/>
  <c r="D61" i="8"/>
  <c r="H61" i="8" s="1"/>
  <c r="I61" i="8" s="1"/>
  <c r="J61" i="8" s="1" a="1"/>
  <c r="J61" i="8" s="1"/>
  <c r="E61" i="8" s="1"/>
  <c r="F61" i="8" s="1"/>
  <c r="K61" i="8" s="1"/>
  <c r="D64" i="8"/>
  <c r="H64" i="8" s="1"/>
  <c r="I64" i="8" s="1"/>
  <c r="J64" i="8" s="1" a="1"/>
  <c r="J64" i="8" s="1"/>
  <c r="E64" i="8" s="1"/>
  <c r="F64" i="8" s="1"/>
  <c r="K64" i="8" s="1"/>
  <c r="D49" i="8"/>
  <c r="H49" i="8" s="1"/>
  <c r="I49" i="8" s="1"/>
  <c r="J49" i="8" s="1" a="1"/>
  <c r="J49" i="8" s="1"/>
  <c r="E49" i="8" s="1"/>
  <c r="F49" i="8" s="1"/>
  <c r="K49" i="8" s="1"/>
  <c r="D53" i="8"/>
  <c r="H53" i="8" s="1"/>
  <c r="I53" i="8" s="1"/>
  <c r="J53" i="8" s="1" a="1"/>
  <c r="J53" i="8" s="1"/>
  <c r="E53" i="8" s="1"/>
  <c r="F53" i="8" s="1"/>
  <c r="K53" i="8" s="1"/>
  <c r="D59" i="8"/>
  <c r="H59" i="8" s="1"/>
  <c r="I59" i="8" s="1"/>
  <c r="J59" i="8" s="1" a="1"/>
  <c r="J59" i="8" s="1"/>
  <c r="E59" i="8" s="1"/>
  <c r="F59" i="8" s="1"/>
  <c r="K59" i="8" s="1"/>
  <c r="D52" i="8"/>
  <c r="H52" i="8" s="1"/>
  <c r="I52" i="8" s="1"/>
  <c r="J52" i="8" s="1" a="1"/>
  <c r="J52" i="8" s="1"/>
  <c r="E52" i="8" s="1"/>
  <c r="F52" i="8" s="1"/>
  <c r="K52" i="8" s="1"/>
  <c r="D66" i="8"/>
  <c r="H66" i="8" s="1"/>
  <c r="I66" i="8" s="1"/>
  <c r="J66" i="8" s="1" a="1"/>
  <c r="J66" i="8" s="1"/>
  <c r="E66" i="8" s="1"/>
  <c r="F66" i="8" s="1"/>
  <c r="K66" i="8" s="1"/>
  <c r="D3" i="6"/>
  <c r="E4" i="6"/>
  <c r="E9" i="6" s="1"/>
  <c r="E4" i="1" s="1"/>
  <c r="D101" i="8"/>
  <c r="H101" i="8" s="1"/>
  <c r="I101" i="8" s="1"/>
  <c r="J101" i="8" s="1" a="1"/>
  <c r="J101" i="8" s="1"/>
  <c r="E101" i="8" s="1"/>
  <c r="F101" i="8" s="1"/>
  <c r="K101" i="8" s="1"/>
  <c r="D91" i="8"/>
  <c r="H91" i="8" s="1"/>
  <c r="I91" i="8" s="1"/>
  <c r="J91" i="8" s="1" a="1"/>
  <c r="J91" i="8" s="1"/>
  <c r="E91" i="8" s="1"/>
  <c r="F91" i="8" s="1"/>
  <c r="K91" i="8" s="1"/>
  <c r="D105" i="8"/>
  <c r="H105" i="8" s="1"/>
  <c r="I105" i="8" s="1"/>
  <c r="J105" i="8" s="1" a="1"/>
  <c r="J105" i="8" s="1"/>
  <c r="E105" i="8" s="1"/>
  <c r="F105" i="8" s="1"/>
  <c r="K105" i="8" s="1"/>
  <c r="D100" i="8"/>
  <c r="H100" i="8" s="1"/>
  <c r="I100" i="8" s="1"/>
  <c r="J100" i="8" s="1" a="1"/>
  <c r="J100" i="8" s="1"/>
  <c r="E100" i="8" s="1"/>
  <c r="F100" i="8" s="1"/>
  <c r="K100" i="8" s="1"/>
  <c r="D99" i="8"/>
  <c r="H99" i="8" s="1"/>
  <c r="I99" i="8" s="1"/>
  <c r="J99" i="8" s="1" a="1"/>
  <c r="J99" i="8" s="1"/>
  <c r="E99" i="8" s="1"/>
  <c r="F99" i="8" s="1"/>
  <c r="K99" i="8" s="1"/>
  <c r="D96" i="8"/>
  <c r="H96" i="8" s="1"/>
  <c r="I96" i="8" s="1"/>
  <c r="J96" i="8" s="1" a="1"/>
  <c r="J96" i="8" s="1"/>
  <c r="E96" i="8" s="1"/>
  <c r="F96" i="8" s="1"/>
  <c r="K96" i="8" s="1"/>
  <c r="D107" i="8"/>
  <c r="H107" i="8" s="1"/>
  <c r="I107" i="8" s="1"/>
  <c r="J107" i="8" s="1" a="1"/>
  <c r="J107" i="8" s="1"/>
  <c r="E107" i="8" s="1"/>
  <c r="F107" i="8" s="1"/>
  <c r="K107" i="8" s="1"/>
  <c r="D104" i="8"/>
  <c r="H104" i="8" s="1"/>
  <c r="I104" i="8" s="1"/>
  <c r="J104" i="8" s="1" a="1"/>
  <c r="J104" i="8" s="1"/>
  <c r="E104" i="8" s="1"/>
  <c r="F104" i="8" s="1"/>
  <c r="K104" i="8" s="1"/>
  <c r="D103" i="8"/>
  <c r="H103" i="8" s="1"/>
  <c r="I103" i="8" s="1"/>
  <c r="J103" i="8" s="1" a="1"/>
  <c r="J103" i="8" s="1"/>
  <c r="E103" i="8" s="1"/>
  <c r="F103" i="8" s="1"/>
  <c r="K103" i="8" s="1"/>
  <c r="D106" i="8"/>
  <c r="H106" i="8" s="1"/>
  <c r="I106" i="8" s="1"/>
  <c r="J106" i="8" s="1" a="1"/>
  <c r="J106" i="8" s="1"/>
  <c r="E106" i="8" s="1"/>
  <c r="F106" i="8" s="1"/>
  <c r="K106" i="8" s="1"/>
  <c r="D97" i="8"/>
  <c r="H97" i="8" s="1"/>
  <c r="I97" i="8" s="1"/>
  <c r="J97" i="8" s="1" a="1"/>
  <c r="J97" i="8" s="1"/>
  <c r="E97" i="8" s="1"/>
  <c r="F97" i="8" s="1"/>
  <c r="K97" i="8" s="1"/>
  <c r="D109" i="8"/>
  <c r="H109" i="8" s="1"/>
  <c r="I109" i="8" s="1"/>
  <c r="J109" i="8" s="1" a="1"/>
  <c r="J109" i="8" s="1"/>
  <c r="E109" i="8" s="1"/>
  <c r="F109" i="8" s="1"/>
  <c r="K109" i="8" s="1"/>
  <c r="D92" i="8"/>
  <c r="H92" i="8" s="1"/>
  <c r="I92" i="8" s="1"/>
  <c r="J92" i="8" s="1" a="1"/>
  <c r="J92" i="8" s="1"/>
  <c r="E92" i="8" s="1"/>
  <c r="F92" i="8" s="1"/>
  <c r="K92" i="8" s="1"/>
  <c r="D108" i="8"/>
  <c r="H108" i="8" s="1"/>
  <c r="I108" i="8" s="1"/>
  <c r="J108" i="8" s="1" a="1"/>
  <c r="J108" i="8" s="1"/>
  <c r="E108" i="8" s="1"/>
  <c r="F108" i="8" s="1"/>
  <c r="K108" i="8" s="1"/>
  <c r="D95" i="8"/>
  <c r="H95" i="8" s="1"/>
  <c r="I95" i="8" s="1"/>
  <c r="J95" i="8" s="1" a="1"/>
  <c r="J95" i="8" s="1"/>
  <c r="E95" i="8" s="1"/>
  <c r="F95" i="8" s="1"/>
  <c r="K95" i="8" s="1"/>
  <c r="D93" i="8"/>
  <c r="H93" i="8" s="1"/>
  <c r="I93" i="8" s="1"/>
  <c r="J93" i="8" s="1" a="1"/>
  <c r="J93" i="8" s="1"/>
  <c r="E93" i="8" s="1"/>
  <c r="F93" i="8" s="1"/>
  <c r="K93" i="8" s="1"/>
  <c r="D102" i="8"/>
  <c r="H102" i="8" s="1"/>
  <c r="I102" i="8" s="1"/>
  <c r="J102" i="8" s="1" a="1"/>
  <c r="J102" i="8" s="1"/>
  <c r="E102" i="8" s="1"/>
  <c r="F102" i="8" s="1"/>
  <c r="K102" i="8" s="1"/>
  <c r="D110" i="8"/>
  <c r="H110" i="8" s="1"/>
  <c r="I110" i="8" s="1"/>
  <c r="J110" i="8" s="1" a="1"/>
  <c r="J110" i="8" s="1"/>
  <c r="E110" i="8" s="1"/>
  <c r="F110" i="8" s="1"/>
  <c r="K110" i="8" s="1"/>
  <c r="E118" i="8"/>
  <c r="D98" i="8"/>
  <c r="H98" i="8" s="1"/>
  <c r="I98" i="8" s="1"/>
  <c r="J98" i="8" s="1" a="1"/>
  <c r="J98" i="8" s="1"/>
  <c r="E98" i="8" s="1"/>
  <c r="F98" i="8" s="1"/>
  <c r="K98" i="8" s="1"/>
  <c r="D94" i="8"/>
  <c r="H94" i="8" s="1"/>
  <c r="I94" i="8" s="1"/>
  <c r="J94" i="8" s="1" a="1"/>
  <c r="J94" i="8" s="1"/>
  <c r="E94" i="8" s="1"/>
  <c r="F94" i="8" s="1"/>
  <c r="K94" i="8" s="1"/>
  <c r="F69" i="8" l="1"/>
  <c r="K69" i="8"/>
  <c r="E77" i="8" s="1"/>
  <c r="K111" i="8"/>
  <c r="E119" i="8" s="1"/>
  <c r="F111" i="8"/>
  <c r="D4" i="6"/>
  <c r="D9" i="6" s="1"/>
  <c r="D4" i="1" s="1"/>
  <c r="C3" i="6"/>
  <c r="C4" i="6" s="1"/>
  <c r="C9" i="6" s="1"/>
  <c r="E121" i="8" l="1"/>
  <c r="E78" i="8"/>
  <c r="E79" i="8"/>
  <c r="C4" i="1"/>
  <c r="B81" i="6"/>
  <c r="E120" i="8"/>
  <c r="G4" i="1" l="1"/>
  <c r="G7" i="1" s="1"/>
  <c r="Q4" i="1"/>
  <c r="Q6" i="1" l="1"/>
  <c r="G8" i="1"/>
  <c r="Q7" i="1" l="1"/>
  <c r="L8" i="1"/>
  <c r="L13" i="1"/>
  <c r="Q14" i="1" l="1"/>
  <c r="L15" i="1"/>
  <c r="L9" i="1"/>
  <c r="Q10" i="1"/>
  <c r="Q12" i="1" l="1"/>
  <c r="Q15" i="1"/>
  <c r="I17" i="1"/>
  <c r="E27" i="13" l="1"/>
  <c r="E95" i="13" l="1"/>
  <c r="E97" i="13" s="1"/>
  <c r="D12" i="12" s="1"/>
  <c r="F12" i="12" s="1"/>
  <c r="H12" i="12" s="1"/>
  <c r="J12" i="12" s="1"/>
  <c r="E29" i="13"/>
  <c r="D10" i="12" s="1"/>
  <c r="F10" i="12" s="1"/>
  <c r="H10" i="12" s="1"/>
  <c r="M28" i="13"/>
  <c r="M27" i="13"/>
  <c r="H27" i="13"/>
  <c r="K12" i="12" l="1"/>
  <c r="L12" i="12"/>
  <c r="J10" i="12"/>
  <c r="E61" i="13"/>
  <c r="H28" i="13"/>
  <c r="K4" i="13" s="1"/>
  <c r="I5" i="13"/>
  <c r="K10" i="12" l="1"/>
  <c r="L10" i="12"/>
  <c r="H95" i="13"/>
  <c r="M95" i="13"/>
  <c r="M96" i="13"/>
  <c r="M62" i="13"/>
  <c r="H61" i="13"/>
  <c r="M61" i="13"/>
  <c r="E63" i="13"/>
  <c r="D11" i="12" s="1"/>
  <c r="F11" i="12" s="1"/>
  <c r="G5" i="13"/>
  <c r="I6" i="13"/>
  <c r="J6" i="13" s="1"/>
  <c r="H5" i="13" s="1"/>
  <c r="H11" i="12" l="1"/>
  <c r="I11" i="12"/>
  <c r="I13" i="12" s="1"/>
  <c r="H96" i="13"/>
  <c r="K72" i="13" s="1"/>
  <c r="I73" i="13"/>
  <c r="I39" i="13"/>
  <c r="H62" i="13"/>
  <c r="K38" i="13" s="1"/>
  <c r="F5" i="13"/>
  <c r="I7" i="13"/>
  <c r="J7" i="13" s="1"/>
  <c r="H6" i="13" s="1"/>
  <c r="G6" i="13"/>
  <c r="J11" i="12" l="1"/>
  <c r="L11" i="12" s="1"/>
  <c r="H13" i="12"/>
  <c r="H15" i="12" s="1"/>
  <c r="G22" i="12"/>
  <c r="I15" i="12"/>
  <c r="G24" i="12" s="1"/>
  <c r="I14" i="12"/>
  <c r="G23" i="12" s="1"/>
  <c r="I74" i="13"/>
  <c r="J74" i="13" s="1"/>
  <c r="G39" i="13"/>
  <c r="I40" i="13"/>
  <c r="J40" i="13" s="1"/>
  <c r="H39" i="13" s="1"/>
  <c r="F6" i="13"/>
  <c r="E6" i="13" s="1"/>
  <c r="I8" i="13"/>
  <c r="J8" i="13" s="1"/>
  <c r="H7" i="13" s="1"/>
  <c r="G7" i="13"/>
  <c r="E5" i="13"/>
  <c r="F42" i="12" l="1"/>
  <c r="J13" i="12"/>
  <c r="K11" i="12"/>
  <c r="K14" i="12" s="1"/>
  <c r="G19" i="12"/>
  <c r="G25" i="12"/>
  <c r="E40" i="12" s="1"/>
  <c r="H14" i="12"/>
  <c r="G20" i="12" s="1"/>
  <c r="L15" i="12"/>
  <c r="G27" i="12"/>
  <c r="G40" i="12" s="1"/>
  <c r="G21" i="12"/>
  <c r="I75" i="13"/>
  <c r="H73" i="13"/>
  <c r="F39" i="13"/>
  <c r="G40" i="13"/>
  <c r="I41" i="13"/>
  <c r="J41" i="13" s="1"/>
  <c r="H40" i="13" s="1"/>
  <c r="F7" i="13"/>
  <c r="G8" i="13"/>
  <c r="I9" i="13"/>
  <c r="E34" i="12" l="1"/>
  <c r="G26" i="12"/>
  <c r="E36" i="12"/>
  <c r="E38" i="12" s="1"/>
  <c r="G36" i="12"/>
  <c r="G38" i="12" s="1"/>
  <c r="G34" i="12"/>
  <c r="F73" i="13"/>
  <c r="I76" i="13"/>
  <c r="J76" i="13" s="1"/>
  <c r="J75" i="13"/>
  <c r="H74" i="13" s="1"/>
  <c r="F74" i="13" s="1"/>
  <c r="E74" i="13" s="1"/>
  <c r="F40" i="13"/>
  <c r="E40" i="13" s="1"/>
  <c r="I42" i="13"/>
  <c r="J42" i="13" s="1"/>
  <c r="H41" i="13" s="1"/>
  <c r="G41" i="13"/>
  <c r="E39" i="13"/>
  <c r="G9" i="13"/>
  <c r="I10" i="13"/>
  <c r="J10" i="13" s="1"/>
  <c r="J9" i="13"/>
  <c r="H8" i="13" s="1"/>
  <c r="F8" i="13" s="1"/>
  <c r="E8" i="13" s="1"/>
  <c r="E7" i="13"/>
  <c r="F36" i="12" l="1"/>
  <c r="F38" i="12" s="1"/>
  <c r="F40" i="12"/>
  <c r="F34" i="12"/>
  <c r="F48" i="12" s="1"/>
  <c r="F44" i="12"/>
  <c r="F46" i="12"/>
  <c r="H75" i="13"/>
  <c r="F75" i="13" s="1"/>
  <c r="E75" i="13" s="1"/>
  <c r="I77" i="13"/>
  <c r="J77" i="13" s="1"/>
  <c r="H76" i="13" s="1"/>
  <c r="E73" i="13"/>
  <c r="F41" i="13"/>
  <c r="E41" i="13" s="1"/>
  <c r="I43" i="13"/>
  <c r="G42" i="13"/>
  <c r="H9" i="13"/>
  <c r="F9" i="13" s="1"/>
  <c r="E9" i="13" s="1"/>
  <c r="F76" i="13" l="1"/>
  <c r="I78" i="13"/>
  <c r="J78" i="13" s="1"/>
  <c r="H77" i="13" s="1"/>
  <c r="I44" i="13"/>
  <c r="J44" i="13" s="1"/>
  <c r="G43" i="13"/>
  <c r="J43" i="13"/>
  <c r="H42" i="13" s="1"/>
  <c r="F42" i="13" s="1"/>
  <c r="F77" i="13" l="1"/>
  <c r="E77" i="13" s="1"/>
  <c r="I79" i="13"/>
  <c r="J79" i="13" s="1"/>
  <c r="H78" i="13" s="1"/>
  <c r="E76" i="13"/>
  <c r="H43" i="13"/>
  <c r="F43" i="13" s="1"/>
  <c r="E43" i="13" s="1"/>
  <c r="E42" i="13"/>
  <c r="G44" i="13"/>
  <c r="I45" i="13"/>
  <c r="J45" i="13" s="1"/>
  <c r="H44" i="13" s="1"/>
  <c r="F44" i="13" s="1"/>
  <c r="E44" i="13" s="1"/>
  <c r="F78" i="13" l="1"/>
  <c r="E78" i="13" s="1"/>
  <c r="I80" i="13"/>
  <c r="J80" i="13" s="1"/>
  <c r="H79" i="13" s="1"/>
  <c r="F79" i="13" s="1"/>
  <c r="E79" i="13" s="1"/>
  <c r="O8" i="13"/>
  <c r="O5" i="13"/>
  <c r="F10" i="13"/>
  <c r="H80" i="13"/>
  <c r="N47" i="13"/>
  <c r="O45" i="13"/>
  <c r="O43" i="13"/>
  <c r="O40" i="13"/>
  <c r="E45" i="13"/>
  <c r="O76" i="13"/>
  <c r="O73" i="13"/>
  <c r="F80" i="13"/>
  <c r="H45" i="13"/>
  <c r="E80" i="13"/>
  <c r="O74" i="13"/>
  <c r="O77" i="13"/>
  <c r="O79" i="13"/>
  <c r="N81" i="13"/>
  <c r="H10" i="13"/>
  <c r="O42" i="13"/>
  <c r="O39" i="13"/>
  <c r="F45" i="13"/>
  <c r="E10" i="13"/>
  <c r="O6" i="13"/>
  <c r="O9" i="13"/>
  <c r="O11" i="13"/>
  <c r="N1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<sst xmlns="http://schemas.openxmlformats.org/spreadsheetml/2006/main" count="401" uniqueCount="149">
  <si>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</si>
  <si>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</si>
  <si>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</si>
  <si>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</si>
  <si>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</si>
  <si>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</si>
  <si>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</si>
  <si>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</si>
  <si>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</si>
  <si>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</si>
  <si>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</si>
  <si>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</si>
  <si>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</si>
  <si>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</si>
  <si>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</si>
  <si>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</si>
  <si>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</si>
  <si>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</si>
  <si>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</si>
  <si>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</si>
  <si>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</si>
  <si>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</si>
  <si>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</si>
  <si>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</si>
  <si>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</si>
  <si>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</si>
  <si>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</si>
  <si>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</si>
  <si>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</si>
  <si>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</si>
  <si>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</si>
  <si>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</si>
  <si>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</si>
  <si>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</si>
  <si>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</si>
  <si>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</si>
  <si>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</si>
  <si>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</si>
  <si>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</si>
  <si>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</si>
  <si>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</si>
  <si>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</si>
  <si>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</si>
  <si>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</si>
  <si>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</si>
  <si>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</si>
  <si>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</si>
  <si>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</si>
  <si>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</si>
  <si>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Producción (Pantalón/hora)</t>
  </si>
  <si>
    <t>Saturación (%)</t>
  </si>
  <si>
    <t>Capacidad de Atención ("n" máq.)</t>
  </si>
  <si>
    <t>Eficiencia de la máquina (%)</t>
  </si>
  <si>
    <t>-</t>
  </si>
  <si>
    <t>Producción teórica  (Pt/hora)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</si>
  <si>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</si>
  <si>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</si>
  <si>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</si>
  <si>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</si>
  <si>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</si>
  <si>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</si>
  <si>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</si>
  <si>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</si>
  <si>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</si>
  <si>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</si>
  <si>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</si>
  <si>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</si>
  <si>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</si>
  <si>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</si>
  <si>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</si>
  <si>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</si>
  <si>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</si>
  <si>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</si>
  <si>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</si>
  <si>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</si>
  <si>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</si>
  <si>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</si>
  <si>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</si>
  <si>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</si>
  <si>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</si>
  <si>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</si>
  <si>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</si>
  <si>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</si>
  <si>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</si>
  <si>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</si>
  <si>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</si>
  <si>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</si>
  <si>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</si>
  <si>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</si>
  <si>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</si>
  <si>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</si>
  <si>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</si>
  <si>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</si>
  <si>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</si>
  <si>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</si>
  <si>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</si>
  <si>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</si>
  <si>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</si>
  <si>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</si>
  <si>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</si>
  <si>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</si>
  <si>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</si>
  <si>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</si>
  <si>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</si>
  <si>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</si>
  <si>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</si>
  <si>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</si>
  <si>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</si>
  <si>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</si>
  <si>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fxd^2</t>
  </si>
  <si>
    <t>fxd</t>
  </si>
  <si>
    <t>d</t>
  </si>
  <si>
    <t>f</t>
  </si>
  <si>
    <t>h=</t>
  </si>
  <si>
    <t>m1=</t>
  </si>
  <si>
    <t>m2=</t>
  </si>
  <si>
    <t>t.medio=</t>
  </si>
  <si>
    <t>v=</t>
  </si>
  <si>
    <t>CV=</t>
  </si>
  <si>
    <t>MIN</t>
  </si>
  <si>
    <t>MAX</t>
  </si>
  <si>
    <t>Marcar puntos</t>
  </si>
  <si>
    <t>M</t>
  </si>
  <si>
    <t>Terminar ojales</t>
  </si>
  <si>
    <t>Terminar de marcar</t>
  </si>
  <si>
    <t>Pegar botones</t>
  </si>
  <si>
    <t>P</t>
  </si>
  <si>
    <t>Terminar pegado de botones</t>
  </si>
  <si>
    <t>Limpieza de hilos</t>
  </si>
  <si>
    <t>L</t>
  </si>
  <si>
    <t>Limpiar hilos</t>
  </si>
  <si>
    <t>TIPO</t>
  </si>
  <si>
    <t>II</t>
  </si>
  <si>
    <t>III</t>
  </si>
  <si>
    <t>IIIII</t>
  </si>
  <si>
    <t>IIII</t>
  </si>
  <si>
    <t>IIIIII</t>
  </si>
  <si>
    <t>IIIIIIII</t>
  </si>
  <si>
    <t>IIIIIII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</si>
  <si>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</si>
  <si>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</si>
  <si>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</si>
  <si>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</si>
  <si>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</si>
  <si>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</si>
  <si>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</si>
  <si>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</si>
  <si>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Incentivo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</si>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</sst>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0" fontId="4" fillId="0" borderId="9" xfId="0" applyNumberFormat="1" applyFont="1" applyBorder="1" applyAlignment="1">
      <alignment horizontal="center" vertical="center" wrapText="1"/>
    </xf>
    <xf numFmtId="10" fontId="4" fillId="0" borderId="10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39" fontId="4" fillId="0" borderId="16" xfId="0" applyNumberFormat="1" applyFont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9" fontId="4" fillId="0" borderId="5" xfId="0" applyNumberFormat="1" applyFont="1" applyBorder="1" applyAlignment="1">
      <alignment horizontal="center" vertical="center" wrapText="1"/>
    </xf>
    <xf numFmtId="10" fontId="4" fillId="0" borderId="19" xfId="0" applyNumberFormat="1" applyFont="1" applyBorder="1" applyAlignment="1">
      <alignment horizontal="center" vertical="center" wrapText="1"/>
    </xf>
    <xf numFmtId="10" fontId="4" fillId="0" borderId="17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9" fontId="4" fillId="0" borderId="17" xfId="0" applyNumberFormat="1" applyFont="1" applyBorder="1" applyAlignment="1">
      <alignment horizontal="center" vertical="center" wrapText="1"/>
    </xf>
    <xf numFmtId="9" fontId="4" fillId="0" borderId="11" xfId="0" applyNumberFormat="1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2" fontId="4" fillId="2" borderId="9" xfId="0" applyNumberFormat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3" fontId="4" fillId="2" borderId="0" xfId="0" quotePrefix="1" applyNumberFormat="1" applyFont="1" applyFill="1" applyBorder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39" fontId="4" fillId="2" borderId="17" xfId="0" applyNumberFormat="1" applyFont="1" applyFill="1" applyBorder="1" applyAlignment="1">
      <alignment horizontal="center" vertical="center" wrapText="1"/>
    </xf>
    <xf numFmtId="39" fontId="4" fillId="2" borderId="11" xfId="0" applyNumberFormat="1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2" fontId="4" fillId="2" borderId="19" xfId="0" applyNumberFormat="1" applyFont="1" applyFill="1" applyBorder="1" applyAlignment="1">
      <alignment horizontal="center" vertical="center"/>
    </xf>
    <xf numFmtId="2" fontId="4" fillId="2" borderId="17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2" fontId="4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17" xfId="0" applyNumberFormat="1" applyFont="1" applyFill="1" applyBorder="1" applyAlignment="1">
      <alignment horizontal="center" vertical="center" wrapText="1"/>
    </xf>
    <xf numFmtId="2" fontId="4" fillId="2" borderId="11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L16"/>
  <sheetViews>
    <sheetView workbookViewId="0">
      <selection activeCell="J8" sqref="J8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2" s="37" customFormat="1" ht="15.6" x14ac:dyDescent="0.3">
      <c r="C1" s="42"/>
      <c r="D1" s="42"/>
      <c r="E1" s="42"/>
      <c r="F1" s="42"/>
      <c r="G1" s="42"/>
      <c r="H1" s="42"/>
      <c r="I1" s="42"/>
      <c r="J1" s="42"/>
    </row>
    <row r="2" spans="1:12" ht="15.6" x14ac:dyDescent="0.3">
      <c r="B2" s="28" t="s">
        <v>100</v>
      </c>
      <c r="C2" s="42"/>
      <c r="D2" s="40" t="s">
        <v>58</v>
      </c>
      <c r="E2" s="40" t="s">
        <v>131</v>
      </c>
      <c r="F2" s="40" t="s">
        <v>59</v>
      </c>
      <c r="G2" s="40" t="s">
        <v>60</v>
      </c>
      <c r="H2" s="40" t="s">
        <v>61</v>
      </c>
      <c r="I2" s="42"/>
      <c r="J2" s="42"/>
      <c r="K2" s="37"/>
      <c r="L2" s="37"/>
    </row>
    <row r="3" spans="1:12" ht="31.2" customHeight="1" x14ac:dyDescent="0.3">
      <c r="B3" s="28" t="s">
        <v>125</v>
      </c>
      <c r="C3" s="42"/>
      <c r="D3" s="41" t="s">
        <v>121</v>
      </c>
      <c r="E3" s="41" t="s">
        <v>36</v>
      </c>
      <c r="F3" s="41" t="s">
        <v>122</v>
      </c>
      <c r="G3" s="41" t="s">
        <v>123</v>
      </c>
      <c r="H3" s="41" t="s">
        <v>124</v>
      </c>
      <c r="I3" s="42"/>
      <c r="J3" s="42"/>
    </row>
    <row r="4" spans="1:12" ht="31.2" customHeight="1" x14ac:dyDescent="0.3">
      <c r="A4" t="s">
        <v>101</v>
      </c>
      <c r="C4" s="42"/>
      <c r="D4" s="41" t="s">
        <v>125</v>
      </c>
      <c r="E4" s="41" t="s">
        <v>37</v>
      </c>
      <c r="F4" s="41" t="s">
        <v>126</v>
      </c>
      <c r="G4" s="41" t="s">
        <v>124</v>
      </c>
      <c r="H4" s="41" t="s">
        <v>127</v>
      </c>
      <c r="I4" s="42"/>
      <c r="J4" s="42"/>
    </row>
    <row r="5" spans="1:12" ht="31.2" customHeight="1" x14ac:dyDescent="0.3">
      <c r="C5" s="42"/>
      <c r="D5" s="41" t="s">
        <v>128</v>
      </c>
      <c r="E5" s="41" t="s">
        <v>36</v>
      </c>
      <c r="F5" s="41" t="s">
        <v>129</v>
      </c>
      <c r="G5" s="41" t="s">
        <v>127</v>
      </c>
      <c r="H5" s="41" t="s">
        <v>130</v>
      </c>
      <c r="I5" s="42"/>
      <c r="J5" s="42"/>
    </row>
    <row r="6" spans="1:12" ht="31.2" customHeight="1" x14ac:dyDescent="0.3">
      <c r="C6" s="42"/>
      <c r="D6" s="39"/>
      <c r="E6" s="39"/>
      <c r="F6" s="39"/>
      <c r="G6" s="39"/>
      <c r="H6" s="39"/>
      <c r="I6" s="42"/>
      <c r="J6" s="42"/>
    </row>
    <row r="7" spans="1:12" ht="31.2" customHeight="1" x14ac:dyDescent="0.3">
      <c r="C7" s="42"/>
      <c r="D7" s="39"/>
      <c r="E7" s="39"/>
      <c r="F7" s="39"/>
      <c r="G7" s="39"/>
      <c r="H7" s="39"/>
      <c r="I7" s="42"/>
      <c r="J7" s="42"/>
    </row>
    <row r="8" spans="1:12" ht="31.2" customHeight="1" x14ac:dyDescent="0.3">
      <c r="C8" s="37"/>
      <c r="D8" s="38"/>
      <c r="E8" s="38"/>
      <c r="F8" s="39"/>
      <c r="G8" s="38"/>
      <c r="H8" s="38"/>
      <c r="I8" s="37"/>
      <c r="J8" s="37"/>
    </row>
    <row r="9" spans="1:12" ht="31.2" customHeight="1" x14ac:dyDescent="0.3">
      <c r="D9" s="38"/>
      <c r="E9" s="38"/>
      <c r="F9" s="39"/>
      <c r="G9" s="38"/>
      <c r="H9" s="38"/>
      <c r="I9" s="37"/>
      <c r="J9" s="37"/>
    </row>
    <row r="10" spans="1:12" ht="31.2" customHeight="1" x14ac:dyDescent="0.3">
      <c r="D10" s="29"/>
      <c r="E10" s="29"/>
      <c r="F10" s="30" t="str">
        <f t="shared" ref="F10" si="0">+MID(D10,1,1)</f>
        <v/>
      </c>
      <c r="G10" s="29"/>
      <c r="H10" s="29"/>
    </row>
    <row r="11" spans="1:12" ht="31.2" customHeight="1" x14ac:dyDescent="0.3">
      <c r="D11" s="29"/>
      <c r="E11" s="29"/>
      <c r="F11" s="30"/>
      <c r="G11" s="29"/>
      <c r="H11" s="29"/>
    </row>
    <row r="12" spans="1:12" ht="15.6" x14ac:dyDescent="0.3">
      <c r="D12" s="29"/>
      <c r="E12" s="29"/>
      <c r="F12" s="30" t="str">
        <f t="shared" ref="F12" si="1">+MID(D12,1,1)</f>
        <v/>
      </c>
      <c r="G12" s="29"/>
      <c r="H12" s="29"/>
    </row>
    <row r="13" spans="1:12" ht="15.6" x14ac:dyDescent="0.3">
      <c r="D13" s="29"/>
      <c r="E13" s="29"/>
      <c r="F13" s="30"/>
      <c r="G13" s="29"/>
      <c r="H13" s="29"/>
    </row>
    <row r="14" spans="1:12" ht="15.6" customHeight="1" x14ac:dyDescent="0.3">
      <c r="D14" s="29"/>
      <c r="E14" s="29"/>
      <c r="G14" s="29"/>
      <c r="H14" s="81"/>
      <c r="I14" s="81"/>
      <c r="J14" s="81"/>
    </row>
    <row r="15" spans="1:12" ht="15.6" x14ac:dyDescent="0.3">
      <c r="D15" s="29"/>
      <c r="E15" s="29"/>
      <c r="G15" s="29"/>
      <c r="H15" s="29"/>
    </row>
    <row r="16" spans="1:12" ht="15.6" x14ac:dyDescent="0.3">
      <c r="D16" s="29"/>
      <c r="E16" s="29"/>
      <c r="F16" s="30"/>
      <c r="G16" s="29"/>
      <c r="H16" s="29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5"/>
  <sheetViews>
    <sheetView showGridLines="0" topLeftCell="A18" zoomScale="95" zoomScaleNormal="95" workbookViewId="0">
      <pane ySplit="2" topLeftCell="A51" activePane="bottomLeft" state="frozen"/>
      <selection activeCell="A18" sqref="A18"/>
      <selection pane="bottomLeft" activeCell="L65" sqref="L65"/>
    </sheetView>
  </sheetViews>
  <sheetFormatPr baseColWidth="10" defaultRowHeight="14.4" x14ac:dyDescent="0.3"/>
  <cols>
    <col min="2" max="2" width="13.5546875" bestFit="1" customWidth="1"/>
    <col min="3" max="3" width="14.6640625" customWidth="1"/>
    <col min="5" max="5" width="13.33203125" bestFit="1" customWidth="1"/>
    <col min="6" max="6" width="14.33203125" bestFit="1" customWidth="1"/>
  </cols>
  <sheetData>
    <row r="3" spans="2:15" x14ac:dyDescent="0.3">
      <c r="C3" s="1">
        <f>+C10+F125+IF(D3&gt;=60,1,0)</f>
        <v>10</v>
      </c>
      <c r="D3" s="1">
        <f>+D10+F126+IF(E3&gt;=60,1,0)</f>
        <v>76</v>
      </c>
      <c r="E3" s="24">
        <f>+E10+F127</f>
        <v>36</v>
      </c>
    </row>
    <row r="4" spans="2:15" x14ac:dyDescent="0.3">
      <c r="C4" s="22">
        <f>+C3</f>
        <v>10</v>
      </c>
      <c r="D4" s="22">
        <f>+IF(D3&gt;=60,D3-60,D3)</f>
        <v>16</v>
      </c>
      <c r="E4" s="23">
        <f>+IF(E3&gt;=60,E3-60,E3)</f>
        <v>36</v>
      </c>
      <c r="F4" s="16"/>
      <c r="G4" s="16"/>
      <c r="H4" s="16"/>
      <c r="K4" s="83" t="str">
        <f>+CONCATENATE("Elemento ",C21)</f>
        <v>Elemento M</v>
      </c>
      <c r="L4" s="84"/>
      <c r="N4" s="83" t="str">
        <f>+CONCATENATE("Elemento ",C22)</f>
        <v>Elemento P</v>
      </c>
      <c r="O4" s="84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  <c r="N6" s="32" t="s">
        <v>18</v>
      </c>
      <c r="O6" s="32" t="s">
        <v>19</v>
      </c>
    </row>
    <row r="7" spans="2:15" x14ac:dyDescent="0.3">
      <c r="C7" s="17"/>
      <c r="D7" s="16"/>
      <c r="E7" s="16"/>
      <c r="F7" s="16"/>
      <c r="G7" s="16"/>
      <c r="H7" s="16"/>
      <c r="K7" s="3">
        <f ca="1">+OFFSET(D21,H15,0)</f>
        <v>90</v>
      </c>
      <c r="L7" s="3">
        <f ca="1">+OFFSET(E21,H15,0)</f>
        <v>3337</v>
      </c>
      <c r="N7" s="3">
        <f ca="1">+OFFSET(D22,H15,0)</f>
        <v>90</v>
      </c>
      <c r="O7" s="3">
        <f ca="1">+OFFSET(E22,H15,0)</f>
        <v>5852</v>
      </c>
    </row>
    <row r="8" spans="2:15" x14ac:dyDescent="0.3">
      <c r="C8" s="32" t="s">
        <v>0</v>
      </c>
      <c r="D8" s="32" t="s">
        <v>1</v>
      </c>
      <c r="E8" s="32" t="s">
        <v>2</v>
      </c>
      <c r="K8" s="3">
        <f t="shared" ref="K8:K26" ca="1" si="0">+OFFSET(D22,H16,0)</f>
        <v>100</v>
      </c>
      <c r="L8" s="3">
        <f t="shared" ref="L8:L26" ca="1" si="1">+OFFSET(E22,H16,0)</f>
        <v>3276</v>
      </c>
      <c r="N8" s="3">
        <f t="shared" ref="N8:N26" ca="1" si="2">+OFFSET(D23,H16,0)</f>
        <v>100</v>
      </c>
      <c r="O8" s="3">
        <f t="shared" ref="O8:O26" ca="1" si="3">+OFFSET(E23,H16,0)</f>
        <v>5366</v>
      </c>
    </row>
    <row r="9" spans="2:15" x14ac:dyDescent="0.3">
      <c r="B9" s="33" t="s">
        <v>3</v>
      </c>
      <c r="C9" s="31">
        <f>+C4</f>
        <v>10</v>
      </c>
      <c r="D9" s="31">
        <f>+D4</f>
        <v>16</v>
      </c>
      <c r="E9" s="31">
        <f>+E4</f>
        <v>36</v>
      </c>
      <c r="K9" s="3">
        <f t="shared" ca="1" si="0"/>
        <v>105</v>
      </c>
      <c r="L9" s="3">
        <f t="shared" ca="1" si="1"/>
        <v>3165</v>
      </c>
      <c r="N9" s="3">
        <f t="shared" ca="1" si="2"/>
        <v>95</v>
      </c>
      <c r="O9" s="3">
        <f t="shared" ca="1" si="3"/>
        <v>5989</v>
      </c>
    </row>
    <row r="10" spans="2:15" x14ac:dyDescent="0.3">
      <c r="B10" s="33" t="s">
        <v>6</v>
      </c>
      <c r="C10" s="31">
        <v>9</v>
      </c>
      <c r="D10" s="31">
        <v>39</v>
      </c>
      <c r="E10" s="31">
        <v>17</v>
      </c>
      <c r="K10" s="3">
        <f t="shared" ca="1" si="0"/>
        <v>95</v>
      </c>
      <c r="L10" s="3">
        <f t="shared" ca="1" si="1"/>
        <v>3206</v>
      </c>
      <c r="N10" s="3">
        <f t="shared" ca="1" si="2"/>
        <v>100</v>
      </c>
      <c r="O10" s="3">
        <f t="shared" ca="1" si="3"/>
        <v>5489</v>
      </c>
    </row>
    <row r="11" spans="2:15" x14ac:dyDescent="0.3">
      <c r="G11" s="16"/>
      <c r="H11" s="16"/>
      <c r="K11" s="3">
        <f t="shared" ca="1" si="0"/>
        <v>100</v>
      </c>
      <c r="L11" s="3">
        <f t="shared" ca="1" si="1"/>
        <v>3114</v>
      </c>
      <c r="N11" s="3">
        <f t="shared" ca="1" si="2"/>
        <v>95</v>
      </c>
      <c r="O11" s="3">
        <f t="shared" ca="1" si="3"/>
        <v>5638</v>
      </c>
    </row>
    <row r="12" spans="2:15" x14ac:dyDescent="0.3">
      <c r="B12" s="1"/>
      <c r="G12" s="16"/>
      <c r="H12" s="16"/>
      <c r="K12" s="3">
        <f t="shared" ca="1" si="0"/>
        <v>90</v>
      </c>
      <c r="L12" s="3">
        <f t="shared" ca="1" si="1"/>
        <v>3247</v>
      </c>
      <c r="N12" s="3">
        <f t="shared" ca="1" si="2"/>
        <v>105</v>
      </c>
      <c r="O12" s="3">
        <f t="shared" ca="1" si="3"/>
        <v>5382</v>
      </c>
    </row>
    <row r="13" spans="2:15" x14ac:dyDescent="0.3">
      <c r="B13" s="1"/>
      <c r="G13" s="16"/>
      <c r="H13" s="16"/>
      <c r="K13" s="3">
        <f t="shared" ca="1" si="0"/>
        <v>90</v>
      </c>
      <c r="L13" s="3">
        <f t="shared" ca="1" si="1"/>
        <v>3340</v>
      </c>
      <c r="N13" s="3">
        <f t="shared" ca="1" si="2"/>
        <v>95</v>
      </c>
      <c r="O13" s="3">
        <f t="shared" ca="1" si="3"/>
        <v>5355</v>
      </c>
    </row>
    <row r="14" spans="2:15" x14ac:dyDescent="0.3">
      <c r="B14" s="1"/>
      <c r="K14" s="3">
        <f t="shared" ca="1" si="0"/>
        <v>100</v>
      </c>
      <c r="L14" s="3">
        <f t="shared" ca="1" si="1"/>
        <v>3264</v>
      </c>
      <c r="N14" s="3">
        <f t="shared" ca="1" si="2"/>
        <v>90</v>
      </c>
      <c r="O14" s="3">
        <f t="shared" ca="1" si="3"/>
        <v>5992</v>
      </c>
    </row>
    <row r="15" spans="2:15" x14ac:dyDescent="0.3">
      <c r="B15" s="1"/>
      <c r="C15" s="85" t="s">
        <v>139</v>
      </c>
      <c r="D15" s="85"/>
      <c r="E15" s="85"/>
      <c r="F15" s="86"/>
      <c r="G15" s="18">
        <v>3</v>
      </c>
      <c r="H15" s="14">
        <v>0</v>
      </c>
      <c r="K15" s="3">
        <f t="shared" ca="1" si="0"/>
        <v>95</v>
      </c>
      <c r="L15" s="3">
        <f t="shared" ca="1" si="1"/>
        <v>3296</v>
      </c>
      <c r="N15" s="3">
        <f t="shared" ca="1" si="2"/>
        <v>95</v>
      </c>
      <c r="O15" s="3">
        <f t="shared" ca="1" si="3"/>
        <v>5215</v>
      </c>
    </row>
    <row r="16" spans="2:15" x14ac:dyDescent="0.3">
      <c r="B16" s="1"/>
      <c r="H16" s="14">
        <f>+H15+$G$15-1</f>
        <v>2</v>
      </c>
      <c r="K16" s="3">
        <f t="shared" ca="1" si="0"/>
        <v>85</v>
      </c>
      <c r="L16" s="3">
        <f t="shared" ca="1" si="1"/>
        <v>3313</v>
      </c>
      <c r="N16" s="3">
        <f t="shared" ca="1" si="2"/>
        <v>105</v>
      </c>
      <c r="O16" s="3">
        <f t="shared" ca="1" si="3"/>
        <v>5390</v>
      </c>
    </row>
    <row r="17" spans="1:15" ht="15.6" x14ac:dyDescent="0.3">
      <c r="A17" s="44"/>
      <c r="B17" s="44"/>
      <c r="C17" s="44"/>
      <c r="D17" s="44"/>
      <c r="E17" s="44"/>
      <c r="F17" s="44"/>
      <c r="H17" s="14">
        <f t="shared" ref="H17:H34" si="4">+H16+$G$15-1</f>
        <v>4</v>
      </c>
      <c r="K17" s="3">
        <f t="shared" ca="1" si="0"/>
        <v>90</v>
      </c>
      <c r="L17" s="3">
        <f t="shared" ca="1" si="1"/>
        <v>3246</v>
      </c>
      <c r="N17" s="3">
        <f t="shared" ca="1" si="2"/>
        <v>90</v>
      </c>
      <c r="O17" s="3">
        <f t="shared" ca="1" si="3"/>
        <v>5637</v>
      </c>
    </row>
    <row r="18" spans="1:15" ht="15.6" x14ac:dyDescent="0.3">
      <c r="A18" s="44"/>
      <c r="B18" s="44"/>
      <c r="C18" s="44"/>
      <c r="D18" s="44"/>
      <c r="E18" s="44"/>
      <c r="F18" s="44"/>
      <c r="H18" s="14">
        <f t="shared" si="4"/>
        <v>6</v>
      </c>
      <c r="K18" s="3">
        <f t="shared" ca="1" si="0"/>
        <v>100</v>
      </c>
      <c r="L18" s="3">
        <f t="shared" ca="1" si="1"/>
        <v>3340</v>
      </c>
      <c r="N18" s="3">
        <f t="shared" ca="1" si="2"/>
        <v>95</v>
      </c>
      <c r="O18" s="3">
        <f t="shared" ca="1" si="3"/>
        <v>5625</v>
      </c>
    </row>
    <row r="19" spans="1:15" ht="15.6" x14ac:dyDescent="0.3">
      <c r="A19" s="44"/>
      <c r="B19" s="45"/>
      <c r="C19" s="40" t="s">
        <v>28</v>
      </c>
      <c r="D19" s="40" t="s">
        <v>18</v>
      </c>
      <c r="E19" s="40" t="s">
        <v>19</v>
      </c>
      <c r="F19" s="44"/>
      <c r="H19" s="14">
        <f t="shared" si="4"/>
        <v>8</v>
      </c>
      <c r="K19" s="3">
        <f t="shared" ca="1" si="0"/>
        <v>85</v>
      </c>
      <c r="L19" s="3">
        <f t="shared" ca="1" si="1"/>
        <v>3190</v>
      </c>
      <c r="N19" s="3">
        <f t="shared" ca="1" si="2"/>
        <v>95</v>
      </c>
      <c r="O19" s="3">
        <f t="shared" ca="1" si="3"/>
        <v>5751</v>
      </c>
    </row>
    <row r="20" spans="1:15" ht="15.6" x14ac:dyDescent="0.3">
      <c r="A20" s="44"/>
      <c r="B20" s="46" t="str">
        <f>+CONCATENATE("E = ",C10,"h",D10,"'",E10,"''")</f>
        <v>E = 9h39'17''</v>
      </c>
      <c r="C20" s="45" t="s">
        <v>11</v>
      </c>
      <c r="D20" s="45" t="s">
        <v>53</v>
      </c>
      <c r="E20" s="45">
        <v>2943</v>
      </c>
      <c r="F20" s="44"/>
      <c r="H20" s="14">
        <f t="shared" si="4"/>
        <v>10</v>
      </c>
      <c r="K20" s="3">
        <f t="shared" ca="1" si="0"/>
        <v>100</v>
      </c>
      <c r="L20" s="3">
        <f t="shared" ca="1" si="1"/>
        <v>3300</v>
      </c>
      <c r="N20" s="3">
        <f t="shared" ca="1" si="2"/>
        <v>95</v>
      </c>
      <c r="O20" s="3">
        <f t="shared" ca="1" si="3"/>
        <v>5653</v>
      </c>
    </row>
    <row r="21" spans="1:15" ht="15.6" x14ac:dyDescent="0.3">
      <c r="A21" s="44"/>
      <c r="B21" s="82" t="s">
        <v>62</v>
      </c>
      <c r="C21" s="45" t="s">
        <v>122</v>
      </c>
      <c r="D21" s="45">
        <v>90</v>
      </c>
      <c r="E21" s="45">
        <v>3337</v>
      </c>
      <c r="F21" s="44"/>
      <c r="H21" s="14">
        <f t="shared" si="4"/>
        <v>12</v>
      </c>
      <c r="K21" s="3">
        <f t="shared" ca="1" si="0"/>
        <v>90</v>
      </c>
      <c r="L21" s="3">
        <f t="shared" ca="1" si="1"/>
        <v>3234</v>
      </c>
      <c r="N21" s="3">
        <f t="shared" ca="1" si="2"/>
        <v>85</v>
      </c>
      <c r="O21" s="3">
        <f t="shared" ca="1" si="3"/>
        <v>5271</v>
      </c>
    </row>
    <row r="22" spans="1:15" ht="15.6" x14ac:dyDescent="0.3">
      <c r="A22" s="44"/>
      <c r="B22" s="82"/>
      <c r="C22" s="45" t="s">
        <v>126</v>
      </c>
      <c r="D22" s="45">
        <v>90</v>
      </c>
      <c r="E22" s="45">
        <v>5852</v>
      </c>
      <c r="F22" s="44"/>
      <c r="H22" s="14">
        <f t="shared" si="4"/>
        <v>14</v>
      </c>
      <c r="K22" s="3">
        <f t="shared" ca="1" si="0"/>
        <v>105</v>
      </c>
      <c r="L22" s="3">
        <f t="shared" ca="1" si="1"/>
        <v>3180</v>
      </c>
      <c r="N22" s="3">
        <f t="shared" ca="1" si="2"/>
        <v>90</v>
      </c>
      <c r="O22" s="3">
        <f t="shared" ca="1" si="3"/>
        <v>5265</v>
      </c>
    </row>
    <row r="23" spans="1:15" ht="15.6" x14ac:dyDescent="0.3">
      <c r="A23" s="44"/>
      <c r="B23" s="82"/>
      <c r="C23" s="45" t="s">
        <v>129</v>
      </c>
      <c r="D23" s="45">
        <v>95</v>
      </c>
      <c r="E23" s="45">
        <v>2170</v>
      </c>
      <c r="F23" s="44"/>
      <c r="H23" s="14">
        <f t="shared" si="4"/>
        <v>16</v>
      </c>
      <c r="K23" s="3">
        <f t="shared" ca="1" si="0"/>
        <v>95</v>
      </c>
      <c r="L23" s="3">
        <f t="shared" ca="1" si="1"/>
        <v>3211</v>
      </c>
      <c r="N23" s="3">
        <f t="shared" ca="1" si="2"/>
        <v>100</v>
      </c>
      <c r="O23" s="3">
        <f t="shared" ca="1" si="3"/>
        <v>5073</v>
      </c>
    </row>
    <row r="24" spans="1:15" ht="15.6" x14ac:dyDescent="0.3">
      <c r="A24" s="44"/>
      <c r="B24" s="82" t="s">
        <v>63</v>
      </c>
      <c r="C24" s="45" t="s">
        <v>122</v>
      </c>
      <c r="D24" s="45">
        <v>100</v>
      </c>
      <c r="E24" s="45">
        <v>3276</v>
      </c>
      <c r="F24" s="44"/>
      <c r="H24" s="14">
        <f t="shared" si="4"/>
        <v>18</v>
      </c>
      <c r="K24" s="3">
        <f t="shared" ca="1" si="0"/>
        <v>85</v>
      </c>
      <c r="L24" s="3">
        <f t="shared" ca="1" si="1"/>
        <v>3208</v>
      </c>
      <c r="N24" s="3">
        <f t="shared" ca="1" si="2"/>
        <v>100</v>
      </c>
      <c r="O24" s="3">
        <f t="shared" ca="1" si="3"/>
        <v>5183</v>
      </c>
    </row>
    <row r="25" spans="1:15" ht="15.6" x14ac:dyDescent="0.3">
      <c r="A25" s="44"/>
      <c r="B25" s="82"/>
      <c r="C25" s="45" t="s">
        <v>126</v>
      </c>
      <c r="D25" s="45">
        <v>100</v>
      </c>
      <c r="E25" s="45">
        <v>5366</v>
      </c>
      <c r="F25" s="44"/>
      <c r="H25" s="14">
        <f t="shared" si="4"/>
        <v>20</v>
      </c>
      <c r="K25" s="3">
        <f t="shared" ca="1" si="0"/>
        <v>90</v>
      </c>
      <c r="L25" s="3">
        <f t="shared" ca="1" si="1"/>
        <v>3227</v>
      </c>
      <c r="N25" s="3">
        <f t="shared" ca="1" si="2"/>
        <v>90</v>
      </c>
      <c r="O25" s="3">
        <f t="shared" ca="1" si="3"/>
        <v>5256</v>
      </c>
    </row>
    <row r="26" spans="1:15" ht="15.6" x14ac:dyDescent="0.3">
      <c r="A26" s="44"/>
      <c r="B26" s="82"/>
      <c r="C26" s="45" t="s">
        <v>129</v>
      </c>
      <c r="D26" s="45">
        <v>100</v>
      </c>
      <c r="E26" s="45">
        <v>2052</v>
      </c>
      <c r="F26" s="44"/>
      <c r="H26" s="14">
        <f t="shared" si="4"/>
        <v>22</v>
      </c>
      <c r="K26" s="3">
        <f t="shared" ca="1" si="0"/>
        <v>95</v>
      </c>
      <c r="L26" s="3">
        <f t="shared" ca="1" si="1"/>
        <v>3300</v>
      </c>
      <c r="N26" s="3">
        <f t="shared" ca="1" si="2"/>
        <v>90</v>
      </c>
      <c r="O26" s="3">
        <f t="shared" ca="1" si="3"/>
        <v>5878</v>
      </c>
    </row>
    <row r="27" spans="1:15" ht="15.6" x14ac:dyDescent="0.3">
      <c r="A27" s="44"/>
      <c r="B27" s="82" t="s">
        <v>64</v>
      </c>
      <c r="C27" s="45" t="s">
        <v>122</v>
      </c>
      <c r="D27" s="45">
        <v>105</v>
      </c>
      <c r="E27" s="45">
        <v>3165</v>
      </c>
      <c r="F27" s="44"/>
      <c r="H27" s="14">
        <f t="shared" si="4"/>
        <v>24</v>
      </c>
    </row>
    <row r="28" spans="1:15" ht="15.6" x14ac:dyDescent="0.3">
      <c r="A28" s="44"/>
      <c r="B28" s="82"/>
      <c r="C28" s="45" t="s">
        <v>126</v>
      </c>
      <c r="D28" s="45">
        <v>95</v>
      </c>
      <c r="E28" s="45">
        <v>5989</v>
      </c>
      <c r="F28" s="44"/>
      <c r="H28" s="14">
        <f t="shared" si="4"/>
        <v>26</v>
      </c>
    </row>
    <row r="29" spans="1:15" ht="15.6" x14ac:dyDescent="0.3">
      <c r="A29" s="44"/>
      <c r="B29" s="82"/>
      <c r="C29" s="45" t="s">
        <v>129</v>
      </c>
      <c r="D29" s="45">
        <v>100</v>
      </c>
      <c r="E29" s="45">
        <v>2220</v>
      </c>
      <c r="F29" s="44"/>
      <c r="H29" s="14">
        <f t="shared" si="4"/>
        <v>28</v>
      </c>
      <c r="K29" s="83" t="str">
        <f>+CONCATENATE("Elemento ",C23)</f>
        <v>Elemento L</v>
      </c>
      <c r="L29" s="84"/>
    </row>
    <row r="30" spans="1:15" ht="15.6" x14ac:dyDescent="0.3">
      <c r="A30" s="44"/>
      <c r="B30" s="82" t="s">
        <v>65</v>
      </c>
      <c r="C30" s="45" t="s">
        <v>122</v>
      </c>
      <c r="D30" s="45">
        <v>95</v>
      </c>
      <c r="E30" s="45">
        <v>3206</v>
      </c>
      <c r="F30" s="44"/>
      <c r="H30" s="14">
        <f t="shared" si="4"/>
        <v>30</v>
      </c>
    </row>
    <row r="31" spans="1:15" ht="15.6" x14ac:dyDescent="0.3">
      <c r="A31" s="44"/>
      <c r="B31" s="82"/>
      <c r="C31" s="45" t="s">
        <v>126</v>
      </c>
      <c r="D31" s="45">
        <v>100</v>
      </c>
      <c r="E31" s="45">
        <v>5489</v>
      </c>
      <c r="F31" s="44"/>
      <c r="H31" s="14">
        <f t="shared" si="4"/>
        <v>32</v>
      </c>
      <c r="K31" s="32" t="s">
        <v>18</v>
      </c>
      <c r="L31" s="32" t="s">
        <v>19</v>
      </c>
    </row>
    <row r="32" spans="1:15" ht="15.6" x14ac:dyDescent="0.3">
      <c r="A32" s="44"/>
      <c r="B32" s="82"/>
      <c r="C32" s="45" t="s">
        <v>129</v>
      </c>
      <c r="D32" s="45">
        <v>100</v>
      </c>
      <c r="E32" s="45">
        <v>2213</v>
      </c>
      <c r="F32" s="44"/>
      <c r="H32" s="14">
        <f t="shared" si="4"/>
        <v>34</v>
      </c>
      <c r="K32" s="3">
        <f ca="1">+OFFSET(D23,H15,0)</f>
        <v>95</v>
      </c>
      <c r="L32" s="3">
        <f ca="1">+OFFSET(E23,H15,0)</f>
        <v>2170</v>
      </c>
    </row>
    <row r="33" spans="1:12" ht="15.6" x14ac:dyDescent="0.3">
      <c r="A33" s="44"/>
      <c r="B33" s="82" t="s">
        <v>66</v>
      </c>
      <c r="C33" s="45" t="s">
        <v>122</v>
      </c>
      <c r="D33" s="45">
        <v>100</v>
      </c>
      <c r="E33" s="45">
        <v>3114</v>
      </c>
      <c r="F33" s="44"/>
      <c r="H33" s="14">
        <f t="shared" si="4"/>
        <v>36</v>
      </c>
      <c r="K33" s="3">
        <f t="shared" ref="K33:K51" ca="1" si="5">+OFFSET(D24,H16,0)</f>
        <v>100</v>
      </c>
      <c r="L33" s="3">
        <f t="shared" ref="L33:L51" ca="1" si="6">+OFFSET(E24,H16,0)</f>
        <v>2052</v>
      </c>
    </row>
    <row r="34" spans="1:12" ht="15.6" x14ac:dyDescent="0.3">
      <c r="A34" s="44"/>
      <c r="B34" s="82"/>
      <c r="C34" s="45" t="s">
        <v>126</v>
      </c>
      <c r="D34" s="45">
        <v>95</v>
      </c>
      <c r="E34" s="45">
        <v>5638</v>
      </c>
      <c r="F34" s="44"/>
      <c r="H34" s="14">
        <f t="shared" si="4"/>
        <v>38</v>
      </c>
      <c r="K34" s="3">
        <f t="shared" ca="1" si="5"/>
        <v>100</v>
      </c>
      <c r="L34" s="3">
        <f t="shared" ca="1" si="6"/>
        <v>2220</v>
      </c>
    </row>
    <row r="35" spans="1:12" ht="15.6" x14ac:dyDescent="0.3">
      <c r="A35" s="44"/>
      <c r="B35" s="82"/>
      <c r="C35" s="45" t="s">
        <v>129</v>
      </c>
      <c r="D35" s="45">
        <v>105</v>
      </c>
      <c r="E35" s="45">
        <v>2017</v>
      </c>
      <c r="F35" s="44"/>
      <c r="K35" s="3">
        <f t="shared" ca="1" si="5"/>
        <v>100</v>
      </c>
      <c r="L35" s="3">
        <f t="shared" ca="1" si="6"/>
        <v>2213</v>
      </c>
    </row>
    <row r="36" spans="1:12" ht="15.6" x14ac:dyDescent="0.3">
      <c r="A36" s="44"/>
      <c r="B36" s="82" t="s">
        <v>67</v>
      </c>
      <c r="C36" s="45" t="s">
        <v>122</v>
      </c>
      <c r="D36" s="45">
        <v>90</v>
      </c>
      <c r="E36" s="45">
        <v>3247</v>
      </c>
      <c r="F36" s="44"/>
      <c r="K36" s="3">
        <f t="shared" ca="1" si="5"/>
        <v>105</v>
      </c>
      <c r="L36" s="3">
        <f t="shared" ca="1" si="6"/>
        <v>2017</v>
      </c>
    </row>
    <row r="37" spans="1:12" ht="15.6" x14ac:dyDescent="0.3">
      <c r="A37" s="44"/>
      <c r="B37" s="82"/>
      <c r="C37" s="45" t="s">
        <v>126</v>
      </c>
      <c r="D37" s="45">
        <v>105</v>
      </c>
      <c r="E37" s="45">
        <v>5382</v>
      </c>
      <c r="F37" s="44"/>
      <c r="K37" s="3">
        <f t="shared" ca="1" si="5"/>
        <v>95</v>
      </c>
      <c r="L37" s="3">
        <f t="shared" ca="1" si="6"/>
        <v>2163</v>
      </c>
    </row>
    <row r="38" spans="1:12" ht="15.6" x14ac:dyDescent="0.3">
      <c r="A38" s="44"/>
      <c r="B38" s="82"/>
      <c r="C38" s="45" t="s">
        <v>129</v>
      </c>
      <c r="D38" s="45">
        <v>95</v>
      </c>
      <c r="E38" s="45">
        <v>2163</v>
      </c>
      <c r="F38" s="44"/>
      <c r="K38" s="3">
        <f t="shared" ca="1" si="5"/>
        <v>90</v>
      </c>
      <c r="L38" s="3">
        <f t="shared" ca="1" si="6"/>
        <v>2274</v>
      </c>
    </row>
    <row r="39" spans="1:12" ht="15.6" x14ac:dyDescent="0.3">
      <c r="A39" s="44"/>
      <c r="B39" s="82" t="s">
        <v>68</v>
      </c>
      <c r="C39" s="45" t="s">
        <v>122</v>
      </c>
      <c r="D39" s="45">
        <v>90</v>
      </c>
      <c r="E39" s="45">
        <v>3340</v>
      </c>
      <c r="F39" s="44"/>
      <c r="K39" s="3">
        <f t="shared" ca="1" si="5"/>
        <v>85</v>
      </c>
      <c r="L39" s="3">
        <f t="shared" ca="1" si="6"/>
        <v>2266</v>
      </c>
    </row>
    <row r="40" spans="1:12" ht="15.6" x14ac:dyDescent="0.3">
      <c r="A40" s="44"/>
      <c r="B40" s="82"/>
      <c r="C40" s="45" t="s">
        <v>126</v>
      </c>
      <c r="D40" s="45">
        <v>95</v>
      </c>
      <c r="E40" s="45">
        <v>5355</v>
      </c>
      <c r="F40" s="44"/>
      <c r="K40" s="3">
        <f t="shared" ca="1" si="5"/>
        <v>105</v>
      </c>
      <c r="L40" s="3">
        <f t="shared" ca="1" si="6"/>
        <v>2065</v>
      </c>
    </row>
    <row r="41" spans="1:12" ht="15.6" x14ac:dyDescent="0.3">
      <c r="A41" s="44"/>
      <c r="B41" s="82"/>
      <c r="C41" s="45" t="s">
        <v>129</v>
      </c>
      <c r="D41" s="45">
        <v>90</v>
      </c>
      <c r="E41" s="45">
        <v>2274</v>
      </c>
      <c r="F41" s="44"/>
      <c r="K41" s="3">
        <f t="shared" ca="1" si="5"/>
        <v>95</v>
      </c>
      <c r="L41" s="3">
        <f t="shared" ca="1" si="6"/>
        <v>2225</v>
      </c>
    </row>
    <row r="42" spans="1:12" ht="15.6" x14ac:dyDescent="0.3">
      <c r="A42" s="44"/>
      <c r="B42" s="82" t="s">
        <v>69</v>
      </c>
      <c r="C42" s="45" t="s">
        <v>122</v>
      </c>
      <c r="D42" s="45">
        <v>100</v>
      </c>
      <c r="E42" s="45">
        <v>3264</v>
      </c>
      <c r="F42" s="44"/>
      <c r="K42" s="3">
        <f t="shared" ca="1" si="5"/>
        <v>100</v>
      </c>
      <c r="L42" s="3">
        <f t="shared" ca="1" si="6"/>
        <v>2067</v>
      </c>
    </row>
    <row r="43" spans="1:12" ht="15.6" x14ac:dyDescent="0.3">
      <c r="A43" s="44"/>
      <c r="B43" s="82"/>
      <c r="C43" s="45" t="s">
        <v>126</v>
      </c>
      <c r="D43" s="45">
        <v>90</v>
      </c>
      <c r="E43" s="45">
        <v>5992</v>
      </c>
      <c r="F43" s="44"/>
      <c r="K43" s="3">
        <f t="shared" ca="1" si="5"/>
        <v>85</v>
      </c>
      <c r="L43" s="3">
        <f t="shared" ca="1" si="6"/>
        <v>2271</v>
      </c>
    </row>
    <row r="44" spans="1:12" ht="15.6" x14ac:dyDescent="0.3">
      <c r="A44" s="44"/>
      <c r="B44" s="82"/>
      <c r="C44" s="45" t="s">
        <v>129</v>
      </c>
      <c r="D44" s="45">
        <v>85</v>
      </c>
      <c r="E44" s="45">
        <v>2266</v>
      </c>
      <c r="F44" s="44"/>
      <c r="K44" s="3">
        <f t="shared" ca="1" si="5"/>
        <v>85</v>
      </c>
      <c r="L44" s="3">
        <f t="shared" ca="1" si="6"/>
        <v>2108</v>
      </c>
    </row>
    <row r="45" spans="1:12" ht="15.6" x14ac:dyDescent="0.3">
      <c r="A45" s="44"/>
      <c r="B45" s="82" t="s">
        <v>70</v>
      </c>
      <c r="C45" s="45" t="s">
        <v>122</v>
      </c>
      <c r="D45" s="45">
        <v>95</v>
      </c>
      <c r="E45" s="45">
        <v>3296</v>
      </c>
      <c r="F45" s="44"/>
      <c r="K45" s="3">
        <f t="shared" ca="1" si="5"/>
        <v>95</v>
      </c>
      <c r="L45" s="3">
        <f t="shared" ca="1" si="6"/>
        <v>2247</v>
      </c>
    </row>
    <row r="46" spans="1:12" ht="15.6" x14ac:dyDescent="0.3">
      <c r="A46" s="44"/>
      <c r="B46" s="82"/>
      <c r="C46" s="45" t="s">
        <v>126</v>
      </c>
      <c r="D46" s="45">
        <v>95</v>
      </c>
      <c r="E46" s="45">
        <v>5215</v>
      </c>
      <c r="F46" s="44"/>
      <c r="K46" s="3">
        <f t="shared" ca="1" si="5"/>
        <v>105</v>
      </c>
      <c r="L46" s="3">
        <f t="shared" ca="1" si="6"/>
        <v>2297</v>
      </c>
    </row>
    <row r="47" spans="1:12" ht="15.6" x14ac:dyDescent="0.3">
      <c r="A47" s="44"/>
      <c r="B47" s="82"/>
      <c r="C47" s="45" t="s">
        <v>129</v>
      </c>
      <c r="D47" s="45">
        <v>105</v>
      </c>
      <c r="E47" s="45">
        <v>2065</v>
      </c>
      <c r="F47" s="44"/>
      <c r="K47" s="3">
        <f t="shared" ca="1" si="5"/>
        <v>90</v>
      </c>
      <c r="L47" s="3">
        <f t="shared" ca="1" si="6"/>
        <v>2057</v>
      </c>
    </row>
    <row r="48" spans="1:12" ht="15.6" x14ac:dyDescent="0.3">
      <c r="A48" s="44"/>
      <c r="B48" s="82" t="s">
        <v>71</v>
      </c>
      <c r="C48" s="45" t="s">
        <v>122</v>
      </c>
      <c r="D48" s="45">
        <v>85</v>
      </c>
      <c r="E48" s="45">
        <v>3313</v>
      </c>
      <c r="F48" s="44"/>
      <c r="K48" s="3">
        <f t="shared" ca="1" si="5"/>
        <v>100</v>
      </c>
      <c r="L48" s="3">
        <f t="shared" ca="1" si="6"/>
        <v>2127</v>
      </c>
    </row>
    <row r="49" spans="1:12" ht="15.6" x14ac:dyDescent="0.3">
      <c r="A49" s="44"/>
      <c r="B49" s="82"/>
      <c r="C49" s="45" t="s">
        <v>126</v>
      </c>
      <c r="D49" s="45">
        <v>105</v>
      </c>
      <c r="E49" s="45">
        <v>5390</v>
      </c>
      <c r="F49" s="44"/>
      <c r="K49" s="3">
        <f t="shared" ca="1" si="5"/>
        <v>90</v>
      </c>
      <c r="L49" s="3">
        <f t="shared" ca="1" si="6"/>
        <v>2254</v>
      </c>
    </row>
    <row r="50" spans="1:12" ht="15.6" x14ac:dyDescent="0.3">
      <c r="A50" s="44"/>
      <c r="B50" s="82"/>
      <c r="C50" s="45" t="s">
        <v>129</v>
      </c>
      <c r="D50" s="45">
        <v>95</v>
      </c>
      <c r="E50" s="45">
        <v>2225</v>
      </c>
      <c r="F50" s="44"/>
      <c r="K50" s="3">
        <f t="shared" ca="1" si="5"/>
        <v>95</v>
      </c>
      <c r="L50" s="3">
        <f t="shared" ca="1" si="6"/>
        <v>2166</v>
      </c>
    </row>
    <row r="51" spans="1:12" ht="15.6" x14ac:dyDescent="0.3">
      <c r="A51" s="44"/>
      <c r="B51" s="82" t="s">
        <v>72</v>
      </c>
      <c r="C51" s="45" t="s">
        <v>122</v>
      </c>
      <c r="D51" s="45">
        <v>90</v>
      </c>
      <c r="E51" s="45">
        <v>3246</v>
      </c>
      <c r="F51" s="44"/>
      <c r="K51" s="3">
        <f t="shared" ca="1" si="5"/>
        <v>100</v>
      </c>
      <c r="L51" s="3">
        <f t="shared" ca="1" si="6"/>
        <v>2211</v>
      </c>
    </row>
    <row r="52" spans="1:12" ht="15.6" x14ac:dyDescent="0.3">
      <c r="A52" s="44"/>
      <c r="B52" s="82"/>
      <c r="C52" s="45" t="s">
        <v>126</v>
      </c>
      <c r="D52" s="45">
        <v>90</v>
      </c>
      <c r="E52" s="45">
        <v>5637</v>
      </c>
      <c r="F52" s="44"/>
    </row>
    <row r="53" spans="1:12" ht="15.6" x14ac:dyDescent="0.3">
      <c r="A53" s="44"/>
      <c r="B53" s="82"/>
      <c r="C53" s="45" t="s">
        <v>129</v>
      </c>
      <c r="D53" s="45">
        <v>100</v>
      </c>
      <c r="E53" s="45">
        <v>2067</v>
      </c>
      <c r="F53" s="44"/>
    </row>
    <row r="54" spans="1:12" ht="15.6" x14ac:dyDescent="0.3">
      <c r="A54" s="44"/>
      <c r="B54" s="82" t="s">
        <v>73</v>
      </c>
      <c r="C54" s="45" t="s">
        <v>122</v>
      </c>
      <c r="D54" s="45">
        <v>100</v>
      </c>
      <c r="E54" s="45">
        <v>3340</v>
      </c>
      <c r="F54" s="44"/>
    </row>
    <row r="55" spans="1:12" ht="15.6" x14ac:dyDescent="0.3">
      <c r="A55" s="44"/>
      <c r="B55" s="82"/>
      <c r="C55" s="45" t="s">
        <v>126</v>
      </c>
      <c r="D55" s="45">
        <v>95</v>
      </c>
      <c r="E55" s="45">
        <v>5625</v>
      </c>
      <c r="F55" s="44"/>
    </row>
    <row r="56" spans="1:12" ht="15.6" x14ac:dyDescent="0.3">
      <c r="A56" s="44"/>
      <c r="B56" s="82"/>
      <c r="C56" s="45" t="s">
        <v>129</v>
      </c>
      <c r="D56" s="45">
        <v>85</v>
      </c>
      <c r="E56" s="45">
        <v>2271</v>
      </c>
      <c r="F56" s="44"/>
    </row>
    <row r="57" spans="1:12" ht="15.6" x14ac:dyDescent="0.3">
      <c r="A57" s="44"/>
      <c r="B57" s="82" t="s">
        <v>74</v>
      </c>
      <c r="C57" s="45" t="s">
        <v>122</v>
      </c>
      <c r="D57" s="45">
        <v>85</v>
      </c>
      <c r="E57" s="45">
        <v>3190</v>
      </c>
      <c r="F57" s="44"/>
    </row>
    <row r="58" spans="1:12" ht="15.6" x14ac:dyDescent="0.3">
      <c r="A58" s="44"/>
      <c r="B58" s="82"/>
      <c r="C58" s="45" t="s">
        <v>126</v>
      </c>
      <c r="D58" s="45">
        <v>95</v>
      </c>
      <c r="E58" s="45">
        <v>5751</v>
      </c>
      <c r="F58" s="44"/>
    </row>
    <row r="59" spans="1:12" ht="15.6" x14ac:dyDescent="0.3">
      <c r="A59" s="44"/>
      <c r="B59" s="82"/>
      <c r="C59" s="45" t="s">
        <v>129</v>
      </c>
      <c r="D59" s="45">
        <v>85</v>
      </c>
      <c r="E59" s="45">
        <v>2108</v>
      </c>
      <c r="F59" s="44"/>
    </row>
    <row r="60" spans="1:12" ht="15.6" x14ac:dyDescent="0.3">
      <c r="A60" s="44"/>
      <c r="B60" s="82" t="s">
        <v>75</v>
      </c>
      <c r="C60" s="45" t="s">
        <v>122</v>
      </c>
      <c r="D60" s="45">
        <v>100</v>
      </c>
      <c r="E60" s="45">
        <v>3300</v>
      </c>
      <c r="F60" s="44"/>
    </row>
    <row r="61" spans="1:12" ht="15.6" x14ac:dyDescent="0.3">
      <c r="A61" s="44"/>
      <c r="B61" s="82"/>
      <c r="C61" s="45" t="s">
        <v>126</v>
      </c>
      <c r="D61" s="45">
        <v>95</v>
      </c>
      <c r="E61" s="45">
        <v>5653</v>
      </c>
      <c r="F61" s="44"/>
    </row>
    <row r="62" spans="1:12" ht="15.6" x14ac:dyDescent="0.3">
      <c r="A62" s="44"/>
      <c r="B62" s="82"/>
      <c r="C62" s="45" t="s">
        <v>129</v>
      </c>
      <c r="D62" s="45">
        <v>95</v>
      </c>
      <c r="E62" s="45">
        <v>2247</v>
      </c>
      <c r="F62" s="44"/>
    </row>
    <row r="63" spans="1:12" ht="15.6" x14ac:dyDescent="0.3">
      <c r="A63" s="44"/>
      <c r="B63" s="82" t="s">
        <v>76</v>
      </c>
      <c r="C63" s="45" t="s">
        <v>122</v>
      </c>
      <c r="D63" s="45">
        <v>90</v>
      </c>
      <c r="E63" s="45">
        <v>3234</v>
      </c>
      <c r="F63" s="44"/>
    </row>
    <row r="64" spans="1:12" ht="15.6" x14ac:dyDescent="0.3">
      <c r="A64" s="44"/>
      <c r="B64" s="82"/>
      <c r="C64" s="45" t="s">
        <v>126</v>
      </c>
      <c r="D64" s="45">
        <v>85</v>
      </c>
      <c r="E64" s="45">
        <v>5271</v>
      </c>
      <c r="F64" s="44"/>
    </row>
    <row r="65" spans="1:6" ht="15.6" x14ac:dyDescent="0.3">
      <c r="A65" s="44"/>
      <c r="B65" s="82"/>
      <c r="C65" s="45" t="s">
        <v>129</v>
      </c>
      <c r="D65" s="45">
        <v>105</v>
      </c>
      <c r="E65" s="45">
        <v>2297</v>
      </c>
      <c r="F65" s="44"/>
    </row>
    <row r="66" spans="1:6" ht="15.6" x14ac:dyDescent="0.3">
      <c r="A66" s="44"/>
      <c r="B66" s="82" t="s">
        <v>77</v>
      </c>
      <c r="C66" s="45" t="s">
        <v>122</v>
      </c>
      <c r="D66" s="45">
        <v>105</v>
      </c>
      <c r="E66" s="45">
        <v>3180</v>
      </c>
      <c r="F66" s="44"/>
    </row>
    <row r="67" spans="1:6" ht="15.6" x14ac:dyDescent="0.3">
      <c r="A67" s="44"/>
      <c r="B67" s="82"/>
      <c r="C67" s="45" t="s">
        <v>126</v>
      </c>
      <c r="D67" s="45">
        <v>90</v>
      </c>
      <c r="E67" s="45">
        <v>5265</v>
      </c>
      <c r="F67" s="44"/>
    </row>
    <row r="68" spans="1:6" ht="15.6" x14ac:dyDescent="0.3">
      <c r="A68" s="44"/>
      <c r="B68" s="82"/>
      <c r="C68" s="45" t="s">
        <v>129</v>
      </c>
      <c r="D68" s="45">
        <v>90</v>
      </c>
      <c r="E68" s="45">
        <v>2057</v>
      </c>
      <c r="F68" s="44"/>
    </row>
    <row r="69" spans="1:6" ht="15.6" x14ac:dyDescent="0.3">
      <c r="A69" s="44"/>
      <c r="B69" s="82" t="s">
        <v>78</v>
      </c>
      <c r="C69" s="45" t="s">
        <v>122</v>
      </c>
      <c r="D69" s="45">
        <v>95</v>
      </c>
      <c r="E69" s="45">
        <v>3211</v>
      </c>
      <c r="F69" s="44"/>
    </row>
    <row r="70" spans="1:6" ht="15.6" x14ac:dyDescent="0.3">
      <c r="A70" s="44"/>
      <c r="B70" s="82"/>
      <c r="C70" s="45" t="s">
        <v>126</v>
      </c>
      <c r="D70" s="45">
        <v>100</v>
      </c>
      <c r="E70" s="45">
        <v>5073</v>
      </c>
      <c r="F70" s="44"/>
    </row>
    <row r="71" spans="1:6" ht="15.6" x14ac:dyDescent="0.3">
      <c r="A71" s="44"/>
      <c r="B71" s="82"/>
      <c r="C71" s="45" t="s">
        <v>129</v>
      </c>
      <c r="D71" s="45">
        <v>100</v>
      </c>
      <c r="E71" s="45">
        <v>2127</v>
      </c>
      <c r="F71" s="44"/>
    </row>
    <row r="72" spans="1:6" ht="15.6" x14ac:dyDescent="0.3">
      <c r="A72" s="44"/>
      <c r="B72" s="82" t="s">
        <v>79</v>
      </c>
      <c r="C72" s="45" t="s">
        <v>122</v>
      </c>
      <c r="D72" s="45">
        <v>85</v>
      </c>
      <c r="E72" s="45">
        <v>3208</v>
      </c>
      <c r="F72" s="44"/>
    </row>
    <row r="73" spans="1:6" ht="15.6" x14ac:dyDescent="0.3">
      <c r="A73" s="44"/>
      <c r="B73" s="82"/>
      <c r="C73" s="45" t="s">
        <v>126</v>
      </c>
      <c r="D73" s="45">
        <v>100</v>
      </c>
      <c r="E73" s="45">
        <v>5183</v>
      </c>
      <c r="F73" s="44"/>
    </row>
    <row r="74" spans="1:6" ht="15.6" x14ac:dyDescent="0.3">
      <c r="A74" s="44"/>
      <c r="B74" s="82"/>
      <c r="C74" s="45" t="s">
        <v>129</v>
      </c>
      <c r="D74" s="45">
        <v>90</v>
      </c>
      <c r="E74" s="45">
        <v>2254</v>
      </c>
      <c r="F74" s="44"/>
    </row>
    <row r="75" spans="1:6" ht="15.6" x14ac:dyDescent="0.3">
      <c r="A75" s="44"/>
      <c r="B75" s="82" t="s">
        <v>80</v>
      </c>
      <c r="C75" s="45" t="s">
        <v>122</v>
      </c>
      <c r="D75" s="45">
        <v>90</v>
      </c>
      <c r="E75" s="45">
        <v>3227</v>
      </c>
      <c r="F75" s="44"/>
    </row>
    <row r="76" spans="1:6" ht="15.6" x14ac:dyDescent="0.3">
      <c r="A76" s="44"/>
      <c r="B76" s="82"/>
      <c r="C76" s="45" t="s">
        <v>126</v>
      </c>
      <c r="D76" s="45">
        <v>90</v>
      </c>
      <c r="E76" s="45">
        <v>5256</v>
      </c>
      <c r="F76" s="44"/>
    </row>
    <row r="77" spans="1:6" ht="15.6" x14ac:dyDescent="0.3">
      <c r="A77" s="44"/>
      <c r="B77" s="82"/>
      <c r="C77" s="45" t="s">
        <v>129</v>
      </c>
      <c r="D77" s="45">
        <v>95</v>
      </c>
      <c r="E77" s="45">
        <v>2166</v>
      </c>
      <c r="F77" s="44"/>
    </row>
    <row r="78" spans="1:6" ht="15.6" x14ac:dyDescent="0.3">
      <c r="A78" s="44"/>
      <c r="B78" s="82" t="s">
        <v>81</v>
      </c>
      <c r="C78" s="45" t="s">
        <v>122</v>
      </c>
      <c r="D78" s="45">
        <v>95</v>
      </c>
      <c r="E78" s="45">
        <v>3300</v>
      </c>
      <c r="F78" s="44"/>
    </row>
    <row r="79" spans="1:6" ht="15.6" x14ac:dyDescent="0.3">
      <c r="A79" s="44"/>
      <c r="B79" s="82"/>
      <c r="C79" s="45" t="s">
        <v>126</v>
      </c>
      <c r="D79" s="45">
        <v>90</v>
      </c>
      <c r="E79" s="45">
        <v>5878</v>
      </c>
      <c r="F79" s="44"/>
    </row>
    <row r="80" spans="1:6" ht="15.6" x14ac:dyDescent="0.3">
      <c r="A80" s="44"/>
      <c r="B80" s="82"/>
      <c r="C80" s="45" t="s">
        <v>129</v>
      </c>
      <c r="D80" s="45">
        <v>100</v>
      </c>
      <c r="E80" s="45">
        <v>2211</v>
      </c>
      <c r="F80" s="44"/>
    </row>
    <row r="81" spans="1:6" ht="15.6" x14ac:dyDescent="0.3">
      <c r="A81" s="44"/>
      <c r="B81" s="45" t="str">
        <f>+CONCATENATE("T = ",C9,"h",D9,"'",E9,"''")</f>
        <v>T = 10h16'36''</v>
      </c>
      <c r="C81" s="45" t="s">
        <v>12</v>
      </c>
      <c r="D81" s="45" t="s">
        <v>53</v>
      </c>
      <c r="E81" s="45">
        <v>2247</v>
      </c>
      <c r="F81" s="44"/>
    </row>
    <row r="82" spans="1:6" ht="15.6" x14ac:dyDescent="0.3">
      <c r="A82" s="44"/>
      <c r="B82" s="45"/>
      <c r="C82" s="45"/>
      <c r="D82" s="45" t="s">
        <v>16</v>
      </c>
      <c r="E82" s="45">
        <f>+SUM(E20:E81)</f>
        <v>223914</v>
      </c>
      <c r="F82" s="44"/>
    </row>
    <row r="83" spans="1:6" ht="15.6" x14ac:dyDescent="0.3">
      <c r="A83" s="44"/>
      <c r="B83" s="44"/>
      <c r="C83" s="44"/>
      <c r="D83" s="44"/>
      <c r="E83" s="44"/>
      <c r="F83" s="44"/>
    </row>
    <row r="84" spans="1:6" ht="15.6" x14ac:dyDescent="0.3">
      <c r="A84" s="44"/>
      <c r="B84" s="44"/>
      <c r="C84" s="44"/>
      <c r="D84" s="44"/>
      <c r="E84" s="44">
        <f>+E82/100</f>
        <v>2239.14</v>
      </c>
      <c r="F84" s="44"/>
    </row>
    <row r="85" spans="1:6" ht="15.6" x14ac:dyDescent="0.3">
      <c r="A85" s="44"/>
      <c r="B85" s="44"/>
      <c r="C85" s="44"/>
      <c r="D85" s="44"/>
      <c r="E85" s="44">
        <f>+E84/3600</f>
        <v>0.62198333333333333</v>
      </c>
      <c r="F85" s="44"/>
    </row>
    <row r="86" spans="1:6" ht="15.6" x14ac:dyDescent="0.3">
      <c r="A86" s="44"/>
      <c r="B86" s="44"/>
      <c r="C86" s="44"/>
      <c r="D86" s="44"/>
      <c r="E86" s="44">
        <f>+(E85-F125)*60</f>
        <v>37.319000000000003</v>
      </c>
      <c r="F86" s="44"/>
    </row>
    <row r="87" spans="1:6" x14ac:dyDescent="0.3">
      <c r="B87" s="19"/>
      <c r="C87" s="19"/>
      <c r="D87" s="19"/>
      <c r="E87" s="19">
        <f>+(E86-F126)*60</f>
        <v>19.140000000000157</v>
      </c>
    </row>
    <row r="88" spans="1:6" x14ac:dyDescent="0.3">
      <c r="B88" s="19"/>
      <c r="C88" s="19"/>
      <c r="D88" s="19"/>
      <c r="E88" s="19"/>
    </row>
    <row r="89" spans="1:6" x14ac:dyDescent="0.3">
      <c r="B89" s="19"/>
      <c r="C89" s="19"/>
      <c r="D89" s="19"/>
      <c r="E89" s="19"/>
    </row>
    <row r="90" spans="1:6" x14ac:dyDescent="0.3">
      <c r="B90" s="19"/>
      <c r="C90" s="19"/>
      <c r="D90" s="19"/>
      <c r="E90" s="19"/>
    </row>
    <row r="91" spans="1:6" x14ac:dyDescent="0.3">
      <c r="B91" s="19"/>
      <c r="C91" s="19"/>
      <c r="D91" s="19"/>
      <c r="E91" s="19"/>
    </row>
    <row r="92" spans="1:6" x14ac:dyDescent="0.3">
      <c r="B92" s="19"/>
      <c r="C92" s="19"/>
      <c r="D92" s="19"/>
      <c r="E92" s="19"/>
    </row>
    <row r="93" spans="1:6" x14ac:dyDescent="0.3">
      <c r="B93" s="19"/>
      <c r="C93" s="19"/>
      <c r="D93" s="19"/>
      <c r="E93" s="19"/>
    </row>
    <row r="94" spans="1:6" x14ac:dyDescent="0.3">
      <c r="B94" s="19"/>
      <c r="C94" s="19"/>
      <c r="D94" s="19"/>
      <c r="E94" s="19"/>
    </row>
    <row r="95" spans="1:6" x14ac:dyDescent="0.3">
      <c r="B95" s="19"/>
      <c r="C95" s="19"/>
      <c r="D95" s="19"/>
      <c r="E95" s="19"/>
    </row>
    <row r="96" spans="1:6" x14ac:dyDescent="0.3">
      <c r="B96" s="19"/>
      <c r="C96" s="19"/>
      <c r="D96" s="19"/>
      <c r="E96" s="19"/>
    </row>
    <row r="97" spans="2:5" x14ac:dyDescent="0.3">
      <c r="B97" s="19"/>
      <c r="C97" s="19"/>
      <c r="D97" s="19"/>
      <c r="E97" s="19"/>
    </row>
    <row r="98" spans="2:5" x14ac:dyDescent="0.3">
      <c r="B98" s="19"/>
      <c r="C98" s="19"/>
      <c r="D98" s="19"/>
      <c r="E98" s="19"/>
    </row>
    <row r="99" spans="2:5" x14ac:dyDescent="0.3">
      <c r="B99" s="19"/>
      <c r="C99" s="19"/>
      <c r="D99" s="19"/>
      <c r="E99" s="19"/>
    </row>
    <row r="100" spans="2:5" x14ac:dyDescent="0.3">
      <c r="B100" s="19"/>
      <c r="C100" s="19"/>
      <c r="D100" s="19"/>
      <c r="E100" s="19"/>
    </row>
    <row r="101" spans="2:5" x14ac:dyDescent="0.3">
      <c r="B101" s="19"/>
      <c r="C101" s="19"/>
      <c r="D101" s="19"/>
      <c r="E101" s="19"/>
    </row>
    <row r="102" spans="2:5" x14ac:dyDescent="0.3">
      <c r="B102" s="19"/>
      <c r="C102" s="19"/>
      <c r="D102" s="19"/>
      <c r="E102" s="19"/>
    </row>
    <row r="103" spans="2:5" x14ac:dyDescent="0.3">
      <c r="B103" s="19"/>
      <c r="C103" s="19"/>
      <c r="D103" s="19"/>
      <c r="E103" s="19"/>
    </row>
    <row r="104" spans="2:5" x14ac:dyDescent="0.3">
      <c r="B104" s="19"/>
      <c r="C104" s="19"/>
      <c r="D104" s="19"/>
      <c r="E104" s="19"/>
    </row>
    <row r="105" spans="2:5" x14ac:dyDescent="0.3">
      <c r="B105" s="19"/>
      <c r="C105" s="19"/>
      <c r="D105" s="19"/>
      <c r="E105" s="19"/>
    </row>
    <row r="106" spans="2:5" x14ac:dyDescent="0.3">
      <c r="B106" s="19"/>
      <c r="C106" s="19"/>
      <c r="D106" s="19"/>
      <c r="E106" s="19"/>
    </row>
    <row r="108" spans="2:5" x14ac:dyDescent="0.3">
      <c r="B108" s="16"/>
      <c r="C108" s="16"/>
      <c r="D108" s="16"/>
      <c r="E108" s="16"/>
    </row>
    <row r="109" spans="2:5" x14ac:dyDescent="0.3">
      <c r="B109" s="16"/>
      <c r="C109" s="16"/>
      <c r="D109" s="16"/>
      <c r="E109" s="16"/>
    </row>
    <row r="110" spans="2:5" x14ac:dyDescent="0.3">
      <c r="B110" s="16"/>
      <c r="C110" s="16"/>
      <c r="D110" s="16"/>
      <c r="E110" s="16"/>
    </row>
    <row r="111" spans="2:5" x14ac:dyDescent="0.3">
      <c r="B111" s="16"/>
      <c r="C111" s="16"/>
      <c r="D111" s="16"/>
      <c r="E111" s="16"/>
    </row>
    <row r="112" spans="2:5" x14ac:dyDescent="0.3">
      <c r="B112" s="16"/>
      <c r="C112" s="16"/>
      <c r="D112" s="16"/>
      <c r="E112" s="16"/>
    </row>
    <row r="125" spans="6:7" x14ac:dyDescent="0.3">
      <c r="F125">
        <f>+INT(E85)</f>
        <v>0</v>
      </c>
      <c r="G125" t="s">
        <v>82</v>
      </c>
    </row>
    <row r="126" spans="6:7" x14ac:dyDescent="0.3">
      <c r="F126" s="1">
        <f>+INT(E86)</f>
        <v>37</v>
      </c>
      <c r="G126" t="s">
        <v>83</v>
      </c>
    </row>
    <row r="127" spans="6:7" x14ac:dyDescent="0.3">
      <c r="F127" s="20">
        <f>+ROUND(E87,0)</f>
        <v>19</v>
      </c>
      <c r="G127" t="s">
        <v>84</v>
      </c>
    </row>
    <row r="128" spans="6:7" x14ac:dyDescent="0.3">
      <c r="F128" s="19"/>
    </row>
    <row r="129" spans="6:6" x14ac:dyDescent="0.3">
      <c r="F129" s="19"/>
    </row>
    <row r="130" spans="6:6" x14ac:dyDescent="0.3">
      <c r="F130" s="19"/>
    </row>
    <row r="131" spans="6:6" x14ac:dyDescent="0.3">
      <c r="F131" s="19"/>
    </row>
    <row r="132" spans="6:6" x14ac:dyDescent="0.3">
      <c r="F132" s="19"/>
    </row>
    <row r="133" spans="6:6" x14ac:dyDescent="0.3">
      <c r="F133" s="19"/>
    </row>
    <row r="134" spans="6:6" x14ac:dyDescent="0.3">
      <c r="F134" s="19"/>
    </row>
    <row r="135" spans="6:6" x14ac:dyDescent="0.3">
      <c r="F135" s="19"/>
    </row>
    <row r="136" spans="6:6" x14ac:dyDescent="0.3">
      <c r="F136" s="19"/>
    </row>
    <row r="137" spans="6:6" x14ac:dyDescent="0.3">
      <c r="F137" s="19"/>
    </row>
    <row r="138" spans="6:6" x14ac:dyDescent="0.3">
      <c r="F138" s="19"/>
    </row>
    <row r="139" spans="6:6" x14ac:dyDescent="0.3">
      <c r="F139" s="19"/>
    </row>
    <row r="140" spans="6:6" x14ac:dyDescent="0.3">
      <c r="F140" s="19"/>
    </row>
    <row r="141" spans="6:6" x14ac:dyDescent="0.3">
      <c r="F141" s="19"/>
    </row>
    <row r="142" spans="6:6" x14ac:dyDescent="0.3">
      <c r="F142" s="19"/>
    </row>
    <row r="143" spans="6:6" x14ac:dyDescent="0.3">
      <c r="F143" s="19"/>
    </row>
    <row r="144" spans="6:6" x14ac:dyDescent="0.3">
      <c r="F144" s="19"/>
    </row>
    <row r="145" spans="6:8" x14ac:dyDescent="0.3">
      <c r="F145" s="19"/>
    </row>
    <row r="146" spans="6:8" x14ac:dyDescent="0.3">
      <c r="F146" s="19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50" spans="6:8" x14ac:dyDescent="0.3">
      <c r="F150" s="16"/>
      <c r="G150" s="16"/>
      <c r="H150" s="16"/>
    </row>
    <row r="151" spans="6:8" x14ac:dyDescent="0.3">
      <c r="F151" s="16"/>
      <c r="G151" s="16"/>
      <c r="H151" s="16"/>
    </row>
    <row r="152" spans="6:8" x14ac:dyDescent="0.3">
      <c r="F152" s="16"/>
      <c r="G152" s="16"/>
      <c r="H152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spans="9:22" x14ac:dyDescent="0.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spans="9:22" x14ac:dyDescent="0.3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spans="9:22" x14ac:dyDescent="0.3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</sheetData>
  <mergeCells count="24">
    <mergeCell ref="B75:B77"/>
    <mergeCell ref="B78:B80"/>
    <mergeCell ref="C15:F15"/>
    <mergeCell ref="B60:B62"/>
    <mergeCell ref="B63:B65"/>
    <mergeCell ref="B66:B68"/>
    <mergeCell ref="B69:B71"/>
    <mergeCell ref="B72:B74"/>
    <mergeCell ref="B45:B47"/>
    <mergeCell ref="B48:B50"/>
    <mergeCell ref="B51:B53"/>
    <mergeCell ref="B54:B56"/>
    <mergeCell ref="B57:B59"/>
    <mergeCell ref="B30:B32"/>
    <mergeCell ref="B33:B35"/>
    <mergeCell ref="B36:B38"/>
    <mergeCell ref="B39:B41"/>
    <mergeCell ref="B42:B44"/>
    <mergeCell ref="K29:L29"/>
    <mergeCell ref="K4:L4"/>
    <mergeCell ref="N4:O4"/>
    <mergeCell ref="B21:B23"/>
    <mergeCell ref="B24:B26"/>
    <mergeCell ref="B27:B29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P21" sqref="P21"/>
    </sheetView>
  </sheetViews>
  <sheetFormatPr baseColWidth="10" defaultRowHeight="15.6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style="44" customWidth="1"/>
  </cols>
  <sheetData>
    <row r="1" spans="1:17" x14ac:dyDescent="0.3">
      <c r="A1" s="1"/>
    </row>
    <row r="2" spans="1:17" ht="16.2" thickBot="1" x14ac:dyDescent="0.35">
      <c r="A2" s="1"/>
      <c r="C2" s="1"/>
      <c r="P2" s="47"/>
      <c r="Q2" s="47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5">
        <f>+'Hoja de cronometraje'!E20</f>
        <v>2943</v>
      </c>
      <c r="M3" s="8" t="s">
        <v>7</v>
      </c>
      <c r="P3" s="51" t="s">
        <v>85</v>
      </c>
      <c r="Q3" s="51" t="s">
        <v>86</v>
      </c>
    </row>
    <row r="4" spans="1:17" ht="16.2" thickBot="1" x14ac:dyDescent="0.35">
      <c r="A4" s="1"/>
      <c r="B4" s="13" t="s">
        <v>3</v>
      </c>
      <c r="C4" s="3">
        <f>+'Hoja de cronometraje'!C9</f>
        <v>10</v>
      </c>
      <c r="D4" s="3">
        <f>+'Hoja de cronometraje'!D9</f>
        <v>16</v>
      </c>
      <c r="E4" s="3">
        <f>+'Hoja de cronometraje'!E9</f>
        <v>36</v>
      </c>
      <c r="F4" t="s">
        <v>4</v>
      </c>
      <c r="G4" s="4">
        <f>(C4*3600)+(D4*60)+E4</f>
        <v>36996</v>
      </c>
      <c r="H4" s="5" t="s">
        <v>5</v>
      </c>
      <c r="J4" s="9" t="s">
        <v>12</v>
      </c>
      <c r="K4" s="10" t="s">
        <v>4</v>
      </c>
      <c r="L4" s="34">
        <f>+'Hoja de cronometraje'!E81</f>
        <v>2247</v>
      </c>
      <c r="M4" s="8" t="s">
        <v>7</v>
      </c>
      <c r="P4" s="48" t="s">
        <v>87</v>
      </c>
      <c r="Q4" s="48" t="str">
        <f>+CONCATENATE(C4,"h ",D4,"'",E4,"""")</f>
        <v>10h 16'36"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39</v>
      </c>
      <c r="E5" s="3">
        <f>+'Hoja de cronometraje'!E10</f>
        <v>17</v>
      </c>
      <c r="F5" t="s">
        <v>4</v>
      </c>
      <c r="G5" s="7">
        <f>(C5*3600)+(D5*60)+E5</f>
        <v>34757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48" t="s">
        <v>88</v>
      </c>
      <c r="Q5" s="48" t="str">
        <f>+CONCATENATE(C5,"h ",D5,"'",E5,"""")</f>
        <v>9h 39'17"</v>
      </c>
    </row>
    <row r="6" spans="1:17" x14ac:dyDescent="0.3">
      <c r="E6" s="1"/>
      <c r="J6" s="1"/>
      <c r="P6" s="49" t="s">
        <v>10</v>
      </c>
      <c r="Q6" s="49" t="str">
        <f>+CONCATENATE(G7," seg")</f>
        <v>2239 seg</v>
      </c>
    </row>
    <row r="7" spans="1:17" ht="16.2" thickBot="1" x14ac:dyDescent="0.35">
      <c r="E7" s="9" t="s">
        <v>10</v>
      </c>
      <c r="F7" s="10" t="s">
        <v>4</v>
      </c>
      <c r="G7" s="10">
        <f>G4-G5</f>
        <v>2239</v>
      </c>
      <c r="H7" s="8" t="s">
        <v>5</v>
      </c>
      <c r="J7" s="1"/>
      <c r="P7" s="49" t="s">
        <v>10</v>
      </c>
      <c r="Q7" s="49" t="str">
        <f>+CONCATENATE(G8," c.s.")</f>
        <v>223900 c.s.</v>
      </c>
    </row>
    <row r="8" spans="1:17" ht="16.2" thickBot="1" x14ac:dyDescent="0.35">
      <c r="E8" s="9" t="s">
        <v>10</v>
      </c>
      <c r="F8" s="10" t="s">
        <v>4</v>
      </c>
      <c r="G8" s="34">
        <f>G7*100</f>
        <v>223900</v>
      </c>
      <c r="H8" s="8" t="s">
        <v>7</v>
      </c>
      <c r="J8" s="9" t="s">
        <v>13</v>
      </c>
      <c r="K8" s="10" t="s">
        <v>4</v>
      </c>
      <c r="L8" s="10">
        <f>G8-L3-L4</f>
        <v>218710</v>
      </c>
      <c r="M8" s="8" t="s">
        <v>7</v>
      </c>
      <c r="P8" s="48" t="s">
        <v>11</v>
      </c>
      <c r="Q8" s="48" t="str">
        <f>+CONCATENATE(L3," c.s.")</f>
        <v>2943 c.s.</v>
      </c>
    </row>
    <row r="9" spans="1:17" x14ac:dyDescent="0.3">
      <c r="J9" s="9" t="s">
        <v>15</v>
      </c>
      <c r="K9" s="10" t="s">
        <v>4</v>
      </c>
      <c r="L9" s="10">
        <f>L8-L5</f>
        <v>218710</v>
      </c>
      <c r="M9" s="8" t="s">
        <v>7</v>
      </c>
      <c r="P9" s="48" t="s">
        <v>12</v>
      </c>
      <c r="Q9" s="48" t="str">
        <f>+CONCATENATE(L4," c.s.")</f>
        <v>2247 c.s.</v>
      </c>
    </row>
    <row r="10" spans="1:17" x14ac:dyDescent="0.3">
      <c r="J10" s="1"/>
      <c r="P10" s="49" t="s">
        <v>13</v>
      </c>
      <c r="Q10" s="49" t="str">
        <f>+CONCATENATE(L8," c.s.")</f>
        <v>218710 c.s.</v>
      </c>
    </row>
    <row r="11" spans="1:17" x14ac:dyDescent="0.3">
      <c r="P11" s="49" t="s">
        <v>89</v>
      </c>
      <c r="Q11" s="49" t="str">
        <f>+CONCATENATE(L5," c.s.")</f>
        <v>0 c.s.</v>
      </c>
    </row>
    <row r="12" spans="1:17" x14ac:dyDescent="0.3">
      <c r="J12" s="12" t="s">
        <v>16</v>
      </c>
      <c r="K12" s="10" t="s">
        <v>4</v>
      </c>
      <c r="L12" s="10">
        <f>+'Hoja de cronometraje'!E82</f>
        <v>223914</v>
      </c>
      <c r="M12" s="8" t="s">
        <v>7</v>
      </c>
      <c r="P12" s="49" t="s">
        <v>15</v>
      </c>
      <c r="Q12" s="49" t="str">
        <f>+CONCATENATE(L9," c.s.")</f>
        <v>218710 c.s.</v>
      </c>
    </row>
    <row r="13" spans="1:17" x14ac:dyDescent="0.3">
      <c r="J13" s="12" t="s">
        <v>17</v>
      </c>
      <c r="K13" s="10" t="s">
        <v>4</v>
      </c>
      <c r="L13" s="10">
        <f>G8-L12</f>
        <v>-14</v>
      </c>
      <c r="M13" s="8" t="s">
        <v>7</v>
      </c>
      <c r="P13" s="48" t="s">
        <v>16</v>
      </c>
      <c r="Q13" s="48" t="str">
        <f>+CONCATENATE(L12," c.s.")</f>
        <v>223914 c.s.</v>
      </c>
    </row>
    <row r="14" spans="1:17" x14ac:dyDescent="0.3">
      <c r="J14" s="1"/>
      <c r="P14" s="49" t="s">
        <v>90</v>
      </c>
      <c r="Q14" s="49" t="str">
        <f>+CONCATENATE(L13," c.s.")</f>
        <v>-14 c.s.</v>
      </c>
    </row>
    <row r="15" spans="1:17" x14ac:dyDescent="0.3">
      <c r="J15" s="9" t="s">
        <v>9</v>
      </c>
      <c r="K15" s="10" t="s">
        <v>4</v>
      </c>
      <c r="L15" s="11">
        <f>(L13/G8)*100</f>
        <v>-6.2527914247431891E-3</v>
      </c>
      <c r="M15" s="8" t="s">
        <v>8</v>
      </c>
      <c r="P15" s="49" t="s">
        <v>9</v>
      </c>
      <c r="Q15" s="50" t="str">
        <f>+CONCATENATE(ROUND(L15,2)," %")</f>
        <v>-0.01 %</v>
      </c>
    </row>
    <row r="16" spans="1:17" x14ac:dyDescent="0.3">
      <c r="G16" s="2"/>
    </row>
    <row r="17" spans="9:14" x14ac:dyDescent="0.3">
      <c r="I17" s="87" t="str">
        <f>IF(ABS(L15)&lt;1,"Los tiempos son confiables","Los tiempos no son confiables")</f>
        <v>Los tiempos son confiables</v>
      </c>
      <c r="J17" s="88"/>
      <c r="K17" s="88"/>
      <c r="L17" s="88"/>
      <c r="M17" s="88"/>
      <c r="N17" s="89"/>
    </row>
    <row r="18" spans="9:14" x14ac:dyDescent="0.3">
      <c r="I18" s="90"/>
      <c r="J18" s="91"/>
      <c r="K18" s="91"/>
      <c r="L18" s="91"/>
      <c r="M18" s="91"/>
      <c r="N18" s="92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1:S59"/>
  <sheetViews>
    <sheetView showGridLines="0" topLeftCell="A26" zoomScaleNormal="100" workbookViewId="0">
      <selection activeCell="J23" sqref="J23"/>
    </sheetView>
  </sheetViews>
  <sheetFormatPr baseColWidth="10" defaultRowHeight="14.4" x14ac:dyDescent="0.3"/>
  <cols>
    <col min="7" max="7" width="14.44140625" bestFit="1" customWidth="1"/>
    <col min="16" max="16" width="13.77734375" bestFit="1" customWidth="1"/>
  </cols>
  <sheetData>
    <row r="1" spans="2:19" ht="15.6" x14ac:dyDescent="0.3"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2:19" ht="15.6" x14ac:dyDescent="0.3">
      <c r="B2" s="14"/>
      <c r="C2" s="44"/>
      <c r="D2" s="44"/>
      <c r="E2" s="44"/>
      <c r="F2" s="44"/>
      <c r="G2" s="98" t="str">
        <f>+'Hoja de cronometraje'!K4</f>
        <v>Elemento M</v>
      </c>
      <c r="H2" s="99"/>
      <c r="I2" s="44"/>
      <c r="J2" s="44"/>
      <c r="K2" s="44"/>
      <c r="L2" s="44"/>
      <c r="M2" s="44"/>
      <c r="N2" s="44"/>
      <c r="O2" s="44"/>
      <c r="P2" s="98" t="str">
        <f>+'Hoja de cronometraje'!N4</f>
        <v>Elemento P</v>
      </c>
      <c r="Q2" s="99"/>
    </row>
    <row r="3" spans="2:19" ht="15.6" x14ac:dyDescent="0.3"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2:19" ht="15.6" x14ac:dyDescent="0.3"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2:19" ht="15.6" x14ac:dyDescent="0.3">
      <c r="C5" s="44"/>
      <c r="D5" s="63" t="s">
        <v>18</v>
      </c>
      <c r="E5" s="51" t="s">
        <v>19</v>
      </c>
      <c r="F5" s="51" t="s">
        <v>20</v>
      </c>
      <c r="G5" s="51" t="s">
        <v>21</v>
      </c>
      <c r="H5" s="44"/>
      <c r="I5" s="44"/>
      <c r="J5" s="44"/>
      <c r="K5" s="44"/>
      <c r="L5" s="44"/>
      <c r="M5" s="51" t="s">
        <v>18</v>
      </c>
      <c r="N5" s="64" t="s">
        <v>19</v>
      </c>
      <c r="O5" s="51" t="s">
        <v>20</v>
      </c>
      <c r="P5" s="51" t="s">
        <v>21</v>
      </c>
      <c r="Q5" s="44"/>
    </row>
    <row r="6" spans="2:19" ht="15.6" x14ac:dyDescent="0.3">
      <c r="C6" s="44"/>
      <c r="D6" s="56">
        <f ca="1">+'Hoja de cronometraje'!K7</f>
        <v>90</v>
      </c>
      <c r="E6" s="60">
        <f ca="1">+'Hoja de cronometraje'!L7</f>
        <v>3337</v>
      </c>
      <c r="F6" s="60">
        <f ca="1">(D6*E6)/100</f>
        <v>3003.3</v>
      </c>
      <c r="G6" s="60">
        <f ca="1">POWER(F6,2)</f>
        <v>9019810.8900000006</v>
      </c>
      <c r="H6" s="44"/>
      <c r="I6" s="44"/>
      <c r="J6" s="44"/>
      <c r="K6" s="44"/>
      <c r="L6" s="44"/>
      <c r="M6" s="60">
        <f ca="1">+'Hoja de cronometraje'!N7</f>
        <v>90</v>
      </c>
      <c r="N6" s="42">
        <f ca="1">+'Hoja de cronometraje'!O7</f>
        <v>5852</v>
      </c>
      <c r="O6" s="60">
        <f ca="1">(M6*N6)/100</f>
        <v>5266.8</v>
      </c>
      <c r="P6" s="60">
        <f ca="1">POWER(O6,2)</f>
        <v>27739182.240000002</v>
      </c>
      <c r="Q6" s="44"/>
    </row>
    <row r="7" spans="2:19" ht="15.6" x14ac:dyDescent="0.3">
      <c r="C7" s="44"/>
      <c r="D7" s="56">
        <f ca="1">+'Hoja de cronometraje'!K8</f>
        <v>100</v>
      </c>
      <c r="E7" s="60">
        <f ca="1">+'Hoja de cronometraje'!L8</f>
        <v>3276</v>
      </c>
      <c r="F7" s="60">
        <f t="shared" ref="F7:F25" ca="1" si="0">(D7*E7)/100</f>
        <v>3276</v>
      </c>
      <c r="G7" s="60">
        <f t="shared" ref="G7:G25" ca="1" si="1">POWER(F7,2)</f>
        <v>10732176</v>
      </c>
      <c r="H7" s="44"/>
      <c r="I7" s="45" t="s">
        <v>23</v>
      </c>
      <c r="J7" s="45">
        <f ca="1">COUNTA(E6:E25)</f>
        <v>20</v>
      </c>
      <c r="K7" s="44"/>
      <c r="L7" s="44"/>
      <c r="M7" s="60">
        <f ca="1">+'Hoja de cronometraje'!N8</f>
        <v>100</v>
      </c>
      <c r="N7" s="42">
        <f ca="1">+'Hoja de cronometraje'!O8</f>
        <v>5366</v>
      </c>
      <c r="O7" s="60">
        <f t="shared" ref="O7:O25" ca="1" si="2">(M7*N7)/100</f>
        <v>5366</v>
      </c>
      <c r="P7" s="60">
        <f t="shared" ref="P7:P25" ca="1" si="3">POWER(O7,2)</f>
        <v>28793956</v>
      </c>
      <c r="Q7" s="44"/>
      <c r="R7" s="15" t="s">
        <v>23</v>
      </c>
      <c r="S7" s="3">
        <f ca="1">COUNTA(N6:N25)</f>
        <v>20</v>
      </c>
    </row>
    <row r="8" spans="2:19" ht="15.6" x14ac:dyDescent="0.3">
      <c r="C8" s="44"/>
      <c r="D8" s="56">
        <f ca="1">+'Hoja de cronometraje'!K9</f>
        <v>105</v>
      </c>
      <c r="E8" s="60">
        <f ca="1">+'Hoja de cronometraje'!L9</f>
        <v>3165</v>
      </c>
      <c r="F8" s="60">
        <f t="shared" ca="1" si="0"/>
        <v>3323.25</v>
      </c>
      <c r="G8" s="60">
        <f t="shared" ca="1" si="1"/>
        <v>11043990.5625</v>
      </c>
      <c r="H8" s="44"/>
      <c r="I8" s="44"/>
      <c r="J8" s="44"/>
      <c r="K8" s="44"/>
      <c r="L8" s="44"/>
      <c r="M8" s="60">
        <f ca="1">+'Hoja de cronometraje'!N9</f>
        <v>95</v>
      </c>
      <c r="N8" s="42">
        <f ca="1">+'Hoja de cronometraje'!O9</f>
        <v>5989</v>
      </c>
      <c r="O8" s="60">
        <f t="shared" ca="1" si="2"/>
        <v>5689.55</v>
      </c>
      <c r="P8" s="60">
        <f t="shared" ca="1" si="3"/>
        <v>32370979.202500001</v>
      </c>
      <c r="Q8" s="44"/>
      <c r="R8" s="1"/>
    </row>
    <row r="9" spans="2:19" ht="15.6" x14ac:dyDescent="0.3">
      <c r="C9" s="44"/>
      <c r="D9" s="56">
        <f ca="1">+'Hoja de cronometraje'!K10</f>
        <v>95</v>
      </c>
      <c r="E9" s="60">
        <f ca="1">+'Hoja de cronometraje'!L10</f>
        <v>3206</v>
      </c>
      <c r="F9" s="60">
        <f t="shared" ca="1" si="0"/>
        <v>3045.7</v>
      </c>
      <c r="G9" s="60">
        <f t="shared" ca="1" si="1"/>
        <v>9276288.4899999984</v>
      </c>
      <c r="H9" s="44"/>
      <c r="I9" s="44"/>
      <c r="J9" s="44"/>
      <c r="K9" s="44"/>
      <c r="L9" s="44"/>
      <c r="M9" s="60">
        <f ca="1">+'Hoja de cronometraje'!N10</f>
        <v>100</v>
      </c>
      <c r="N9" s="42">
        <f ca="1">+'Hoja de cronometraje'!O10</f>
        <v>5489</v>
      </c>
      <c r="O9" s="60">
        <f t="shared" ca="1" si="2"/>
        <v>5489</v>
      </c>
      <c r="P9" s="60">
        <f t="shared" ca="1" si="3"/>
        <v>30129121</v>
      </c>
      <c r="Q9" s="44"/>
      <c r="R9" s="1"/>
    </row>
    <row r="10" spans="2:19" ht="15.6" x14ac:dyDescent="0.3">
      <c r="C10" s="44"/>
      <c r="D10" s="56">
        <f ca="1">+'Hoja de cronometraje'!K11</f>
        <v>100</v>
      </c>
      <c r="E10" s="60">
        <f ca="1">+'Hoja de cronometraje'!L11</f>
        <v>3114</v>
      </c>
      <c r="F10" s="60">
        <f t="shared" ca="1" si="0"/>
        <v>3114</v>
      </c>
      <c r="G10" s="60">
        <f t="shared" ca="1" si="1"/>
        <v>9696996</v>
      </c>
      <c r="H10" s="44"/>
      <c r="I10" s="44"/>
      <c r="J10" s="44"/>
      <c r="K10" s="44"/>
      <c r="L10" s="44"/>
      <c r="M10" s="60">
        <f ca="1">+'Hoja de cronometraje'!N11</f>
        <v>95</v>
      </c>
      <c r="N10" s="42">
        <f ca="1">+'Hoja de cronometraje'!O11</f>
        <v>5638</v>
      </c>
      <c r="O10" s="60">
        <f t="shared" ca="1" si="2"/>
        <v>5356.1</v>
      </c>
      <c r="P10" s="60">
        <f t="shared" ca="1" si="3"/>
        <v>28687807.210000005</v>
      </c>
      <c r="Q10" s="44"/>
    </row>
    <row r="11" spans="2:19" ht="15.6" x14ac:dyDescent="0.3">
      <c r="C11" s="44"/>
      <c r="D11" s="56">
        <f ca="1">+'Hoja de cronometraje'!K12</f>
        <v>90</v>
      </c>
      <c r="E11" s="60">
        <f ca="1">+'Hoja de cronometraje'!L12</f>
        <v>3247</v>
      </c>
      <c r="F11" s="60">
        <f t="shared" ca="1" si="0"/>
        <v>2922.3</v>
      </c>
      <c r="G11" s="60">
        <f t="shared" ca="1" si="1"/>
        <v>8539837.290000001</v>
      </c>
      <c r="H11" s="44"/>
      <c r="I11" s="44"/>
      <c r="J11" s="44"/>
      <c r="K11" s="44"/>
      <c r="L11" s="44"/>
      <c r="M11" s="60">
        <f ca="1">+'Hoja de cronometraje'!N12</f>
        <v>105</v>
      </c>
      <c r="N11" s="42">
        <f ca="1">+'Hoja de cronometraje'!O12</f>
        <v>5382</v>
      </c>
      <c r="O11" s="60">
        <f t="shared" ca="1" si="2"/>
        <v>5651.1</v>
      </c>
      <c r="P11" s="60">
        <f t="shared" ca="1" si="3"/>
        <v>31934931.210000005</v>
      </c>
      <c r="Q11" s="44"/>
    </row>
    <row r="12" spans="2:19" ht="15.6" x14ac:dyDescent="0.3">
      <c r="C12" s="44"/>
      <c r="D12" s="56">
        <f ca="1">+'Hoja de cronometraje'!K13</f>
        <v>90</v>
      </c>
      <c r="E12" s="60">
        <f ca="1">+'Hoja de cronometraje'!L13</f>
        <v>3340</v>
      </c>
      <c r="F12" s="60">
        <f t="shared" ca="1" si="0"/>
        <v>3006</v>
      </c>
      <c r="G12" s="60">
        <f t="shared" ca="1" si="1"/>
        <v>9036036</v>
      </c>
      <c r="H12" s="44"/>
      <c r="I12" s="45" t="s">
        <v>22</v>
      </c>
      <c r="J12" s="45">
        <f ca="1">ROUNDUP(POWER(((40*SQRT((J7*G26)-POWER(F26,2)))/F26),2),0)</f>
        <v>7</v>
      </c>
      <c r="K12" s="44"/>
      <c r="L12" s="44"/>
      <c r="M12" s="60">
        <f ca="1">+'Hoja de cronometraje'!N13</f>
        <v>95</v>
      </c>
      <c r="N12" s="42">
        <f ca="1">+'Hoja de cronometraje'!O13</f>
        <v>5355</v>
      </c>
      <c r="O12" s="60">
        <f t="shared" ca="1" si="2"/>
        <v>5087.25</v>
      </c>
      <c r="P12" s="60">
        <f t="shared" ca="1" si="3"/>
        <v>25880112.5625</v>
      </c>
      <c r="Q12" s="44"/>
      <c r="R12" s="15" t="s">
        <v>22</v>
      </c>
      <c r="S12" s="3">
        <f ca="1">ROUNDUP(POWER(((40*SQRT((S7*P26)-POWER(O26,2)))/O26),2),0)</f>
        <v>6</v>
      </c>
    </row>
    <row r="13" spans="2:19" ht="15.6" x14ac:dyDescent="0.3">
      <c r="C13" s="44"/>
      <c r="D13" s="56">
        <f ca="1">+'Hoja de cronometraje'!K14</f>
        <v>100</v>
      </c>
      <c r="E13" s="60">
        <f ca="1">+'Hoja de cronometraje'!L14</f>
        <v>3264</v>
      </c>
      <c r="F13" s="60">
        <f t="shared" ca="1" si="0"/>
        <v>3264</v>
      </c>
      <c r="G13" s="60">
        <f t="shared" ca="1" si="1"/>
        <v>10653696</v>
      </c>
      <c r="H13" s="44"/>
      <c r="I13" s="44"/>
      <c r="J13" s="44"/>
      <c r="K13" s="44"/>
      <c r="L13" s="44"/>
      <c r="M13" s="60">
        <f ca="1">+'Hoja de cronometraje'!N14</f>
        <v>90</v>
      </c>
      <c r="N13" s="42">
        <f ca="1">+'Hoja de cronometraje'!O14</f>
        <v>5992</v>
      </c>
      <c r="O13" s="60">
        <f t="shared" ca="1" si="2"/>
        <v>5392.8</v>
      </c>
      <c r="P13" s="60">
        <f t="shared" ca="1" si="3"/>
        <v>29082291.840000004</v>
      </c>
      <c r="Q13" s="44"/>
    </row>
    <row r="14" spans="2:19" ht="15.6" x14ac:dyDescent="0.3">
      <c r="C14" s="44"/>
      <c r="D14" s="56">
        <f ca="1">+'Hoja de cronometraje'!K15</f>
        <v>95</v>
      </c>
      <c r="E14" s="60">
        <f ca="1">+'Hoja de cronometraje'!L15</f>
        <v>3296</v>
      </c>
      <c r="F14" s="60">
        <f t="shared" ca="1" si="0"/>
        <v>3131.2</v>
      </c>
      <c r="G14" s="60">
        <f t="shared" ca="1" si="1"/>
        <v>9804413.4399999995</v>
      </c>
      <c r="H14" s="44"/>
      <c r="I14" s="44"/>
      <c r="J14" s="44"/>
      <c r="K14" s="44"/>
      <c r="L14" s="44"/>
      <c r="M14" s="60">
        <f ca="1">+'Hoja de cronometraje'!N15</f>
        <v>95</v>
      </c>
      <c r="N14" s="42">
        <f ca="1">+'Hoja de cronometraje'!O15</f>
        <v>5215</v>
      </c>
      <c r="O14" s="60">
        <f t="shared" ca="1" si="2"/>
        <v>4954.25</v>
      </c>
      <c r="P14" s="60">
        <f t="shared" ca="1" si="3"/>
        <v>24544593.0625</v>
      </c>
      <c r="Q14" s="44"/>
    </row>
    <row r="15" spans="2:19" ht="15.6" x14ac:dyDescent="0.3">
      <c r="C15" s="44"/>
      <c r="D15" s="56">
        <f ca="1">+'Hoja de cronometraje'!K16</f>
        <v>85</v>
      </c>
      <c r="E15" s="60">
        <f ca="1">+'Hoja de cronometraje'!L16</f>
        <v>3313</v>
      </c>
      <c r="F15" s="60">
        <f t="shared" ca="1" si="0"/>
        <v>2816.05</v>
      </c>
      <c r="G15" s="60">
        <f t="shared" ca="1" si="1"/>
        <v>7930137.602500001</v>
      </c>
      <c r="H15" s="44"/>
      <c r="I15" s="44"/>
      <c r="J15" s="44"/>
      <c r="K15" s="44"/>
      <c r="L15" s="44"/>
      <c r="M15" s="60">
        <f ca="1">+'Hoja de cronometraje'!N16</f>
        <v>105</v>
      </c>
      <c r="N15" s="42">
        <f ca="1">+'Hoja de cronometraje'!O16</f>
        <v>5390</v>
      </c>
      <c r="O15" s="60">
        <f t="shared" ca="1" si="2"/>
        <v>5659.5</v>
      </c>
      <c r="P15" s="60">
        <f t="shared" ca="1" si="3"/>
        <v>32029940.25</v>
      </c>
      <c r="Q15" s="44"/>
    </row>
    <row r="16" spans="2:19" ht="15.6" x14ac:dyDescent="0.3">
      <c r="C16" s="44"/>
      <c r="D16" s="56">
        <f ca="1">+'Hoja de cronometraje'!K17</f>
        <v>90</v>
      </c>
      <c r="E16" s="60">
        <f ca="1">+'Hoja de cronometraje'!L17</f>
        <v>3246</v>
      </c>
      <c r="F16" s="60">
        <f t="shared" ca="1" si="0"/>
        <v>2921.4</v>
      </c>
      <c r="G16" s="60">
        <f t="shared" ca="1" si="1"/>
        <v>8534577.9600000009</v>
      </c>
      <c r="H16" s="44"/>
      <c r="I16" s="44"/>
      <c r="J16" s="44"/>
      <c r="K16" s="44"/>
      <c r="L16" s="44"/>
      <c r="M16" s="60">
        <f ca="1">+'Hoja de cronometraje'!N17</f>
        <v>90</v>
      </c>
      <c r="N16" s="42">
        <f ca="1">+'Hoja de cronometraje'!O17</f>
        <v>5637</v>
      </c>
      <c r="O16" s="60">
        <f t="shared" ca="1" si="2"/>
        <v>5073.3</v>
      </c>
      <c r="P16" s="60">
        <f t="shared" ca="1" si="3"/>
        <v>25738372.890000001</v>
      </c>
      <c r="Q16" s="44"/>
    </row>
    <row r="17" spans="3:17" ht="15.6" x14ac:dyDescent="0.3">
      <c r="C17" s="44"/>
      <c r="D17" s="56">
        <f ca="1">+'Hoja de cronometraje'!K18</f>
        <v>100</v>
      </c>
      <c r="E17" s="60">
        <f ca="1">+'Hoja de cronometraje'!L18</f>
        <v>3340</v>
      </c>
      <c r="F17" s="60">
        <f t="shared" ca="1" si="0"/>
        <v>3340</v>
      </c>
      <c r="G17" s="60">
        <f t="shared" ca="1" si="1"/>
        <v>11155600</v>
      </c>
      <c r="H17" s="44"/>
      <c r="I17" s="44"/>
      <c r="J17" s="44"/>
      <c r="K17" s="44"/>
      <c r="L17" s="44"/>
      <c r="M17" s="60">
        <f ca="1">+'Hoja de cronometraje'!N18</f>
        <v>95</v>
      </c>
      <c r="N17" s="42">
        <f ca="1">+'Hoja de cronometraje'!O18</f>
        <v>5625</v>
      </c>
      <c r="O17" s="60">
        <f t="shared" ca="1" si="2"/>
        <v>5343.75</v>
      </c>
      <c r="P17" s="60">
        <f t="shared" ca="1" si="3"/>
        <v>28555664.0625</v>
      </c>
      <c r="Q17" s="44"/>
    </row>
    <row r="18" spans="3:17" ht="15.6" x14ac:dyDescent="0.3">
      <c r="C18" s="44"/>
      <c r="D18" s="56">
        <f ca="1">+'Hoja de cronometraje'!K19</f>
        <v>85</v>
      </c>
      <c r="E18" s="60">
        <f ca="1">+'Hoja de cronometraje'!L19</f>
        <v>3190</v>
      </c>
      <c r="F18" s="60">
        <f t="shared" ca="1" si="0"/>
        <v>2711.5</v>
      </c>
      <c r="G18" s="60">
        <f t="shared" ca="1" si="1"/>
        <v>7352232.25</v>
      </c>
      <c r="H18" s="44"/>
      <c r="I18" s="44"/>
      <c r="J18" s="44"/>
      <c r="K18" s="44"/>
      <c r="L18" s="44"/>
      <c r="M18" s="60">
        <f ca="1">+'Hoja de cronometraje'!N19</f>
        <v>95</v>
      </c>
      <c r="N18" s="42">
        <f ca="1">+'Hoja de cronometraje'!O19</f>
        <v>5751</v>
      </c>
      <c r="O18" s="60">
        <f t="shared" ca="1" si="2"/>
        <v>5463.45</v>
      </c>
      <c r="P18" s="60">
        <f t="shared" ca="1" si="3"/>
        <v>29849285.9025</v>
      </c>
      <c r="Q18" s="44"/>
    </row>
    <row r="19" spans="3:17" ht="15.6" x14ac:dyDescent="0.3">
      <c r="C19" s="44"/>
      <c r="D19" s="56">
        <f ca="1">+'Hoja de cronometraje'!K20</f>
        <v>100</v>
      </c>
      <c r="E19" s="60">
        <f ca="1">+'Hoja de cronometraje'!L20</f>
        <v>3300</v>
      </c>
      <c r="F19" s="60">
        <f t="shared" ca="1" si="0"/>
        <v>3300</v>
      </c>
      <c r="G19" s="60">
        <f t="shared" ca="1" si="1"/>
        <v>10890000</v>
      </c>
      <c r="H19" s="44"/>
      <c r="I19" s="44"/>
      <c r="J19" s="44"/>
      <c r="K19" s="44"/>
      <c r="L19" s="44"/>
      <c r="M19" s="60">
        <f ca="1">+'Hoja de cronometraje'!N20</f>
        <v>95</v>
      </c>
      <c r="N19" s="42">
        <f ca="1">+'Hoja de cronometraje'!O20</f>
        <v>5653</v>
      </c>
      <c r="O19" s="60">
        <f t="shared" ca="1" si="2"/>
        <v>5370.35</v>
      </c>
      <c r="P19" s="60">
        <f t="shared" ca="1" si="3"/>
        <v>28840659.122500002</v>
      </c>
      <c r="Q19" s="44"/>
    </row>
    <row r="20" spans="3:17" ht="15.6" x14ac:dyDescent="0.3">
      <c r="C20" s="44"/>
      <c r="D20" s="56">
        <f ca="1">+'Hoja de cronometraje'!K21</f>
        <v>90</v>
      </c>
      <c r="E20" s="60">
        <f ca="1">+'Hoja de cronometraje'!L21</f>
        <v>3234</v>
      </c>
      <c r="F20" s="60">
        <f t="shared" ca="1" si="0"/>
        <v>2910.6</v>
      </c>
      <c r="G20" s="60">
        <f t="shared" ca="1" si="1"/>
        <v>8471592.3599999994</v>
      </c>
      <c r="H20" s="44"/>
      <c r="I20" s="44"/>
      <c r="J20" s="44"/>
      <c r="K20" s="44"/>
      <c r="L20" s="44"/>
      <c r="M20" s="60">
        <f ca="1">+'Hoja de cronometraje'!N21</f>
        <v>85</v>
      </c>
      <c r="N20" s="42">
        <f ca="1">+'Hoja de cronometraje'!O21</f>
        <v>5271</v>
      </c>
      <c r="O20" s="60">
        <f t="shared" ca="1" si="2"/>
        <v>4480.3500000000004</v>
      </c>
      <c r="P20" s="60">
        <f t="shared" ca="1" si="3"/>
        <v>20073536.122500002</v>
      </c>
      <c r="Q20" s="44"/>
    </row>
    <row r="21" spans="3:17" ht="15.6" x14ac:dyDescent="0.3">
      <c r="C21" s="44"/>
      <c r="D21" s="56">
        <f ca="1">+'Hoja de cronometraje'!K22</f>
        <v>105</v>
      </c>
      <c r="E21" s="60">
        <f ca="1">+'Hoja de cronometraje'!L22</f>
        <v>3180</v>
      </c>
      <c r="F21" s="60">
        <f t="shared" ca="1" si="0"/>
        <v>3339</v>
      </c>
      <c r="G21" s="60">
        <f t="shared" ca="1" si="1"/>
        <v>11148921</v>
      </c>
      <c r="H21" s="44"/>
      <c r="I21" s="44"/>
      <c r="J21" s="44"/>
      <c r="K21" s="44"/>
      <c r="L21" s="44"/>
      <c r="M21" s="60">
        <f ca="1">+'Hoja de cronometraje'!N22</f>
        <v>90</v>
      </c>
      <c r="N21" s="42">
        <f ca="1">+'Hoja de cronometraje'!O22</f>
        <v>5265</v>
      </c>
      <c r="O21" s="60">
        <f t="shared" ca="1" si="2"/>
        <v>4738.5</v>
      </c>
      <c r="P21" s="60">
        <f t="shared" ca="1" si="3"/>
        <v>22453382.25</v>
      </c>
      <c r="Q21" s="44"/>
    </row>
    <row r="22" spans="3:17" ht="15.6" x14ac:dyDescent="0.3">
      <c r="C22" s="44"/>
      <c r="D22" s="56">
        <f ca="1">+'Hoja de cronometraje'!K23</f>
        <v>95</v>
      </c>
      <c r="E22" s="60">
        <f ca="1">+'Hoja de cronometraje'!L23</f>
        <v>3211</v>
      </c>
      <c r="F22" s="60">
        <f t="shared" ca="1" si="0"/>
        <v>3050.45</v>
      </c>
      <c r="G22" s="60">
        <f t="shared" ca="1" si="1"/>
        <v>9305245.2024999987</v>
      </c>
      <c r="H22" s="44"/>
      <c r="I22" s="44"/>
      <c r="J22" s="44"/>
      <c r="K22" s="44"/>
      <c r="L22" s="44"/>
      <c r="M22" s="60">
        <f ca="1">+'Hoja de cronometraje'!N23</f>
        <v>100</v>
      </c>
      <c r="N22" s="42">
        <f ca="1">+'Hoja de cronometraje'!O23</f>
        <v>5073</v>
      </c>
      <c r="O22" s="60">
        <f t="shared" ca="1" si="2"/>
        <v>5073</v>
      </c>
      <c r="P22" s="60">
        <f t="shared" ca="1" si="3"/>
        <v>25735329</v>
      </c>
      <c r="Q22" s="44"/>
    </row>
    <row r="23" spans="3:17" ht="15.6" x14ac:dyDescent="0.3">
      <c r="C23" s="44"/>
      <c r="D23" s="56">
        <f ca="1">+'Hoja de cronometraje'!K24</f>
        <v>85</v>
      </c>
      <c r="E23" s="60">
        <f ca="1">+'Hoja de cronometraje'!L24</f>
        <v>3208</v>
      </c>
      <c r="F23" s="60">
        <f t="shared" ca="1" si="0"/>
        <v>2726.8</v>
      </c>
      <c r="G23" s="60">
        <f t="shared" ca="1" si="1"/>
        <v>7435438.2400000012</v>
      </c>
      <c r="H23" s="44"/>
      <c r="I23" s="44"/>
      <c r="J23" s="44"/>
      <c r="K23" s="44"/>
      <c r="L23" s="44"/>
      <c r="M23" s="60">
        <f ca="1">+'Hoja de cronometraje'!N24</f>
        <v>100</v>
      </c>
      <c r="N23" s="42">
        <f ca="1">+'Hoja de cronometraje'!O24</f>
        <v>5183</v>
      </c>
      <c r="O23" s="60">
        <f t="shared" ca="1" si="2"/>
        <v>5183</v>
      </c>
      <c r="P23" s="60">
        <f t="shared" ca="1" si="3"/>
        <v>26863489</v>
      </c>
      <c r="Q23" s="44"/>
    </row>
    <row r="24" spans="3:17" ht="15.6" x14ac:dyDescent="0.3">
      <c r="C24" s="44"/>
      <c r="D24" s="56">
        <f ca="1">+'Hoja de cronometraje'!K25</f>
        <v>90</v>
      </c>
      <c r="E24" s="60">
        <f ca="1">+'Hoja de cronometraje'!L25</f>
        <v>3227</v>
      </c>
      <c r="F24" s="60">
        <f t="shared" ca="1" si="0"/>
        <v>2904.3</v>
      </c>
      <c r="G24" s="60">
        <f t="shared" ca="1" si="1"/>
        <v>8434958.4900000002</v>
      </c>
      <c r="H24" s="44"/>
      <c r="I24" s="44"/>
      <c r="J24" s="44"/>
      <c r="K24" s="44"/>
      <c r="L24" s="44"/>
      <c r="M24" s="60">
        <f ca="1">+'Hoja de cronometraje'!N25</f>
        <v>90</v>
      </c>
      <c r="N24" s="42">
        <f ca="1">+'Hoja de cronometraje'!O25</f>
        <v>5256</v>
      </c>
      <c r="O24" s="60">
        <f t="shared" ca="1" si="2"/>
        <v>4730.3999999999996</v>
      </c>
      <c r="P24" s="60">
        <f t="shared" ca="1" si="3"/>
        <v>22376684.159999996</v>
      </c>
      <c r="Q24" s="44"/>
    </row>
    <row r="25" spans="3:17" ht="15.6" x14ac:dyDescent="0.3">
      <c r="C25" s="44"/>
      <c r="D25" s="57">
        <f ca="1">+'Hoja de cronometraje'!K26</f>
        <v>95</v>
      </c>
      <c r="E25" s="61">
        <f ca="1">+'Hoja de cronometraje'!L26</f>
        <v>3300</v>
      </c>
      <c r="F25" s="61">
        <f t="shared" ca="1" si="0"/>
        <v>3135</v>
      </c>
      <c r="G25" s="61">
        <f t="shared" ca="1" si="1"/>
        <v>9828225</v>
      </c>
      <c r="H25" s="44"/>
      <c r="I25" s="44"/>
      <c r="J25" s="44"/>
      <c r="K25" s="44"/>
      <c r="L25" s="44"/>
      <c r="M25" s="61">
        <f ca="1">+'Hoja de cronometraje'!N26</f>
        <v>90</v>
      </c>
      <c r="N25" s="52">
        <f ca="1">+'Hoja de cronometraje'!O26</f>
        <v>5878</v>
      </c>
      <c r="O25" s="61">
        <f t="shared" ca="1" si="2"/>
        <v>5290.2</v>
      </c>
      <c r="P25" s="61">
        <f t="shared" ca="1" si="3"/>
        <v>27986216.039999999</v>
      </c>
      <c r="Q25" s="44"/>
    </row>
    <row r="26" spans="3:17" ht="15.6" x14ac:dyDescent="0.3">
      <c r="C26" s="44"/>
      <c r="D26" s="93" t="s">
        <v>91</v>
      </c>
      <c r="E26" s="94"/>
      <c r="F26" s="59">
        <f ca="1">SUM(F6:F25)</f>
        <v>61240.85</v>
      </c>
      <c r="G26" s="59">
        <f ca="1">SUM(G6:G25)</f>
        <v>188290172.77749997</v>
      </c>
      <c r="H26" s="44"/>
      <c r="I26" s="44"/>
      <c r="J26" s="44"/>
      <c r="K26" s="44"/>
      <c r="L26" s="44"/>
      <c r="M26" s="93" t="s">
        <v>91</v>
      </c>
      <c r="N26" s="97"/>
      <c r="O26" s="59">
        <f ca="1">SUM(O6:O25)</f>
        <v>104658.65000000001</v>
      </c>
      <c r="P26" s="59">
        <f ca="1">SUM(P6:P25)</f>
        <v>549665533.12749994</v>
      </c>
      <c r="Q26" s="44"/>
    </row>
    <row r="27" spans="3:17" ht="15.6" x14ac:dyDescent="0.3">
      <c r="C27" s="44"/>
      <c r="D27" s="95" t="s">
        <v>92</v>
      </c>
      <c r="E27" s="96"/>
      <c r="F27" s="53">
        <f ca="1">+J12</f>
        <v>7</v>
      </c>
      <c r="G27" s="62" t="s">
        <v>140</v>
      </c>
      <c r="H27" s="44"/>
      <c r="I27" s="44"/>
      <c r="J27" s="44"/>
      <c r="K27" s="44"/>
      <c r="L27" s="44"/>
      <c r="M27" s="95" t="s">
        <v>92</v>
      </c>
      <c r="N27" s="96"/>
      <c r="O27" s="53">
        <f ca="1">+S12</f>
        <v>6</v>
      </c>
      <c r="P27" s="62" t="s">
        <v>140</v>
      </c>
      <c r="Q27" s="44"/>
    </row>
    <row r="28" spans="3:17" ht="15.6" x14ac:dyDescent="0.3"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</row>
    <row r="29" spans="3:17" ht="15.6" x14ac:dyDescent="0.3"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</row>
    <row r="30" spans="3:17" ht="15.6" x14ac:dyDescent="0.3">
      <c r="C30" s="44"/>
      <c r="D30" s="44"/>
      <c r="E30" s="44"/>
      <c r="F30" s="44"/>
      <c r="G30" s="98" t="str">
        <f>+'Hoja de cronometraje'!K29</f>
        <v>Elemento L</v>
      </c>
      <c r="H30" s="99"/>
      <c r="I30" s="44"/>
      <c r="J30" s="44"/>
      <c r="K30" s="44"/>
      <c r="L30" s="44"/>
      <c r="M30" s="44"/>
      <c r="N30" s="44"/>
      <c r="O30" s="44"/>
      <c r="P30" s="44"/>
      <c r="Q30" s="44"/>
    </row>
    <row r="31" spans="3:17" ht="15.6" x14ac:dyDescent="0.3"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</row>
    <row r="32" spans="3:17" ht="15.6" x14ac:dyDescent="0.3"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</row>
    <row r="33" spans="3:17" ht="15.6" x14ac:dyDescent="0.3">
      <c r="C33" s="44"/>
      <c r="D33" s="51" t="s">
        <v>18</v>
      </c>
      <c r="E33" s="64" t="s">
        <v>19</v>
      </c>
      <c r="F33" s="51" t="s">
        <v>20</v>
      </c>
      <c r="G33" s="51" t="s">
        <v>21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</row>
    <row r="34" spans="3:17" ht="15.6" x14ac:dyDescent="0.3">
      <c r="C34" s="44"/>
      <c r="D34" s="60">
        <f ca="1">+'Hoja de cronometraje'!K32</f>
        <v>95</v>
      </c>
      <c r="E34" s="42">
        <f ca="1">+'Hoja de cronometraje'!L32</f>
        <v>2170</v>
      </c>
      <c r="F34" s="60">
        <f ca="1">(D34*E34)/100</f>
        <v>2061.5</v>
      </c>
      <c r="G34" s="60">
        <f ca="1">POWER(F34,2)</f>
        <v>4249782.25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</row>
    <row r="35" spans="3:17" ht="15.6" x14ac:dyDescent="0.3">
      <c r="C35" s="44"/>
      <c r="D35" s="60">
        <f ca="1">+'Hoja de cronometraje'!K33</f>
        <v>100</v>
      </c>
      <c r="E35" s="42">
        <f ca="1">+'Hoja de cronometraje'!L33</f>
        <v>2052</v>
      </c>
      <c r="F35" s="60">
        <f t="shared" ref="F35:F53" ca="1" si="4">(D35*E35)/100</f>
        <v>2052</v>
      </c>
      <c r="G35" s="60">
        <f t="shared" ref="G35:G53" ca="1" si="5">POWER(F35,2)</f>
        <v>4210704</v>
      </c>
      <c r="H35" s="44"/>
      <c r="I35" s="45" t="s">
        <v>23</v>
      </c>
      <c r="J35" s="45">
        <f ca="1">COUNTA(E34:E53)</f>
        <v>20</v>
      </c>
      <c r="K35" s="44"/>
      <c r="L35" s="44"/>
      <c r="M35" s="44"/>
      <c r="N35" s="44"/>
      <c r="O35" s="44"/>
      <c r="P35" s="44"/>
      <c r="Q35" s="44"/>
    </row>
    <row r="36" spans="3:17" ht="15.6" x14ac:dyDescent="0.3">
      <c r="C36" s="44"/>
      <c r="D36" s="60">
        <f ca="1">+'Hoja de cronometraje'!K34</f>
        <v>100</v>
      </c>
      <c r="E36" s="42">
        <f ca="1">+'Hoja de cronometraje'!L34</f>
        <v>2220</v>
      </c>
      <c r="F36" s="60">
        <f t="shared" ca="1" si="4"/>
        <v>2220</v>
      </c>
      <c r="G36" s="60">
        <f t="shared" ca="1" si="5"/>
        <v>4928400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3:17" ht="15.6" x14ac:dyDescent="0.3">
      <c r="C37" s="44"/>
      <c r="D37" s="60">
        <f ca="1">+'Hoja de cronometraje'!K35</f>
        <v>100</v>
      </c>
      <c r="E37" s="42">
        <f ca="1">+'Hoja de cronometraje'!L35</f>
        <v>2213</v>
      </c>
      <c r="F37" s="60">
        <f t="shared" ca="1" si="4"/>
        <v>2213</v>
      </c>
      <c r="G37" s="60">
        <f t="shared" ca="1" si="5"/>
        <v>4897369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3:17" ht="15.6" x14ac:dyDescent="0.3">
      <c r="C38" s="44"/>
      <c r="D38" s="60">
        <f ca="1">+'Hoja de cronometraje'!K36</f>
        <v>105</v>
      </c>
      <c r="E38" s="42">
        <f ca="1">+'Hoja de cronometraje'!L36</f>
        <v>2017</v>
      </c>
      <c r="F38" s="60">
        <f t="shared" ca="1" si="4"/>
        <v>2117.85</v>
      </c>
      <c r="G38" s="60">
        <f t="shared" ca="1" si="5"/>
        <v>4485288.6224999996</v>
      </c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3:17" ht="15.6" x14ac:dyDescent="0.3">
      <c r="C39" s="44"/>
      <c r="D39" s="60">
        <f ca="1">+'Hoja de cronometraje'!K37</f>
        <v>95</v>
      </c>
      <c r="E39" s="42">
        <f ca="1">+'Hoja de cronometraje'!L37</f>
        <v>2163</v>
      </c>
      <c r="F39" s="60">
        <f t="shared" ca="1" si="4"/>
        <v>2054.85</v>
      </c>
      <c r="G39" s="60">
        <f t="shared" ca="1" si="5"/>
        <v>4222408.5225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</row>
    <row r="40" spans="3:17" ht="15.6" x14ac:dyDescent="0.3">
      <c r="C40" s="44"/>
      <c r="D40" s="60">
        <f ca="1">+'Hoja de cronometraje'!K38</f>
        <v>90</v>
      </c>
      <c r="E40" s="42">
        <f ca="1">+'Hoja de cronometraje'!L38</f>
        <v>2274</v>
      </c>
      <c r="F40" s="60">
        <f t="shared" ca="1" si="4"/>
        <v>2046.6</v>
      </c>
      <c r="G40" s="60">
        <f t="shared" ca="1" si="5"/>
        <v>4188571.5599999996</v>
      </c>
      <c r="H40" s="44"/>
      <c r="I40" s="45" t="s">
        <v>22</v>
      </c>
      <c r="J40" s="45">
        <f ca="1">ROUNDUP(POWER(((40*SQRT((J35*G54)-POWER(F54,2)))/F54),2),0)</f>
        <v>7</v>
      </c>
      <c r="K40" s="44"/>
      <c r="L40" s="44"/>
      <c r="M40" s="44"/>
      <c r="N40" s="44"/>
      <c r="O40" s="44"/>
      <c r="P40" s="44"/>
      <c r="Q40" s="44"/>
    </row>
    <row r="41" spans="3:17" ht="15.6" x14ac:dyDescent="0.3">
      <c r="C41" s="44"/>
      <c r="D41" s="60">
        <f ca="1">+'Hoja de cronometraje'!K39</f>
        <v>85</v>
      </c>
      <c r="E41" s="42">
        <f ca="1">+'Hoja de cronometraje'!L39</f>
        <v>2266</v>
      </c>
      <c r="F41" s="60">
        <f t="shared" ca="1" si="4"/>
        <v>1926.1</v>
      </c>
      <c r="G41" s="60">
        <f t="shared" ca="1" si="5"/>
        <v>3709861.2099999995</v>
      </c>
      <c r="H41" s="44"/>
      <c r="I41" s="44"/>
      <c r="J41" s="44"/>
      <c r="K41" s="44"/>
      <c r="L41" s="44"/>
      <c r="M41" s="44"/>
      <c r="N41" s="44"/>
      <c r="O41" s="44"/>
      <c r="P41" s="44"/>
      <c r="Q41" s="44"/>
    </row>
    <row r="42" spans="3:17" ht="15.6" x14ac:dyDescent="0.3">
      <c r="C42" s="44"/>
      <c r="D42" s="60">
        <f ca="1">+'Hoja de cronometraje'!K40</f>
        <v>105</v>
      </c>
      <c r="E42" s="42">
        <f ca="1">+'Hoja de cronometraje'!L40</f>
        <v>2065</v>
      </c>
      <c r="F42" s="60">
        <f t="shared" ca="1" si="4"/>
        <v>2168.25</v>
      </c>
      <c r="G42" s="60">
        <f t="shared" ca="1" si="5"/>
        <v>4701308.0625</v>
      </c>
      <c r="H42" s="44"/>
      <c r="I42" s="44"/>
      <c r="J42" s="44"/>
      <c r="K42" s="44"/>
      <c r="L42" s="44"/>
      <c r="M42" s="44"/>
      <c r="N42" s="44"/>
      <c r="O42" s="44"/>
      <c r="P42" s="44"/>
      <c r="Q42" s="44"/>
    </row>
    <row r="43" spans="3:17" ht="15.6" x14ac:dyDescent="0.3">
      <c r="C43" s="44"/>
      <c r="D43" s="60">
        <f ca="1">+'Hoja de cronometraje'!K41</f>
        <v>95</v>
      </c>
      <c r="E43" s="42">
        <f ca="1">+'Hoja de cronometraje'!L41</f>
        <v>2225</v>
      </c>
      <c r="F43" s="60">
        <f t="shared" ca="1" si="4"/>
        <v>2113.75</v>
      </c>
      <c r="G43" s="60">
        <f t="shared" ca="1" si="5"/>
        <v>4467939.0625</v>
      </c>
      <c r="H43" s="44"/>
      <c r="I43" s="44"/>
      <c r="J43" s="44"/>
      <c r="K43" s="44"/>
      <c r="L43" s="44"/>
      <c r="M43" s="44"/>
      <c r="N43" s="44"/>
      <c r="O43" s="44"/>
      <c r="P43" s="44"/>
      <c r="Q43" s="44"/>
    </row>
    <row r="44" spans="3:17" ht="15.6" x14ac:dyDescent="0.3">
      <c r="C44" s="44"/>
      <c r="D44" s="60">
        <f ca="1">+'Hoja de cronometraje'!K42</f>
        <v>100</v>
      </c>
      <c r="E44" s="42">
        <f ca="1">+'Hoja de cronometraje'!L42</f>
        <v>2067</v>
      </c>
      <c r="F44" s="60">
        <f t="shared" ca="1" si="4"/>
        <v>2067</v>
      </c>
      <c r="G44" s="60">
        <f t="shared" ca="1" si="5"/>
        <v>4272489</v>
      </c>
      <c r="H44" s="44"/>
      <c r="I44" s="44"/>
      <c r="J44" s="44"/>
      <c r="K44" s="44"/>
      <c r="L44" s="44"/>
      <c r="M44" s="44"/>
      <c r="N44" s="44"/>
      <c r="O44" s="44"/>
      <c r="P44" s="44"/>
      <c r="Q44" s="44"/>
    </row>
    <row r="45" spans="3:17" ht="15.6" x14ac:dyDescent="0.3">
      <c r="C45" s="44"/>
      <c r="D45" s="60">
        <f ca="1">+'Hoja de cronometraje'!K43</f>
        <v>85</v>
      </c>
      <c r="E45" s="42">
        <f ca="1">+'Hoja de cronometraje'!L43</f>
        <v>2271</v>
      </c>
      <c r="F45" s="60">
        <f t="shared" ca="1" si="4"/>
        <v>1930.35</v>
      </c>
      <c r="G45" s="60">
        <f t="shared" ca="1" si="5"/>
        <v>3726251.1224999996</v>
      </c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3:17" ht="15.6" x14ac:dyDescent="0.3">
      <c r="C46" s="44"/>
      <c r="D46" s="60">
        <f ca="1">+'Hoja de cronometraje'!K44</f>
        <v>85</v>
      </c>
      <c r="E46" s="42">
        <f ca="1">+'Hoja de cronometraje'!L44</f>
        <v>2108</v>
      </c>
      <c r="F46" s="60">
        <f t="shared" ca="1" si="4"/>
        <v>1791.8</v>
      </c>
      <c r="G46" s="60">
        <f t="shared" ca="1" si="5"/>
        <v>3210547.2399999998</v>
      </c>
      <c r="H46" s="44"/>
      <c r="I46" s="44"/>
      <c r="J46" s="44"/>
      <c r="K46" s="44"/>
      <c r="L46" s="44"/>
      <c r="M46" s="44"/>
      <c r="N46" s="44"/>
      <c r="O46" s="44"/>
      <c r="P46" s="44"/>
      <c r="Q46" s="44"/>
    </row>
    <row r="47" spans="3:17" ht="15.6" x14ac:dyDescent="0.3">
      <c r="C47" s="44"/>
      <c r="D47" s="60">
        <f ca="1">+'Hoja de cronometraje'!K45</f>
        <v>95</v>
      </c>
      <c r="E47" s="42">
        <f ca="1">+'Hoja de cronometraje'!L45</f>
        <v>2247</v>
      </c>
      <c r="F47" s="60">
        <f t="shared" ca="1" si="4"/>
        <v>2134.65</v>
      </c>
      <c r="G47" s="60">
        <f t="shared" ca="1" si="5"/>
        <v>4556730.6225000005</v>
      </c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3:17" ht="15.6" x14ac:dyDescent="0.3">
      <c r="C48" s="44"/>
      <c r="D48" s="60">
        <f ca="1">+'Hoja de cronometraje'!K46</f>
        <v>105</v>
      </c>
      <c r="E48" s="42">
        <f ca="1">+'Hoja de cronometraje'!L46</f>
        <v>2297</v>
      </c>
      <c r="F48" s="60">
        <f t="shared" ca="1" si="4"/>
        <v>2411.85</v>
      </c>
      <c r="G48" s="60">
        <f t="shared" ca="1" si="5"/>
        <v>5817020.4224999994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</row>
    <row r="49" spans="3:17" ht="15.6" x14ac:dyDescent="0.3">
      <c r="C49" s="44"/>
      <c r="D49" s="60">
        <f ca="1">+'Hoja de cronometraje'!K47</f>
        <v>90</v>
      </c>
      <c r="E49" s="42">
        <f ca="1">+'Hoja de cronometraje'!L47</f>
        <v>2057</v>
      </c>
      <c r="F49" s="60">
        <f t="shared" ca="1" si="4"/>
        <v>1851.3</v>
      </c>
      <c r="G49" s="60">
        <f t="shared" ca="1" si="5"/>
        <v>3427311.69</v>
      </c>
      <c r="H49" s="44"/>
      <c r="I49" s="44"/>
      <c r="J49" s="44"/>
      <c r="K49" s="44"/>
      <c r="L49" s="44"/>
      <c r="M49" s="44"/>
      <c r="N49" s="44"/>
      <c r="O49" s="44"/>
      <c r="P49" s="44"/>
      <c r="Q49" s="44"/>
    </row>
    <row r="50" spans="3:17" ht="15.6" x14ac:dyDescent="0.3">
      <c r="C50" s="44"/>
      <c r="D50" s="60">
        <f ca="1">+'Hoja de cronometraje'!K48</f>
        <v>100</v>
      </c>
      <c r="E50" s="42">
        <f ca="1">+'Hoja de cronometraje'!L48</f>
        <v>2127</v>
      </c>
      <c r="F50" s="60">
        <f t="shared" ca="1" si="4"/>
        <v>2127</v>
      </c>
      <c r="G50" s="60">
        <f t="shared" ca="1" si="5"/>
        <v>4524129</v>
      </c>
      <c r="H50" s="44"/>
      <c r="I50" s="44"/>
      <c r="J50" s="44"/>
      <c r="K50" s="44"/>
      <c r="L50" s="44"/>
      <c r="M50" s="44"/>
      <c r="N50" s="44"/>
      <c r="O50" s="44"/>
      <c r="P50" s="44"/>
      <c r="Q50" s="44"/>
    </row>
    <row r="51" spans="3:17" ht="15.6" x14ac:dyDescent="0.3">
      <c r="C51" s="44"/>
      <c r="D51" s="60">
        <f ca="1">+'Hoja de cronometraje'!K49</f>
        <v>90</v>
      </c>
      <c r="E51" s="42">
        <f ca="1">+'Hoja de cronometraje'!L49</f>
        <v>2254</v>
      </c>
      <c r="F51" s="60">
        <f t="shared" ca="1" si="4"/>
        <v>2028.6</v>
      </c>
      <c r="G51" s="60">
        <f t="shared" ca="1" si="5"/>
        <v>4115217.9599999995</v>
      </c>
      <c r="H51" s="44"/>
      <c r="I51" s="44"/>
      <c r="J51" s="44"/>
      <c r="K51" s="44"/>
      <c r="L51" s="44"/>
      <c r="M51" s="44"/>
      <c r="N51" s="44"/>
      <c r="O51" s="44"/>
      <c r="P51" s="44"/>
      <c r="Q51" s="44"/>
    </row>
    <row r="52" spans="3:17" ht="15.6" x14ac:dyDescent="0.3">
      <c r="C52" s="44"/>
      <c r="D52" s="60">
        <f ca="1">+'Hoja de cronometraje'!K50</f>
        <v>95</v>
      </c>
      <c r="E52" s="42">
        <f ca="1">+'Hoja de cronometraje'!L50</f>
        <v>2166</v>
      </c>
      <c r="F52" s="60">
        <f t="shared" ca="1" si="4"/>
        <v>2057.6999999999998</v>
      </c>
      <c r="G52" s="60">
        <f t="shared" ca="1" si="5"/>
        <v>4234129.2899999991</v>
      </c>
      <c r="H52" s="44"/>
      <c r="I52" s="44"/>
      <c r="J52" s="44"/>
      <c r="K52" s="44"/>
      <c r="L52" s="44"/>
      <c r="M52" s="44"/>
      <c r="N52" s="44"/>
      <c r="O52" s="44"/>
      <c r="P52" s="44"/>
      <c r="Q52" s="44"/>
    </row>
    <row r="53" spans="3:17" ht="15.6" x14ac:dyDescent="0.3">
      <c r="C53" s="44"/>
      <c r="D53" s="61">
        <f ca="1">+'Hoja de cronometraje'!K51</f>
        <v>100</v>
      </c>
      <c r="E53" s="52">
        <f ca="1">+'Hoja de cronometraje'!L51</f>
        <v>2211</v>
      </c>
      <c r="F53" s="61">
        <f t="shared" ca="1" si="4"/>
        <v>2211</v>
      </c>
      <c r="G53" s="61">
        <f t="shared" ca="1" si="5"/>
        <v>4888521</v>
      </c>
      <c r="H53" s="44"/>
      <c r="I53" s="44"/>
      <c r="J53" s="44"/>
      <c r="K53" s="44"/>
      <c r="L53" s="44"/>
      <c r="M53" s="44"/>
      <c r="N53" s="44"/>
      <c r="O53" s="44"/>
      <c r="P53" s="44"/>
      <c r="Q53" s="44"/>
    </row>
    <row r="54" spans="3:17" ht="15.6" x14ac:dyDescent="0.3">
      <c r="C54" s="44"/>
      <c r="D54" s="93" t="s">
        <v>91</v>
      </c>
      <c r="E54" s="97"/>
      <c r="F54" s="59">
        <f ca="1">SUM(F34:F53)</f>
        <v>41585.149999999994</v>
      </c>
      <c r="G54" s="59">
        <f ca="1">SUM(G34:G53)</f>
        <v>86833979.637499988</v>
      </c>
      <c r="H54" s="44"/>
      <c r="I54" s="44"/>
      <c r="J54" s="44"/>
      <c r="K54" s="44"/>
      <c r="L54" s="44"/>
      <c r="M54" s="44"/>
      <c r="N54" s="44"/>
      <c r="O54" s="44"/>
      <c r="P54" s="44"/>
      <c r="Q54" s="44"/>
    </row>
    <row r="55" spans="3:17" ht="15.6" x14ac:dyDescent="0.3">
      <c r="C55" s="44"/>
      <c r="D55" s="95" t="s">
        <v>92</v>
      </c>
      <c r="E55" s="96"/>
      <c r="F55" s="53">
        <f ca="1">+J40</f>
        <v>7</v>
      </c>
      <c r="G55" s="62" t="s">
        <v>140</v>
      </c>
      <c r="H55" s="44"/>
      <c r="I55" s="44"/>
      <c r="J55" s="44"/>
      <c r="K55" s="44"/>
      <c r="L55" s="44"/>
      <c r="M55" s="44"/>
      <c r="N55" s="44"/>
      <c r="O55" s="44"/>
      <c r="P55" s="44"/>
      <c r="Q55" s="44"/>
    </row>
    <row r="56" spans="3:17" ht="15.6" x14ac:dyDescent="0.3"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3:17" ht="15.6" x14ac:dyDescent="0.3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3:17" ht="15.6" x14ac:dyDescent="0.3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3:17" ht="15.6" x14ac:dyDescent="0.3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</sheetData>
  <mergeCells count="9">
    <mergeCell ref="D26:E26"/>
    <mergeCell ref="D27:E27"/>
    <mergeCell ref="D54:E54"/>
    <mergeCell ref="D55:E55"/>
    <mergeCell ref="P2:Q2"/>
    <mergeCell ref="M26:N26"/>
    <mergeCell ref="M27:N27"/>
    <mergeCell ref="G2:H2"/>
    <mergeCell ref="G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O200"/>
  <sheetViews>
    <sheetView topLeftCell="A112" zoomScaleNormal="100" workbookViewId="0">
      <selection activeCell="L102" sqref="L102"/>
    </sheetView>
  </sheetViews>
  <sheetFormatPr baseColWidth="10" defaultRowHeight="14.4" x14ac:dyDescent="0.3"/>
  <cols>
    <col min="4" max="4" width="14.44140625" bestFit="1" customWidth="1"/>
  </cols>
  <sheetData>
    <row r="1" spans="1:15" x14ac:dyDescent="0.3">
      <c r="C1" s="16"/>
      <c r="D1" s="16"/>
      <c r="E1" s="16"/>
      <c r="F1" s="16"/>
      <c r="G1" s="16"/>
    </row>
    <row r="2" spans="1:15" x14ac:dyDescent="0.3">
      <c r="C2" s="16"/>
      <c r="D2" s="16"/>
      <c r="E2" s="16"/>
      <c r="F2" s="16"/>
      <c r="G2" s="16"/>
    </row>
    <row r="3" spans="1:15" x14ac:dyDescent="0.3">
      <c r="C3" s="16"/>
      <c r="D3" s="16"/>
      <c r="E3" s="101" t="str">
        <f>+'Hoja de cronometraje'!K4</f>
        <v>Elemento M</v>
      </c>
      <c r="F3" s="101"/>
      <c r="G3" s="16"/>
    </row>
    <row r="4" spans="1:15" ht="15.6" x14ac:dyDescent="0.3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spans="1:15" ht="15.6" x14ac:dyDescent="0.3">
      <c r="A5" s="42"/>
      <c r="B5" s="52"/>
      <c r="C5" s="52"/>
      <c r="D5" s="52"/>
      <c r="E5" s="52"/>
      <c r="F5" s="52"/>
      <c r="G5" s="42"/>
      <c r="H5" s="42"/>
      <c r="I5" s="42"/>
      <c r="J5" s="42"/>
      <c r="K5" s="42"/>
      <c r="L5" s="42"/>
      <c r="M5" s="42"/>
      <c r="N5" s="42"/>
      <c r="O5" s="42"/>
    </row>
    <row r="6" spans="1:15" ht="15.6" x14ac:dyDescent="0.3">
      <c r="A6" s="42"/>
      <c r="B6" s="51" t="s">
        <v>26</v>
      </c>
      <c r="C6" s="70" t="s">
        <v>93</v>
      </c>
      <c r="D6" s="51" t="s">
        <v>94</v>
      </c>
      <c r="E6" s="70" t="s">
        <v>27</v>
      </c>
      <c r="F6" s="51" t="s">
        <v>95</v>
      </c>
      <c r="G6" s="42"/>
      <c r="H6" s="42"/>
      <c r="I6" s="42"/>
      <c r="J6" s="42"/>
      <c r="K6" s="42"/>
      <c r="L6" s="42"/>
      <c r="M6" s="42"/>
      <c r="N6" s="42"/>
      <c r="O6" s="42"/>
    </row>
    <row r="7" spans="1:15" ht="15.6" x14ac:dyDescent="0.3">
      <c r="A7" s="42"/>
      <c r="B7" s="60">
        <f ca="1">+'N° de Obs.'!D6</f>
        <v>90</v>
      </c>
      <c r="C7" s="42">
        <f ca="1">+'N° de Obs.'!E6</f>
        <v>3337</v>
      </c>
      <c r="D7" s="60">
        <f ca="1">+ROUND($B$29*$C$29/C7,2)</f>
        <v>91.76</v>
      </c>
      <c r="E7" s="42">
        <f ca="1">+J7</f>
        <v>90</v>
      </c>
      <c r="F7" s="60">
        <f ca="1">+B7-E7</f>
        <v>0</v>
      </c>
      <c r="G7" s="42"/>
      <c r="H7" s="42">
        <f ca="1">+ROUND(D7,1)</f>
        <v>91.8</v>
      </c>
      <c r="I7" s="66" t="str">
        <f ca="1">+RIGHT(H7*10,2)</f>
        <v>18</v>
      </c>
      <c r="J7" s="42" cm="1">
        <f t="array" aca="1" ref="J7" ca="1">+_xlfn.IFS(AND(I7&gt;="0",I7&lt;"25"),H7-(I7/10),AND(I7&gt;="25",I7&lt;"50"),H7+(5-(I7/10)),AND(I7&gt;="50",I7&lt;"75"),H7-((I7-50)/10),I7&gt;="75",H7+(10-(I7/10)))</f>
        <v>90</v>
      </c>
      <c r="K7" s="42">
        <f ca="1">+ABS(F7)</f>
        <v>0</v>
      </c>
      <c r="L7" s="42"/>
      <c r="M7" s="42"/>
      <c r="N7" s="42"/>
      <c r="O7" s="42"/>
    </row>
    <row r="8" spans="1:15" ht="15.6" x14ac:dyDescent="0.3">
      <c r="A8" s="42"/>
      <c r="B8" s="60">
        <f ca="1">+'N° de Obs.'!D7</f>
        <v>100</v>
      </c>
      <c r="C8" s="42">
        <f ca="1">+'N° de Obs.'!E7</f>
        <v>3276</v>
      </c>
      <c r="D8" s="60">
        <f t="shared" ref="D8:D26" ca="1" si="0">+ROUND($B$29*$C$29/C8,2)</f>
        <v>93.47</v>
      </c>
      <c r="E8" s="42">
        <f t="shared" ref="E8:E26" ca="1" si="1">+J8</f>
        <v>95</v>
      </c>
      <c r="F8" s="60">
        <f t="shared" ref="F8:F26" ca="1" si="2">+B8-E8</f>
        <v>5</v>
      </c>
      <c r="G8" s="42"/>
      <c r="H8" s="42">
        <f t="shared" ref="H8:H26" ca="1" si="3">+ROUND(D8,1)</f>
        <v>93.5</v>
      </c>
      <c r="I8" s="66" t="str">
        <f t="shared" ref="I8:I26" ca="1" si="4">+RIGHT(H8*10,2)</f>
        <v>35</v>
      </c>
      <c r="J8" s="42" cm="1">
        <f t="array" aca="1" ref="J8" ca="1">+_xlfn.IFS(AND(I8&gt;="0",I8&lt;"25"),H8-(I8/10),AND(I8&gt;="25",I8&lt;"50"),H8+(5-(I8/10)),AND(I8&gt;="50",I8&lt;"75"),H8-((I8-50)/10),I8&gt;="75",H8+(10-(I8/10)))</f>
        <v>95</v>
      </c>
      <c r="K8" s="42">
        <f t="shared" ref="K8:K26" ca="1" si="5">+ABS(F8)</f>
        <v>5</v>
      </c>
      <c r="L8" s="42"/>
      <c r="M8" s="42"/>
      <c r="N8" s="42"/>
      <c r="O8" s="42"/>
    </row>
    <row r="9" spans="1:15" ht="15.6" x14ac:dyDescent="0.3">
      <c r="A9" s="42"/>
      <c r="B9" s="60">
        <f ca="1">+'N° de Obs.'!D8</f>
        <v>105</v>
      </c>
      <c r="C9" s="42">
        <f ca="1">+'N° de Obs.'!E8</f>
        <v>3165</v>
      </c>
      <c r="D9" s="60">
        <f t="shared" ca="1" si="0"/>
        <v>96.75</v>
      </c>
      <c r="E9" s="42">
        <f t="shared" ca="1" si="1"/>
        <v>95</v>
      </c>
      <c r="F9" s="60">
        <f t="shared" ca="1" si="2"/>
        <v>10</v>
      </c>
      <c r="G9" s="42"/>
      <c r="H9" s="42">
        <f t="shared" ca="1" si="3"/>
        <v>96.8</v>
      </c>
      <c r="I9" s="66" t="str">
        <f t="shared" ca="1" si="4"/>
        <v>68</v>
      </c>
      <c r="J9" s="42" cm="1">
        <f t="array" aca="1" ref="J9" ca="1">+_xlfn.IFS(AND(I9&gt;="0",I9&lt;"25"),H9-(I9/10),AND(I9&gt;="25",I9&lt;"50"),H9+(5-(I9/10)),AND(I9&gt;="50",I9&lt;"75"),H9-((I9-50)/10),I9&gt;="75",H9+(10-(I9/10)))</f>
        <v>95</v>
      </c>
      <c r="K9" s="42">
        <f t="shared" ca="1" si="5"/>
        <v>10</v>
      </c>
      <c r="L9" s="42"/>
      <c r="M9" s="42"/>
      <c r="N9" s="42"/>
      <c r="O9" s="42"/>
    </row>
    <row r="10" spans="1:15" ht="15.6" x14ac:dyDescent="0.3">
      <c r="A10" s="42"/>
      <c r="B10" s="60">
        <f ca="1">+'N° de Obs.'!D9</f>
        <v>95</v>
      </c>
      <c r="C10" s="42">
        <f ca="1">+'N° de Obs.'!E9</f>
        <v>3206</v>
      </c>
      <c r="D10" s="60">
        <f t="shared" ca="1" si="0"/>
        <v>95.51</v>
      </c>
      <c r="E10" s="42">
        <f t="shared" ca="1" si="1"/>
        <v>95</v>
      </c>
      <c r="F10" s="60">
        <f t="shared" ca="1" si="2"/>
        <v>0</v>
      </c>
      <c r="G10" s="42"/>
      <c r="H10" s="42">
        <f t="shared" ca="1" si="3"/>
        <v>95.5</v>
      </c>
      <c r="I10" s="66" t="str">
        <f t="shared" ca="1" si="4"/>
        <v>55</v>
      </c>
      <c r="J10" s="42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42">
        <f t="shared" ca="1" si="5"/>
        <v>0</v>
      </c>
      <c r="L10" s="42"/>
      <c r="M10" s="42"/>
      <c r="N10" s="42"/>
      <c r="O10" s="42"/>
    </row>
    <row r="11" spans="1:15" ht="15.6" x14ac:dyDescent="0.3">
      <c r="A11" s="42"/>
      <c r="B11" s="60">
        <f ca="1">+'N° de Obs.'!D10</f>
        <v>100</v>
      </c>
      <c r="C11" s="42">
        <f ca="1">+'N° de Obs.'!E10</f>
        <v>3114</v>
      </c>
      <c r="D11" s="60">
        <f t="shared" ca="1" si="0"/>
        <v>98.33</v>
      </c>
      <c r="E11" s="42">
        <f t="shared" ca="1" si="1"/>
        <v>100</v>
      </c>
      <c r="F11" s="60">
        <f t="shared" ca="1" si="2"/>
        <v>0</v>
      </c>
      <c r="G11" s="42"/>
      <c r="H11" s="42">
        <f t="shared" ca="1" si="3"/>
        <v>98.3</v>
      </c>
      <c r="I11" s="66" t="str">
        <f t="shared" ca="1" si="4"/>
        <v>83</v>
      </c>
      <c r="J11" s="42" cm="1">
        <f t="array" aca="1" ref="J11" ca="1">+_xlfn.IFS(AND(I11&gt;="0",I11&lt;"25"),H11-(I11/10),AND(I11&gt;="25",I11&lt;"50"),H11+(5-(I11/10)),AND(I11&gt;="50",I11&lt;"75"),H11-((I11-50)/10),I11&gt;="75",H11+(10-(I11/10)))</f>
        <v>100</v>
      </c>
      <c r="K11" s="42">
        <f t="shared" ca="1" si="5"/>
        <v>0</v>
      </c>
      <c r="L11" s="42"/>
      <c r="M11" s="42"/>
      <c r="N11" s="42"/>
      <c r="O11" s="42"/>
    </row>
    <row r="12" spans="1:15" ht="15.6" x14ac:dyDescent="0.3">
      <c r="A12" s="42"/>
      <c r="B12" s="60">
        <f ca="1">+'N° de Obs.'!D11</f>
        <v>90</v>
      </c>
      <c r="C12" s="42">
        <f ca="1">+'N° de Obs.'!E11</f>
        <v>3247</v>
      </c>
      <c r="D12" s="60">
        <f t="shared" ca="1" si="0"/>
        <v>94.3</v>
      </c>
      <c r="E12" s="42">
        <f t="shared" ca="1" si="1"/>
        <v>95</v>
      </c>
      <c r="F12" s="60">
        <f t="shared" ca="1" si="2"/>
        <v>-5</v>
      </c>
      <c r="G12" s="42"/>
      <c r="H12" s="42">
        <f t="shared" ca="1" si="3"/>
        <v>94.3</v>
      </c>
      <c r="I12" s="66" t="str">
        <f t="shared" ca="1" si="4"/>
        <v>43</v>
      </c>
      <c r="J12" s="42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2">
        <f t="shared" ca="1" si="5"/>
        <v>5</v>
      </c>
      <c r="L12" s="42"/>
      <c r="M12" s="42"/>
      <c r="N12" s="42"/>
      <c r="O12" s="42"/>
    </row>
    <row r="13" spans="1:15" ht="15.6" x14ac:dyDescent="0.3">
      <c r="A13" s="42"/>
      <c r="B13" s="60">
        <f ca="1">+'N° de Obs.'!D12</f>
        <v>90</v>
      </c>
      <c r="C13" s="42">
        <f ca="1">+'N° de Obs.'!E12</f>
        <v>3340</v>
      </c>
      <c r="D13" s="60">
        <f t="shared" ca="1" si="0"/>
        <v>91.68</v>
      </c>
      <c r="E13" s="42">
        <f t="shared" ca="1" si="1"/>
        <v>90</v>
      </c>
      <c r="F13" s="60">
        <f t="shared" ca="1" si="2"/>
        <v>0</v>
      </c>
      <c r="G13" s="42"/>
      <c r="H13" s="42">
        <f t="shared" ca="1" si="3"/>
        <v>91.7</v>
      </c>
      <c r="I13" s="66" t="str">
        <f t="shared" ca="1" si="4"/>
        <v>17</v>
      </c>
      <c r="J13" s="42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42">
        <f t="shared" ca="1" si="5"/>
        <v>0</v>
      </c>
      <c r="L13" s="42"/>
      <c r="M13" s="42"/>
      <c r="N13" s="42"/>
      <c r="O13" s="42"/>
    </row>
    <row r="14" spans="1:15" ht="15.6" x14ac:dyDescent="0.3">
      <c r="A14" s="42"/>
      <c r="B14" s="60">
        <f ca="1">+'N° de Obs.'!D13</f>
        <v>100</v>
      </c>
      <c r="C14" s="42">
        <f ca="1">+'N° de Obs.'!E13</f>
        <v>3264</v>
      </c>
      <c r="D14" s="60">
        <f t="shared" ca="1" si="0"/>
        <v>93.81</v>
      </c>
      <c r="E14" s="42">
        <f t="shared" ca="1" si="1"/>
        <v>95</v>
      </c>
      <c r="F14" s="60">
        <f t="shared" ca="1" si="2"/>
        <v>5</v>
      </c>
      <c r="G14" s="42"/>
      <c r="H14" s="42">
        <f t="shared" ca="1" si="3"/>
        <v>93.8</v>
      </c>
      <c r="I14" s="66" t="str">
        <f t="shared" ca="1" si="4"/>
        <v>38</v>
      </c>
      <c r="J14" s="42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42">
        <f t="shared" ca="1" si="5"/>
        <v>5</v>
      </c>
      <c r="L14" s="42"/>
      <c r="M14" s="42"/>
      <c r="N14" s="42"/>
      <c r="O14" s="42"/>
    </row>
    <row r="15" spans="1:15" ht="15.6" x14ac:dyDescent="0.3">
      <c r="A15" s="42"/>
      <c r="B15" s="60">
        <f ca="1">+'N° de Obs.'!D14</f>
        <v>95</v>
      </c>
      <c r="C15" s="42">
        <f ca="1">+'N° de Obs.'!E14</f>
        <v>3296</v>
      </c>
      <c r="D15" s="60">
        <f t="shared" ca="1" si="0"/>
        <v>92.9</v>
      </c>
      <c r="E15" s="42">
        <f t="shared" ca="1" si="1"/>
        <v>95</v>
      </c>
      <c r="F15" s="60">
        <f t="shared" ca="1" si="2"/>
        <v>0</v>
      </c>
      <c r="G15" s="42"/>
      <c r="H15" s="42">
        <f t="shared" ca="1" si="3"/>
        <v>92.9</v>
      </c>
      <c r="I15" s="66" t="str">
        <f t="shared" ca="1" si="4"/>
        <v>29</v>
      </c>
      <c r="J15" s="42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42">
        <f t="shared" ca="1" si="5"/>
        <v>0</v>
      </c>
      <c r="L15" s="42"/>
      <c r="M15" s="42"/>
      <c r="N15" s="42"/>
      <c r="O15" s="42"/>
    </row>
    <row r="16" spans="1:15" ht="15.6" x14ac:dyDescent="0.3">
      <c r="A16" s="42"/>
      <c r="B16" s="60">
        <f ca="1">+'N° de Obs.'!D15</f>
        <v>85</v>
      </c>
      <c r="C16" s="42">
        <f ca="1">+'N° de Obs.'!E15</f>
        <v>3313</v>
      </c>
      <c r="D16" s="60">
        <f t="shared" ca="1" si="0"/>
        <v>92.42</v>
      </c>
      <c r="E16" s="42">
        <f t="shared" ca="1" si="1"/>
        <v>90</v>
      </c>
      <c r="F16" s="60">
        <f t="shared" ca="1" si="2"/>
        <v>-5</v>
      </c>
      <c r="G16" s="42"/>
      <c r="H16" s="42">
        <f t="shared" ca="1" si="3"/>
        <v>92.4</v>
      </c>
      <c r="I16" s="66" t="str">
        <f t="shared" ca="1" si="4"/>
        <v>24</v>
      </c>
      <c r="J16" s="42" cm="1">
        <f t="array" aca="1" ref="J16" ca="1">+_xlfn.IFS(AND(I16&gt;="0",I16&lt;"25"),H16-(I16/10),AND(I16&gt;="25",I16&lt;"50"),H16+(5-(I16/10)),AND(I16&gt;="50",I16&lt;"75"),H16-((I16-50)/10),I16&gt;="75",H16+(10-(I16/10)))</f>
        <v>90</v>
      </c>
      <c r="K16" s="42">
        <f t="shared" ca="1" si="5"/>
        <v>5</v>
      </c>
      <c r="L16" s="42"/>
      <c r="M16" s="42"/>
      <c r="N16" s="42"/>
      <c r="O16" s="42"/>
    </row>
    <row r="17" spans="1:15" ht="15.6" x14ac:dyDescent="0.3">
      <c r="A17" s="42"/>
      <c r="B17" s="60">
        <f ca="1">+'N° de Obs.'!D16</f>
        <v>90</v>
      </c>
      <c r="C17" s="42">
        <f ca="1">+'N° de Obs.'!E16</f>
        <v>3246</v>
      </c>
      <c r="D17" s="60">
        <f t="shared" ca="1" si="0"/>
        <v>94.33</v>
      </c>
      <c r="E17" s="42">
        <f t="shared" ca="1" si="1"/>
        <v>95</v>
      </c>
      <c r="F17" s="60">
        <f t="shared" ca="1" si="2"/>
        <v>-5</v>
      </c>
      <c r="G17" s="42"/>
      <c r="H17" s="42">
        <f t="shared" ca="1" si="3"/>
        <v>94.3</v>
      </c>
      <c r="I17" s="66" t="str">
        <f t="shared" ca="1" si="4"/>
        <v>43</v>
      </c>
      <c r="J17" s="42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42">
        <f t="shared" ca="1" si="5"/>
        <v>5</v>
      </c>
      <c r="L17" s="42"/>
      <c r="M17" s="42"/>
      <c r="N17" s="42"/>
      <c r="O17" s="42"/>
    </row>
    <row r="18" spans="1:15" ht="15.6" x14ac:dyDescent="0.3">
      <c r="A18" s="42"/>
      <c r="B18" s="60">
        <f ca="1">+'N° de Obs.'!D17</f>
        <v>100</v>
      </c>
      <c r="C18" s="42">
        <f ca="1">+'N° de Obs.'!E17</f>
        <v>3340</v>
      </c>
      <c r="D18" s="60">
        <f t="shared" ca="1" si="0"/>
        <v>91.68</v>
      </c>
      <c r="E18" s="42">
        <f t="shared" ca="1" si="1"/>
        <v>90</v>
      </c>
      <c r="F18" s="60">
        <f t="shared" ca="1" si="2"/>
        <v>10</v>
      </c>
      <c r="G18" s="42"/>
      <c r="H18" s="42">
        <f t="shared" ca="1" si="3"/>
        <v>91.7</v>
      </c>
      <c r="I18" s="66" t="str">
        <f t="shared" ca="1" si="4"/>
        <v>17</v>
      </c>
      <c r="J18" s="42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42">
        <f t="shared" ca="1" si="5"/>
        <v>10</v>
      </c>
      <c r="L18" s="42"/>
      <c r="M18" s="42"/>
      <c r="N18" s="42"/>
      <c r="O18" s="42"/>
    </row>
    <row r="19" spans="1:15" ht="15.6" x14ac:dyDescent="0.3">
      <c r="A19" s="42"/>
      <c r="B19" s="60">
        <f ca="1">+'N° de Obs.'!D18</f>
        <v>85</v>
      </c>
      <c r="C19" s="42">
        <f ca="1">+'N° de Obs.'!E18</f>
        <v>3190</v>
      </c>
      <c r="D19" s="60">
        <f t="shared" ca="1" si="0"/>
        <v>95.99</v>
      </c>
      <c r="E19" s="42">
        <f t="shared" ca="1" si="1"/>
        <v>95</v>
      </c>
      <c r="F19" s="60">
        <f t="shared" ca="1" si="2"/>
        <v>-10</v>
      </c>
      <c r="G19" s="42"/>
      <c r="H19" s="42">
        <f t="shared" ca="1" si="3"/>
        <v>96</v>
      </c>
      <c r="I19" s="66" t="str">
        <f t="shared" ca="1" si="4"/>
        <v>60</v>
      </c>
      <c r="J19" s="42" cm="1">
        <f t="array" aca="1" ref="J19" ca="1">+_xlfn.IFS(AND(I19&gt;="0",I19&lt;"25"),H19-(I19/10),AND(I19&gt;="25",I19&lt;"50"),H19+(5-(I19/10)),AND(I19&gt;="50",I19&lt;"75"),H19-((I19-50)/10),I19&gt;="75",H19+(10-(I19/10)))</f>
        <v>95</v>
      </c>
      <c r="K19" s="42">
        <f t="shared" ca="1" si="5"/>
        <v>10</v>
      </c>
      <c r="L19" s="42"/>
      <c r="M19" s="42"/>
      <c r="N19" s="42"/>
      <c r="O19" s="42"/>
    </row>
    <row r="20" spans="1:15" ht="15.6" x14ac:dyDescent="0.3">
      <c r="A20" s="42"/>
      <c r="B20" s="60">
        <f ca="1">+'N° de Obs.'!D19</f>
        <v>100</v>
      </c>
      <c r="C20" s="42">
        <f ca="1">+'N° de Obs.'!E19</f>
        <v>3300</v>
      </c>
      <c r="D20" s="60">
        <f t="shared" ca="1" si="0"/>
        <v>92.79</v>
      </c>
      <c r="E20" s="42">
        <f t="shared" ca="1" si="1"/>
        <v>95</v>
      </c>
      <c r="F20" s="60">
        <f t="shared" ca="1" si="2"/>
        <v>5</v>
      </c>
      <c r="G20" s="42"/>
      <c r="H20" s="42">
        <f t="shared" ca="1" si="3"/>
        <v>92.8</v>
      </c>
      <c r="I20" s="66" t="str">
        <f t="shared" ca="1" si="4"/>
        <v>28</v>
      </c>
      <c r="J20" s="42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42">
        <f t="shared" ca="1" si="5"/>
        <v>5</v>
      </c>
      <c r="L20" s="42"/>
      <c r="M20" s="42"/>
      <c r="N20" s="42"/>
      <c r="O20" s="42"/>
    </row>
    <row r="21" spans="1:15" ht="15.6" x14ac:dyDescent="0.3">
      <c r="A21" s="42"/>
      <c r="B21" s="60">
        <f ca="1">+'N° de Obs.'!D20</f>
        <v>90</v>
      </c>
      <c r="C21" s="42">
        <f ca="1">+'N° de Obs.'!E20</f>
        <v>3234</v>
      </c>
      <c r="D21" s="60">
        <f t="shared" ca="1" si="0"/>
        <v>94.68</v>
      </c>
      <c r="E21" s="42">
        <f t="shared" ca="1" si="1"/>
        <v>95</v>
      </c>
      <c r="F21" s="60">
        <f t="shared" ca="1" si="2"/>
        <v>-5</v>
      </c>
      <c r="G21" s="42"/>
      <c r="H21" s="42">
        <f t="shared" ca="1" si="3"/>
        <v>94.7</v>
      </c>
      <c r="I21" s="66" t="str">
        <f t="shared" ca="1" si="4"/>
        <v>47</v>
      </c>
      <c r="J21" s="42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42">
        <f t="shared" ca="1" si="5"/>
        <v>5</v>
      </c>
      <c r="L21" s="42"/>
      <c r="M21" s="42"/>
      <c r="N21" s="42"/>
      <c r="O21" s="42"/>
    </row>
    <row r="22" spans="1:15" ht="15.6" x14ac:dyDescent="0.3">
      <c r="A22" s="42"/>
      <c r="B22" s="60">
        <f ca="1">+'N° de Obs.'!D21</f>
        <v>105</v>
      </c>
      <c r="C22" s="42">
        <f ca="1">+'N° de Obs.'!E21</f>
        <v>3180</v>
      </c>
      <c r="D22" s="60">
        <f t="shared" ca="1" si="0"/>
        <v>96.29</v>
      </c>
      <c r="E22" s="42">
        <f t="shared" ca="1" si="1"/>
        <v>95</v>
      </c>
      <c r="F22" s="60">
        <f t="shared" ca="1" si="2"/>
        <v>10</v>
      </c>
      <c r="G22" s="42"/>
      <c r="H22" s="42">
        <f t="shared" ca="1" si="3"/>
        <v>96.3</v>
      </c>
      <c r="I22" s="66" t="str">
        <f t="shared" ca="1" si="4"/>
        <v>63</v>
      </c>
      <c r="J22" s="42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42">
        <f t="shared" ca="1" si="5"/>
        <v>10</v>
      </c>
      <c r="L22" s="42"/>
      <c r="M22" s="42"/>
      <c r="N22" s="42"/>
      <c r="O22" s="42"/>
    </row>
    <row r="23" spans="1:15" ht="15.6" x14ac:dyDescent="0.3">
      <c r="A23" s="42"/>
      <c r="B23" s="60">
        <f ca="1">+'N° de Obs.'!D22</f>
        <v>95</v>
      </c>
      <c r="C23" s="42">
        <f ca="1">+'N° de Obs.'!E22</f>
        <v>3211</v>
      </c>
      <c r="D23" s="60">
        <f t="shared" ca="1" si="0"/>
        <v>95.36</v>
      </c>
      <c r="E23" s="42">
        <f t="shared" ca="1" si="1"/>
        <v>95</v>
      </c>
      <c r="F23" s="60">
        <f t="shared" ca="1" si="2"/>
        <v>0</v>
      </c>
      <c r="G23" s="42"/>
      <c r="H23" s="42">
        <f t="shared" ca="1" si="3"/>
        <v>95.4</v>
      </c>
      <c r="I23" s="66" t="str">
        <f t="shared" ca="1" si="4"/>
        <v>54</v>
      </c>
      <c r="J23" s="42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42">
        <f t="shared" ca="1" si="5"/>
        <v>0</v>
      </c>
      <c r="L23" s="42"/>
      <c r="M23" s="42"/>
      <c r="N23" s="42"/>
      <c r="O23" s="42"/>
    </row>
    <row r="24" spans="1:15" ht="15.6" x14ac:dyDescent="0.3">
      <c r="A24" s="42"/>
      <c r="B24" s="60">
        <f ca="1">+'N° de Obs.'!D23</f>
        <v>85</v>
      </c>
      <c r="C24" s="42">
        <f ca="1">+'N° de Obs.'!E23</f>
        <v>3208</v>
      </c>
      <c r="D24" s="60">
        <f t="shared" ca="1" si="0"/>
        <v>95.45</v>
      </c>
      <c r="E24" s="42">
        <f t="shared" ca="1" si="1"/>
        <v>95</v>
      </c>
      <c r="F24" s="60">
        <f t="shared" ca="1" si="2"/>
        <v>-10</v>
      </c>
      <c r="G24" s="42"/>
      <c r="H24" s="42">
        <f t="shared" ca="1" si="3"/>
        <v>95.5</v>
      </c>
      <c r="I24" s="66" t="str">
        <f t="shared" ca="1" si="4"/>
        <v>55</v>
      </c>
      <c r="J24" s="42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42">
        <f t="shared" ca="1" si="5"/>
        <v>10</v>
      </c>
      <c r="L24" s="42"/>
      <c r="M24" s="42"/>
      <c r="N24" s="42"/>
      <c r="O24" s="42"/>
    </row>
    <row r="25" spans="1:15" ht="15.6" x14ac:dyDescent="0.3">
      <c r="A25" s="42"/>
      <c r="B25" s="60">
        <f ca="1">+'N° de Obs.'!D24</f>
        <v>90</v>
      </c>
      <c r="C25" s="42">
        <f ca="1">+'N° de Obs.'!E24</f>
        <v>3227</v>
      </c>
      <c r="D25" s="60">
        <f t="shared" ca="1" si="0"/>
        <v>94.89</v>
      </c>
      <c r="E25" s="42">
        <f t="shared" ca="1" si="1"/>
        <v>95</v>
      </c>
      <c r="F25" s="60">
        <f t="shared" ca="1" si="2"/>
        <v>-5</v>
      </c>
      <c r="G25" s="42"/>
      <c r="H25" s="42">
        <f t="shared" ca="1" si="3"/>
        <v>94.9</v>
      </c>
      <c r="I25" s="66" t="str">
        <f t="shared" ca="1" si="4"/>
        <v>49</v>
      </c>
      <c r="J25" s="42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42">
        <f t="shared" ca="1" si="5"/>
        <v>5</v>
      </c>
      <c r="L25" s="42"/>
      <c r="M25" s="42"/>
      <c r="N25" s="42"/>
      <c r="O25" s="42"/>
    </row>
    <row r="26" spans="1:15" ht="15.6" x14ac:dyDescent="0.3">
      <c r="A26" s="42"/>
      <c r="B26" s="61">
        <f ca="1">+'N° de Obs.'!D25</f>
        <v>95</v>
      </c>
      <c r="C26" s="42">
        <f ca="1">+'N° de Obs.'!E25</f>
        <v>3300</v>
      </c>
      <c r="D26" s="61">
        <f t="shared" ca="1" si="0"/>
        <v>92.79</v>
      </c>
      <c r="E26" s="52">
        <f t="shared" ca="1" si="1"/>
        <v>95</v>
      </c>
      <c r="F26" s="61">
        <f t="shared" ca="1" si="2"/>
        <v>0</v>
      </c>
      <c r="G26" s="42"/>
      <c r="H26" s="42">
        <f t="shared" ca="1" si="3"/>
        <v>92.8</v>
      </c>
      <c r="I26" s="66" t="str">
        <f t="shared" ca="1" si="4"/>
        <v>28</v>
      </c>
      <c r="J26" s="42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2">
        <f t="shared" ca="1" si="5"/>
        <v>0</v>
      </c>
      <c r="L26" s="42"/>
      <c r="M26" s="42"/>
      <c r="N26" s="42"/>
      <c r="O26" s="42"/>
    </row>
    <row r="27" spans="1:15" ht="15.6" x14ac:dyDescent="0.3">
      <c r="A27" s="42"/>
      <c r="B27" s="93" t="s">
        <v>91</v>
      </c>
      <c r="C27" s="94"/>
      <c r="D27" s="94"/>
      <c r="E27" s="94"/>
      <c r="F27" s="55">
        <f ca="1">+SUMIF(K7:K26,"&lt;=10",F7:F26)</f>
        <v>0</v>
      </c>
      <c r="G27" s="42"/>
      <c r="H27" s="42"/>
      <c r="I27" s="42"/>
      <c r="J27" s="42"/>
      <c r="K27" s="42">
        <f ca="1">+COUNTIF(K7:K26,"&lt;=10")</f>
        <v>20</v>
      </c>
      <c r="L27" s="42"/>
      <c r="M27" s="42"/>
      <c r="N27" s="42"/>
      <c r="O27" s="42"/>
    </row>
    <row r="28" spans="1:15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</row>
    <row r="29" spans="1:15" ht="15.6" x14ac:dyDescent="0.3">
      <c r="A29" s="42"/>
      <c r="B29" s="65">
        <v>100</v>
      </c>
      <c r="C29" s="42">
        <f ca="1">+ROUND(AVERAGE('N° de Obs.'!F6:F25),0)</f>
        <v>3062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1:15" ht="15.6" x14ac:dyDescent="0.3">
      <c r="A30" s="42"/>
      <c r="B30" s="42"/>
      <c r="C30" s="42"/>
      <c r="D30" s="52"/>
      <c r="E30" s="5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spans="1:15" ht="15.6" x14ac:dyDescent="0.3">
      <c r="A31" s="42"/>
      <c r="B31" s="42"/>
      <c r="C31" s="42"/>
      <c r="D31" s="51" t="s">
        <v>85</v>
      </c>
      <c r="E31" s="51" t="s">
        <v>86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6" x14ac:dyDescent="0.3">
      <c r="A32" s="42"/>
      <c r="B32" s="42"/>
      <c r="C32" s="42"/>
      <c r="D32" s="60" t="s">
        <v>88</v>
      </c>
      <c r="E32" s="60" t="s">
        <v>25</v>
      </c>
      <c r="F32" s="42"/>
      <c r="G32" s="42"/>
      <c r="H32" s="42"/>
      <c r="I32" s="42"/>
      <c r="J32" s="42"/>
      <c r="K32" s="100" t="s">
        <v>99</v>
      </c>
      <c r="L32" s="100"/>
      <c r="M32" s="100"/>
      <c r="N32" s="42"/>
      <c r="O32" s="42"/>
    </row>
    <row r="33" spans="1:15" ht="15.6" x14ac:dyDescent="0.3">
      <c r="A33" s="42"/>
      <c r="B33" s="42"/>
      <c r="C33" s="42"/>
      <c r="D33" s="60" t="s">
        <v>96</v>
      </c>
      <c r="E33" s="67">
        <f>+B29</f>
        <v>100</v>
      </c>
      <c r="F33" s="42"/>
      <c r="G33" s="42"/>
      <c r="H33" s="42"/>
      <c r="I33" s="42"/>
      <c r="J33" s="42"/>
      <c r="K33" s="100"/>
      <c r="L33" s="100"/>
      <c r="M33" s="100"/>
      <c r="N33" s="42"/>
      <c r="O33" s="42"/>
    </row>
    <row r="34" spans="1:15" ht="15.6" x14ac:dyDescent="0.3">
      <c r="A34" s="42"/>
      <c r="B34" s="42"/>
      <c r="C34" s="42"/>
      <c r="D34" s="60" t="s">
        <v>20</v>
      </c>
      <c r="E34" s="60">
        <f ca="1">+C29</f>
        <v>3062</v>
      </c>
      <c r="F34" s="42"/>
      <c r="G34" s="42"/>
      <c r="H34" s="42"/>
      <c r="I34" s="42"/>
      <c r="J34" s="42"/>
      <c r="K34" s="100"/>
      <c r="L34" s="100"/>
      <c r="M34" s="100"/>
      <c r="N34" s="42"/>
      <c r="O34" s="42"/>
    </row>
    <row r="35" spans="1:15" ht="31.2" x14ac:dyDescent="0.3">
      <c r="A35" s="42"/>
      <c r="B35" s="42"/>
      <c r="C35" s="42"/>
      <c r="D35" s="68" t="s">
        <v>98</v>
      </c>
      <c r="E35" s="60">
        <f ca="1">+K27</f>
        <v>20</v>
      </c>
      <c r="F35" s="42"/>
      <c r="G35" s="42"/>
      <c r="H35" s="42"/>
      <c r="I35" s="42"/>
      <c r="J35" s="42"/>
      <c r="K35" s="100"/>
      <c r="L35" s="100"/>
      <c r="M35" s="100"/>
      <c r="N35" s="42"/>
      <c r="O35" s="42"/>
    </row>
    <row r="36" spans="1:15" ht="15.6" x14ac:dyDescent="0.3">
      <c r="A36" s="42"/>
      <c r="B36" s="42"/>
      <c r="C36" s="42"/>
      <c r="D36" s="69" t="s">
        <v>95</v>
      </c>
      <c r="E36" s="61">
        <f ca="1">+F27</f>
        <v>0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spans="1:15" ht="31.2" x14ac:dyDescent="0.3">
      <c r="A37" s="42"/>
      <c r="B37" s="42"/>
      <c r="C37" s="42"/>
      <c r="D37" s="41" t="s">
        <v>97</v>
      </c>
      <c r="E37" s="59" t="str">
        <f ca="1">+CONCATENATE(ROUND((F27/K27*5)/5,2)," %")</f>
        <v>0 %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1:15" ht="15.6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1:15" ht="15.6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spans="1:15" x14ac:dyDescent="0.3">
      <c r="B40" s="27"/>
      <c r="D40" s="16"/>
      <c r="E40" s="16"/>
    </row>
    <row r="41" spans="1:15" x14ac:dyDescent="0.3">
      <c r="D41" s="16"/>
      <c r="E41" s="16"/>
    </row>
    <row r="45" spans="1:15" x14ac:dyDescent="0.3">
      <c r="C45" s="16"/>
      <c r="D45" s="16"/>
      <c r="E45" s="101" t="str">
        <f>+'N° de Obs.'!P2</f>
        <v>Elemento P</v>
      </c>
      <c r="F45" s="101"/>
      <c r="G45" s="16"/>
    </row>
    <row r="46" spans="1:15" ht="15.6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5" ht="15.6" x14ac:dyDescent="0.3">
      <c r="A47" s="42"/>
      <c r="B47" s="52"/>
      <c r="C47" s="52"/>
      <c r="D47" s="52"/>
      <c r="E47" s="52"/>
      <c r="F47" s="52"/>
      <c r="G47" s="42"/>
      <c r="H47" s="42"/>
      <c r="I47" s="42"/>
      <c r="J47" s="42"/>
      <c r="K47" s="42"/>
      <c r="L47" s="42"/>
      <c r="M47" s="42"/>
    </row>
    <row r="48" spans="1:15" ht="15.6" x14ac:dyDescent="0.3">
      <c r="A48" s="42"/>
      <c r="B48" s="51" t="s">
        <v>26</v>
      </c>
      <c r="C48" s="70" t="s">
        <v>93</v>
      </c>
      <c r="D48" s="51" t="s">
        <v>94</v>
      </c>
      <c r="E48" s="70" t="s">
        <v>27</v>
      </c>
      <c r="F48" s="51" t="s">
        <v>95</v>
      </c>
      <c r="G48" s="42"/>
      <c r="H48" s="42"/>
      <c r="I48" s="42"/>
      <c r="J48" s="42"/>
      <c r="K48" s="42"/>
      <c r="L48" s="42"/>
      <c r="M48" s="42"/>
    </row>
    <row r="49" spans="1:13" ht="15.6" x14ac:dyDescent="0.3">
      <c r="A49" s="42"/>
      <c r="B49" s="60">
        <f ca="1">+'N° de Obs.'!M6</f>
        <v>90</v>
      </c>
      <c r="C49" s="42">
        <f ca="1">+'N° de Obs.'!N6</f>
        <v>5852</v>
      </c>
      <c r="D49" s="60">
        <f ca="1">+ROUND($B$71*$C$71/C49,2)</f>
        <v>89.42</v>
      </c>
      <c r="E49" s="42">
        <f ca="1">+J49</f>
        <v>90</v>
      </c>
      <c r="F49" s="60">
        <f ca="1">+B49-E49</f>
        <v>0</v>
      </c>
      <c r="G49" s="42"/>
      <c r="H49" s="42">
        <f ca="1">+ROUND(D49,1)</f>
        <v>89.4</v>
      </c>
      <c r="I49" s="66" t="str">
        <f ca="1">+RIGHT(H49*10,2)</f>
        <v>94</v>
      </c>
      <c r="J49" s="42" cm="1">
        <f t="array" aca="1" ref="J49" ca="1">+_xlfn.IFS(AND(I49&gt;="0",I49&lt;"25"),H49-(I49/10),AND(I49&gt;="25",I49&lt;"50"),H49+(5-(I49/10)),AND(I49&gt;="50",I49&lt;"75"),H49-((I49-50)/10),I49&gt;="75",H49+(10-(I49/10)))</f>
        <v>90</v>
      </c>
      <c r="K49" s="42">
        <f ca="1">+ABS(F49)</f>
        <v>0</v>
      </c>
      <c r="L49" s="42"/>
      <c r="M49" s="42"/>
    </row>
    <row r="50" spans="1:13" ht="15.6" x14ac:dyDescent="0.3">
      <c r="A50" s="42"/>
      <c r="B50" s="60">
        <f ca="1">+'N° de Obs.'!M7</f>
        <v>100</v>
      </c>
      <c r="C50" s="42">
        <f ca="1">+'N° de Obs.'!N7</f>
        <v>5366</v>
      </c>
      <c r="D50" s="60">
        <f t="shared" ref="D50:D68" ca="1" si="6">+ROUND($B$71*$C$71/C50,2)</f>
        <v>97.52</v>
      </c>
      <c r="E50" s="42">
        <f t="shared" ref="E50:E68" ca="1" si="7">+J50</f>
        <v>100</v>
      </c>
      <c r="F50" s="60">
        <f t="shared" ref="F50:F68" ca="1" si="8">+B50-E50</f>
        <v>0</v>
      </c>
      <c r="G50" s="42"/>
      <c r="H50" s="42">
        <f t="shared" ref="H50:H68" ca="1" si="9">+ROUND(D50,1)</f>
        <v>97.5</v>
      </c>
      <c r="I50" s="66" t="str">
        <f t="shared" ref="I50:I68" ca="1" si="10">+RIGHT(H50*10,2)</f>
        <v>75</v>
      </c>
      <c r="J50" s="42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42">
        <f t="shared" ref="K50:K68" ca="1" si="11">+ABS(F50)</f>
        <v>0</v>
      </c>
      <c r="L50" s="42"/>
      <c r="M50" s="42"/>
    </row>
    <row r="51" spans="1:13" ht="15.6" x14ac:dyDescent="0.3">
      <c r="A51" s="42"/>
      <c r="B51" s="60">
        <f ca="1">+'N° de Obs.'!M8</f>
        <v>95</v>
      </c>
      <c r="C51" s="42">
        <f ca="1">+'N° de Obs.'!N8</f>
        <v>5989</v>
      </c>
      <c r="D51" s="60">
        <f t="shared" ca="1" si="6"/>
        <v>87.38</v>
      </c>
      <c r="E51" s="42">
        <f t="shared" ca="1" si="7"/>
        <v>85</v>
      </c>
      <c r="F51" s="60">
        <f t="shared" ca="1" si="8"/>
        <v>10</v>
      </c>
      <c r="G51" s="42"/>
      <c r="H51" s="42">
        <f t="shared" ca="1" si="9"/>
        <v>87.4</v>
      </c>
      <c r="I51" s="66" t="str">
        <f t="shared" ca="1" si="10"/>
        <v>74</v>
      </c>
      <c r="J51" s="42" cm="1">
        <f t="array" aca="1" ref="J51" ca="1">+_xlfn.IFS(AND(I51&gt;="0",I51&lt;"25"),H51-(I51/10),AND(I51&gt;="25",I51&lt;"50"),H51+(5-(I51/10)),AND(I51&gt;="50",I51&lt;"75"),H51-((I51-50)/10),I51&gt;="75",H51+(10-(I51/10)))</f>
        <v>85</v>
      </c>
      <c r="K51" s="42">
        <f t="shared" ca="1" si="11"/>
        <v>10</v>
      </c>
      <c r="L51" s="42"/>
      <c r="M51" s="42"/>
    </row>
    <row r="52" spans="1:13" ht="15.6" x14ac:dyDescent="0.3">
      <c r="A52" s="42"/>
      <c r="B52" s="60">
        <f ca="1">+'N° de Obs.'!M9</f>
        <v>100</v>
      </c>
      <c r="C52" s="42">
        <f ca="1">+'N° de Obs.'!N9</f>
        <v>5489</v>
      </c>
      <c r="D52" s="60">
        <f t="shared" ca="1" si="6"/>
        <v>95.34</v>
      </c>
      <c r="E52" s="42">
        <f t="shared" ca="1" si="7"/>
        <v>95</v>
      </c>
      <c r="F52" s="60">
        <f t="shared" ca="1" si="8"/>
        <v>5</v>
      </c>
      <c r="G52" s="42"/>
      <c r="H52" s="42">
        <f t="shared" ca="1" si="9"/>
        <v>95.3</v>
      </c>
      <c r="I52" s="66" t="str">
        <f t="shared" ca="1" si="10"/>
        <v>53</v>
      </c>
      <c r="J52" s="42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42">
        <f t="shared" ca="1" si="11"/>
        <v>5</v>
      </c>
      <c r="L52" s="42"/>
      <c r="M52" s="42"/>
    </row>
    <row r="53" spans="1:13" ht="15.6" x14ac:dyDescent="0.3">
      <c r="A53" s="42"/>
      <c r="B53" s="60">
        <f ca="1">+'N° de Obs.'!M10</f>
        <v>95</v>
      </c>
      <c r="C53" s="42">
        <f ca="1">+'N° de Obs.'!N10</f>
        <v>5638</v>
      </c>
      <c r="D53" s="60">
        <f t="shared" ca="1" si="6"/>
        <v>92.82</v>
      </c>
      <c r="E53" s="42">
        <f t="shared" ca="1" si="7"/>
        <v>95</v>
      </c>
      <c r="F53" s="60">
        <f t="shared" ca="1" si="8"/>
        <v>0</v>
      </c>
      <c r="G53" s="42"/>
      <c r="H53" s="42">
        <f t="shared" ca="1" si="9"/>
        <v>92.8</v>
      </c>
      <c r="I53" s="66" t="str">
        <f t="shared" ca="1" si="10"/>
        <v>28</v>
      </c>
      <c r="J53" s="42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42">
        <f t="shared" ca="1" si="11"/>
        <v>0</v>
      </c>
      <c r="L53" s="42"/>
      <c r="M53" s="42"/>
    </row>
    <row r="54" spans="1:13" ht="15.6" x14ac:dyDescent="0.3">
      <c r="A54" s="42"/>
      <c r="B54" s="60">
        <f ca="1">+'N° de Obs.'!M11</f>
        <v>105</v>
      </c>
      <c r="C54" s="42">
        <f ca="1">+'N° de Obs.'!N11</f>
        <v>5382</v>
      </c>
      <c r="D54" s="60">
        <f t="shared" ca="1" si="6"/>
        <v>97.23</v>
      </c>
      <c r="E54" s="42">
        <f t="shared" ca="1" si="7"/>
        <v>95</v>
      </c>
      <c r="F54" s="60">
        <f t="shared" ca="1" si="8"/>
        <v>10</v>
      </c>
      <c r="G54" s="42"/>
      <c r="H54" s="42">
        <f t="shared" ca="1" si="9"/>
        <v>97.2</v>
      </c>
      <c r="I54" s="66" t="str">
        <f t="shared" ca="1" si="10"/>
        <v>72</v>
      </c>
      <c r="J54" s="42" cm="1">
        <f t="array" aca="1" ref="J54" ca="1">+_xlfn.IFS(AND(I54&gt;="0",I54&lt;"25"),H54-(I54/10),AND(I54&gt;="25",I54&lt;"50"),H54+(5-(I54/10)),AND(I54&gt;="50",I54&lt;"75"),H54-((I54-50)/10),I54&gt;="75",H54+(10-(I54/10)))</f>
        <v>95</v>
      </c>
      <c r="K54" s="42">
        <f t="shared" ca="1" si="11"/>
        <v>10</v>
      </c>
      <c r="L54" s="42"/>
      <c r="M54" s="42"/>
    </row>
    <row r="55" spans="1:13" ht="15.6" x14ac:dyDescent="0.3">
      <c r="A55" s="42"/>
      <c r="B55" s="60">
        <f ca="1">+'N° de Obs.'!M12</f>
        <v>95</v>
      </c>
      <c r="C55" s="42">
        <f ca="1">+'N° de Obs.'!N12</f>
        <v>5355</v>
      </c>
      <c r="D55" s="60">
        <f t="shared" ca="1" si="6"/>
        <v>97.72</v>
      </c>
      <c r="E55" s="42">
        <f t="shared" ca="1" si="7"/>
        <v>100</v>
      </c>
      <c r="F55" s="60">
        <f t="shared" ca="1" si="8"/>
        <v>-5</v>
      </c>
      <c r="G55" s="42"/>
      <c r="H55" s="42">
        <f t="shared" ca="1" si="9"/>
        <v>97.7</v>
      </c>
      <c r="I55" s="66" t="str">
        <f t="shared" ca="1" si="10"/>
        <v>77</v>
      </c>
      <c r="J55" s="42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42">
        <f t="shared" ca="1" si="11"/>
        <v>5</v>
      </c>
      <c r="L55" s="42"/>
      <c r="M55" s="42"/>
    </row>
    <row r="56" spans="1:13" ht="15.6" x14ac:dyDescent="0.3">
      <c r="A56" s="42"/>
      <c r="B56" s="60">
        <f ca="1">+'N° de Obs.'!M13</f>
        <v>90</v>
      </c>
      <c r="C56" s="42">
        <f ca="1">+'N° de Obs.'!N13</f>
        <v>5992</v>
      </c>
      <c r="D56" s="60">
        <f t="shared" ca="1" si="6"/>
        <v>87.33</v>
      </c>
      <c r="E56" s="42">
        <f t="shared" ca="1" si="7"/>
        <v>85</v>
      </c>
      <c r="F56" s="60">
        <f t="shared" ca="1" si="8"/>
        <v>5</v>
      </c>
      <c r="G56" s="42"/>
      <c r="H56" s="42">
        <f t="shared" ca="1" si="9"/>
        <v>87.3</v>
      </c>
      <c r="I56" s="66" t="str">
        <f t="shared" ca="1" si="10"/>
        <v>73</v>
      </c>
      <c r="J56" s="42" cm="1">
        <f t="array" aca="1" ref="J56" ca="1">+_xlfn.IFS(AND(I56&gt;="0",I56&lt;"25"),H56-(I56/10),AND(I56&gt;="25",I56&lt;"50"),H56+(5-(I56/10)),AND(I56&gt;="50",I56&lt;"75"),H56-((I56-50)/10),I56&gt;="75",H56+(10-(I56/10)))</f>
        <v>85</v>
      </c>
      <c r="K56" s="42">
        <f t="shared" ca="1" si="11"/>
        <v>5</v>
      </c>
      <c r="L56" s="42"/>
      <c r="M56" s="42"/>
    </row>
    <row r="57" spans="1:13" ht="15.6" x14ac:dyDescent="0.3">
      <c r="A57" s="42"/>
      <c r="B57" s="60">
        <f ca="1">+'N° de Obs.'!M14</f>
        <v>95</v>
      </c>
      <c r="C57" s="42">
        <f ca="1">+'N° de Obs.'!N14</f>
        <v>5215</v>
      </c>
      <c r="D57" s="60">
        <f t="shared" ca="1" si="6"/>
        <v>100.35</v>
      </c>
      <c r="E57" s="42">
        <f t="shared" ca="1" si="7"/>
        <v>100</v>
      </c>
      <c r="F57" s="60">
        <f t="shared" ca="1" si="8"/>
        <v>-5</v>
      </c>
      <c r="G57" s="42"/>
      <c r="H57" s="42">
        <f t="shared" ca="1" si="9"/>
        <v>100.4</v>
      </c>
      <c r="I57" s="66" t="str">
        <f t="shared" ca="1" si="10"/>
        <v>04</v>
      </c>
      <c r="J57" s="42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42">
        <f t="shared" ca="1" si="11"/>
        <v>5</v>
      </c>
      <c r="L57" s="42"/>
      <c r="M57" s="42"/>
    </row>
    <row r="58" spans="1:13" ht="15.6" x14ac:dyDescent="0.3">
      <c r="A58" s="42"/>
      <c r="B58" s="60">
        <f ca="1">+'N° de Obs.'!M15</f>
        <v>105</v>
      </c>
      <c r="C58" s="42">
        <f ca="1">+'N° de Obs.'!N15</f>
        <v>5390</v>
      </c>
      <c r="D58" s="60">
        <f t="shared" ca="1" si="6"/>
        <v>97.09</v>
      </c>
      <c r="E58" s="42">
        <f t="shared" ca="1" si="7"/>
        <v>95</v>
      </c>
      <c r="F58" s="60">
        <f t="shared" ca="1" si="8"/>
        <v>10</v>
      </c>
      <c r="G58" s="42"/>
      <c r="H58" s="42">
        <f t="shared" ca="1" si="9"/>
        <v>97.1</v>
      </c>
      <c r="I58" s="66" t="str">
        <f t="shared" ca="1" si="10"/>
        <v>71</v>
      </c>
      <c r="J58" s="42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42">
        <f t="shared" ca="1" si="11"/>
        <v>10</v>
      </c>
      <c r="L58" s="42"/>
      <c r="M58" s="42"/>
    </row>
    <row r="59" spans="1:13" ht="15.6" x14ac:dyDescent="0.3">
      <c r="A59" s="42"/>
      <c r="B59" s="60">
        <f ca="1">+'N° de Obs.'!M16</f>
        <v>90</v>
      </c>
      <c r="C59" s="42">
        <f ca="1">+'N° de Obs.'!N16</f>
        <v>5637</v>
      </c>
      <c r="D59" s="60">
        <f t="shared" ca="1" si="6"/>
        <v>92.83</v>
      </c>
      <c r="E59" s="42">
        <f t="shared" ca="1" si="7"/>
        <v>95</v>
      </c>
      <c r="F59" s="60">
        <f t="shared" ca="1" si="8"/>
        <v>-5</v>
      </c>
      <c r="G59" s="42"/>
      <c r="H59" s="42">
        <f t="shared" ca="1" si="9"/>
        <v>92.8</v>
      </c>
      <c r="I59" s="66" t="str">
        <f t="shared" ca="1" si="10"/>
        <v>28</v>
      </c>
      <c r="J59" s="42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42">
        <f t="shared" ca="1" si="11"/>
        <v>5</v>
      </c>
      <c r="L59" s="42"/>
      <c r="M59" s="42"/>
    </row>
    <row r="60" spans="1:13" ht="15.6" x14ac:dyDescent="0.3">
      <c r="A60" s="42"/>
      <c r="B60" s="60">
        <f ca="1">+'N° de Obs.'!M17</f>
        <v>95</v>
      </c>
      <c r="C60" s="42">
        <f ca="1">+'N° de Obs.'!N17</f>
        <v>5625</v>
      </c>
      <c r="D60" s="60">
        <f t="shared" ca="1" si="6"/>
        <v>93.03</v>
      </c>
      <c r="E60" s="42">
        <f t="shared" ca="1" si="7"/>
        <v>95</v>
      </c>
      <c r="F60" s="60">
        <f t="shared" ca="1" si="8"/>
        <v>0</v>
      </c>
      <c r="G60" s="42"/>
      <c r="H60" s="42">
        <f t="shared" ca="1" si="9"/>
        <v>93</v>
      </c>
      <c r="I60" s="66" t="str">
        <f t="shared" ca="1" si="10"/>
        <v>30</v>
      </c>
      <c r="J60" s="42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42">
        <f t="shared" ca="1" si="11"/>
        <v>0</v>
      </c>
      <c r="L60" s="42"/>
      <c r="M60" s="42"/>
    </row>
    <row r="61" spans="1:13" ht="15.6" x14ac:dyDescent="0.3">
      <c r="A61" s="42"/>
      <c r="B61" s="60">
        <f ca="1">+'N° de Obs.'!M18</f>
        <v>95</v>
      </c>
      <c r="C61" s="42">
        <f ca="1">+'N° de Obs.'!N18</f>
        <v>5751</v>
      </c>
      <c r="D61" s="60">
        <f t="shared" ca="1" si="6"/>
        <v>90.99</v>
      </c>
      <c r="E61" s="42">
        <f t="shared" ca="1" si="7"/>
        <v>90</v>
      </c>
      <c r="F61" s="60">
        <f t="shared" ca="1" si="8"/>
        <v>5</v>
      </c>
      <c r="G61" s="42"/>
      <c r="H61" s="42">
        <f t="shared" ca="1" si="9"/>
        <v>91</v>
      </c>
      <c r="I61" s="66" t="str">
        <f t="shared" ca="1" si="10"/>
        <v>10</v>
      </c>
      <c r="J61" s="42" cm="1">
        <f t="array" aca="1" ref="J61" ca="1">+_xlfn.IFS(AND(I61&gt;="0",I61&lt;"25"),H61-(I61/10),AND(I61&gt;="25",I61&lt;"50"),H61+(5-(I61/10)),AND(I61&gt;="50",I61&lt;"75"),H61-((I61-50)/10),I61&gt;="75",H61+(10-(I61/10)))</f>
        <v>90</v>
      </c>
      <c r="K61" s="42">
        <f t="shared" ca="1" si="11"/>
        <v>5</v>
      </c>
      <c r="L61" s="42"/>
      <c r="M61" s="42"/>
    </row>
    <row r="62" spans="1:13" ht="15.6" x14ac:dyDescent="0.3">
      <c r="A62" s="42"/>
      <c r="B62" s="60">
        <f ca="1">+'N° de Obs.'!M19</f>
        <v>95</v>
      </c>
      <c r="C62" s="42">
        <f ca="1">+'N° de Obs.'!N19</f>
        <v>5653</v>
      </c>
      <c r="D62" s="60">
        <f t="shared" ca="1" si="6"/>
        <v>92.57</v>
      </c>
      <c r="E62" s="42">
        <f t="shared" ca="1" si="7"/>
        <v>95</v>
      </c>
      <c r="F62" s="60">
        <f t="shared" ca="1" si="8"/>
        <v>0</v>
      </c>
      <c r="G62" s="42"/>
      <c r="H62" s="42">
        <f t="shared" ca="1" si="9"/>
        <v>92.6</v>
      </c>
      <c r="I62" s="66" t="str">
        <f t="shared" ca="1" si="10"/>
        <v>26</v>
      </c>
      <c r="J62" s="42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42">
        <f t="shared" ca="1" si="11"/>
        <v>0</v>
      </c>
      <c r="L62" s="42"/>
      <c r="M62" s="42"/>
    </row>
    <row r="63" spans="1:13" ht="15.6" x14ac:dyDescent="0.3">
      <c r="A63" s="42"/>
      <c r="B63" s="60">
        <f ca="1">+'N° de Obs.'!M20</f>
        <v>85</v>
      </c>
      <c r="C63" s="42">
        <f ca="1">+'N° de Obs.'!N20</f>
        <v>5271</v>
      </c>
      <c r="D63" s="60">
        <f t="shared" ca="1" si="6"/>
        <v>99.28</v>
      </c>
      <c r="E63" s="42">
        <f t="shared" ca="1" si="7"/>
        <v>100</v>
      </c>
      <c r="F63" s="60">
        <f t="shared" ca="1" si="8"/>
        <v>-15</v>
      </c>
      <c r="G63" s="42"/>
      <c r="H63" s="42">
        <f t="shared" ca="1" si="9"/>
        <v>99.3</v>
      </c>
      <c r="I63" s="66" t="str">
        <f t="shared" ca="1" si="10"/>
        <v>93</v>
      </c>
      <c r="J63" s="42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42">
        <f t="shared" ca="1" si="11"/>
        <v>15</v>
      </c>
      <c r="L63" s="42"/>
      <c r="M63" s="42"/>
    </row>
    <row r="64" spans="1:13" ht="15.6" x14ac:dyDescent="0.3">
      <c r="A64" s="42"/>
      <c r="B64" s="60">
        <f ca="1">+'N° de Obs.'!M21</f>
        <v>90</v>
      </c>
      <c r="C64" s="42">
        <f ca="1">+'N° de Obs.'!N21</f>
        <v>5265</v>
      </c>
      <c r="D64" s="60">
        <f t="shared" ca="1" si="6"/>
        <v>99.39</v>
      </c>
      <c r="E64" s="42">
        <f t="shared" ca="1" si="7"/>
        <v>100</v>
      </c>
      <c r="F64" s="60">
        <f t="shared" ca="1" si="8"/>
        <v>-10</v>
      </c>
      <c r="G64" s="42"/>
      <c r="H64" s="42">
        <f t="shared" ca="1" si="9"/>
        <v>99.4</v>
      </c>
      <c r="I64" s="66" t="str">
        <f t="shared" ca="1" si="10"/>
        <v>94</v>
      </c>
      <c r="J64" s="42" cm="1">
        <f t="array" aca="1" ref="J64" ca="1">+_xlfn.IFS(AND(I64&gt;="0",I64&lt;"25"),H64-(I64/10),AND(I64&gt;="25",I64&lt;"50"),H64+(5-(I64/10)),AND(I64&gt;="50",I64&lt;"75"),H64-((I64-50)/10),I64&gt;="75",H64+(10-(I64/10)))</f>
        <v>100</v>
      </c>
      <c r="K64" s="42">
        <f t="shared" ca="1" si="11"/>
        <v>10</v>
      </c>
      <c r="L64" s="42"/>
      <c r="M64" s="42"/>
    </row>
    <row r="65" spans="1:13" ht="15.6" x14ac:dyDescent="0.3">
      <c r="A65" s="42"/>
      <c r="B65" s="60">
        <f ca="1">+'N° de Obs.'!M22</f>
        <v>100</v>
      </c>
      <c r="C65" s="42">
        <f ca="1">+'N° de Obs.'!N22</f>
        <v>5073</v>
      </c>
      <c r="D65" s="60">
        <f t="shared" ca="1" si="6"/>
        <v>103.15</v>
      </c>
      <c r="E65" s="42">
        <f t="shared" ca="1" si="7"/>
        <v>105</v>
      </c>
      <c r="F65" s="60">
        <f t="shared" ca="1" si="8"/>
        <v>-5</v>
      </c>
      <c r="G65" s="42"/>
      <c r="H65" s="42">
        <f t="shared" ca="1" si="9"/>
        <v>103.2</v>
      </c>
      <c r="I65" s="66" t="str">
        <f t="shared" ca="1" si="10"/>
        <v>32</v>
      </c>
      <c r="J65" s="42" cm="1">
        <f t="array" aca="1" ref="J65" ca="1">+_xlfn.IFS(AND(I65&gt;="0",I65&lt;"25"),H65-(I65/10),AND(I65&gt;="25",I65&lt;"50"),H65+(5-(I65/10)),AND(I65&gt;="50",I65&lt;"75"),H65-((I65-50)/10),I65&gt;="75",H65+(10-(I65/10)))</f>
        <v>105</v>
      </c>
      <c r="K65" s="42">
        <f t="shared" ca="1" si="11"/>
        <v>5</v>
      </c>
      <c r="L65" s="42"/>
      <c r="M65" s="42"/>
    </row>
    <row r="66" spans="1:13" ht="15.6" x14ac:dyDescent="0.3">
      <c r="A66" s="42"/>
      <c r="B66" s="60">
        <f ca="1">+'N° de Obs.'!M23</f>
        <v>100</v>
      </c>
      <c r="C66" s="42">
        <f ca="1">+'N° de Obs.'!N23</f>
        <v>5183</v>
      </c>
      <c r="D66" s="60">
        <f t="shared" ca="1" si="6"/>
        <v>100.96</v>
      </c>
      <c r="E66" s="42">
        <f t="shared" ca="1" si="7"/>
        <v>100</v>
      </c>
      <c r="F66" s="60">
        <f t="shared" ca="1" si="8"/>
        <v>0</v>
      </c>
      <c r="G66" s="42"/>
      <c r="H66" s="42">
        <f t="shared" ca="1" si="9"/>
        <v>101</v>
      </c>
      <c r="I66" s="66" t="str">
        <f t="shared" ca="1" si="10"/>
        <v>10</v>
      </c>
      <c r="J66" s="42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42">
        <f t="shared" ca="1" si="11"/>
        <v>0</v>
      </c>
      <c r="L66" s="42"/>
      <c r="M66" s="42"/>
    </row>
    <row r="67" spans="1:13" ht="15.6" x14ac:dyDescent="0.3">
      <c r="A67" s="42"/>
      <c r="B67" s="60">
        <f ca="1">+'N° de Obs.'!M24</f>
        <v>90</v>
      </c>
      <c r="C67" s="42">
        <f ca="1">+'N° de Obs.'!N24</f>
        <v>5256</v>
      </c>
      <c r="D67" s="60">
        <f t="shared" ca="1" si="6"/>
        <v>99.56</v>
      </c>
      <c r="E67" s="42">
        <f t="shared" ca="1" si="7"/>
        <v>100</v>
      </c>
      <c r="F67" s="60">
        <f t="shared" ca="1" si="8"/>
        <v>-10</v>
      </c>
      <c r="G67" s="42"/>
      <c r="H67" s="42">
        <f t="shared" ca="1" si="9"/>
        <v>99.6</v>
      </c>
      <c r="I67" s="66" t="str">
        <f t="shared" ca="1" si="10"/>
        <v>96</v>
      </c>
      <c r="J67" s="42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42">
        <f t="shared" ca="1" si="11"/>
        <v>10</v>
      </c>
      <c r="L67" s="42"/>
      <c r="M67" s="42"/>
    </row>
    <row r="68" spans="1:13" ht="15.6" x14ac:dyDescent="0.3">
      <c r="A68" s="42"/>
      <c r="B68" s="61">
        <f ca="1">+'N° de Obs.'!M25</f>
        <v>90</v>
      </c>
      <c r="C68" s="42">
        <f ca="1">+'N° de Obs.'!N25</f>
        <v>5878</v>
      </c>
      <c r="D68" s="61">
        <f t="shared" ca="1" si="6"/>
        <v>89.03</v>
      </c>
      <c r="E68" s="52">
        <f t="shared" ca="1" si="7"/>
        <v>90</v>
      </c>
      <c r="F68" s="61">
        <f t="shared" ca="1" si="8"/>
        <v>0</v>
      </c>
      <c r="G68" s="42"/>
      <c r="H68" s="42">
        <f t="shared" ca="1" si="9"/>
        <v>89</v>
      </c>
      <c r="I68" s="66" t="str">
        <f t="shared" ca="1" si="10"/>
        <v>90</v>
      </c>
      <c r="J68" s="42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42">
        <f t="shared" ca="1" si="11"/>
        <v>0</v>
      </c>
      <c r="L68" s="42"/>
      <c r="M68" s="42"/>
    </row>
    <row r="69" spans="1:13" ht="15.6" x14ac:dyDescent="0.3">
      <c r="A69" s="42"/>
      <c r="B69" s="93" t="s">
        <v>91</v>
      </c>
      <c r="C69" s="94"/>
      <c r="D69" s="94"/>
      <c r="E69" s="94"/>
      <c r="F69" s="55">
        <f ca="1">+SUMIF(K49:K68,"&lt;=10",F49:F68)</f>
        <v>5</v>
      </c>
      <c r="G69" s="42"/>
      <c r="H69" s="42"/>
      <c r="I69" s="42"/>
      <c r="J69" s="42"/>
      <c r="K69" s="42">
        <f ca="1">+COUNTIF(K49:K68,"&lt;=10")</f>
        <v>19</v>
      </c>
      <c r="L69" s="42"/>
      <c r="M69" s="42"/>
    </row>
    <row r="70" spans="1:13" ht="15.6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</row>
    <row r="71" spans="1:13" ht="15.6" x14ac:dyDescent="0.3">
      <c r="A71" s="42"/>
      <c r="B71" s="42">
        <v>100</v>
      </c>
      <c r="C71" s="42">
        <f ca="1">+ROUND(AVERAGE('N° de Obs.'!O6:O25),0)</f>
        <v>5233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</row>
    <row r="72" spans="1:13" ht="15.6" x14ac:dyDescent="0.3">
      <c r="A72" s="42"/>
      <c r="B72" s="42"/>
      <c r="C72" s="42"/>
      <c r="D72" s="52"/>
      <c r="E72" s="52"/>
      <c r="F72" s="42"/>
      <c r="G72" s="42"/>
      <c r="H72" s="42"/>
      <c r="I72" s="42"/>
      <c r="J72" s="42"/>
      <c r="K72" s="42"/>
      <c r="L72" s="42"/>
      <c r="M72" s="42"/>
    </row>
    <row r="73" spans="1:13" ht="15.6" x14ac:dyDescent="0.3">
      <c r="A73" s="42"/>
      <c r="B73" s="42"/>
      <c r="C73" s="42"/>
      <c r="D73" s="51" t="s">
        <v>85</v>
      </c>
      <c r="E73" s="51" t="s">
        <v>86</v>
      </c>
      <c r="F73" s="42"/>
      <c r="G73" s="42"/>
      <c r="H73" s="42"/>
      <c r="I73" s="42"/>
      <c r="J73" s="42"/>
      <c r="K73" s="42"/>
      <c r="L73" s="42"/>
      <c r="M73" s="42"/>
    </row>
    <row r="74" spans="1:13" ht="15.6" x14ac:dyDescent="0.3">
      <c r="A74" s="42"/>
      <c r="B74" s="42"/>
      <c r="C74" s="42"/>
      <c r="D74" s="60" t="s">
        <v>88</v>
      </c>
      <c r="E74" s="60" t="s">
        <v>25</v>
      </c>
      <c r="F74" s="42"/>
      <c r="G74" s="42"/>
      <c r="H74" s="42"/>
      <c r="I74" s="42"/>
      <c r="J74" s="42"/>
      <c r="K74" s="42"/>
      <c r="L74" s="42"/>
      <c r="M74" s="42"/>
    </row>
    <row r="75" spans="1:13" ht="15.6" x14ac:dyDescent="0.3">
      <c r="A75" s="42"/>
      <c r="B75" s="42"/>
      <c r="C75" s="42"/>
      <c r="D75" s="60" t="s">
        <v>96</v>
      </c>
      <c r="E75" s="67">
        <v>100</v>
      </c>
      <c r="F75" s="42"/>
      <c r="G75" s="42"/>
      <c r="H75" s="42"/>
      <c r="I75" s="42"/>
      <c r="J75" s="42"/>
      <c r="K75" s="42"/>
      <c r="L75" s="42"/>
      <c r="M75" s="42"/>
    </row>
    <row r="76" spans="1:13" ht="15.6" x14ac:dyDescent="0.3">
      <c r="A76" s="42"/>
      <c r="B76" s="42"/>
      <c r="C76" s="42"/>
      <c r="D76" s="60" t="s">
        <v>20</v>
      </c>
      <c r="E76" s="60">
        <f ca="1">+C71</f>
        <v>5233</v>
      </c>
      <c r="F76" s="42"/>
      <c r="G76" s="42"/>
      <c r="H76" s="42"/>
      <c r="I76" s="42"/>
      <c r="J76" s="42"/>
      <c r="K76" s="42"/>
      <c r="L76" s="42"/>
      <c r="M76" s="42"/>
    </row>
    <row r="77" spans="1:13" ht="31.2" x14ac:dyDescent="0.3">
      <c r="A77" s="42"/>
      <c r="B77" s="42"/>
      <c r="C77" s="42"/>
      <c r="D77" s="68" t="s">
        <v>98</v>
      </c>
      <c r="E77" s="60">
        <f ca="1">+K69</f>
        <v>19</v>
      </c>
      <c r="F77" s="42"/>
      <c r="G77" s="42"/>
      <c r="H77" s="42"/>
      <c r="I77" s="42"/>
      <c r="J77" s="42"/>
      <c r="K77" s="42"/>
      <c r="L77" s="42"/>
      <c r="M77" s="42"/>
    </row>
    <row r="78" spans="1:13" ht="15.6" x14ac:dyDescent="0.3">
      <c r="A78" s="42"/>
      <c r="B78" s="42"/>
      <c r="C78" s="42"/>
      <c r="D78" s="69" t="s">
        <v>95</v>
      </c>
      <c r="E78" s="61">
        <f ca="1">+F69</f>
        <v>5</v>
      </c>
      <c r="F78" s="42"/>
      <c r="G78" s="42"/>
      <c r="H78" s="42"/>
      <c r="I78" s="42"/>
      <c r="J78" s="42"/>
      <c r="K78" s="42"/>
      <c r="L78" s="42"/>
      <c r="M78" s="42"/>
    </row>
    <row r="79" spans="1:13" ht="31.2" x14ac:dyDescent="0.3">
      <c r="A79" s="42"/>
      <c r="B79" s="42"/>
      <c r="C79" s="42"/>
      <c r="D79" s="41" t="s">
        <v>97</v>
      </c>
      <c r="E79" s="59" t="str">
        <f ca="1">+CONCATENATE(ROUND((F69/K69*5)/5,2)," %")</f>
        <v>0.26 %</v>
      </c>
      <c r="F79" s="42"/>
      <c r="G79" s="42"/>
      <c r="H79" s="42"/>
      <c r="I79" s="42"/>
      <c r="J79" s="42"/>
      <c r="K79" s="42"/>
      <c r="L79" s="42"/>
      <c r="M79" s="42"/>
    </row>
    <row r="80" spans="1:13" ht="15.6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spans="1:13" ht="15.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1:13" ht="15.6" x14ac:dyDescent="0.3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7" spans="1:13" x14ac:dyDescent="0.3">
      <c r="C87" s="16"/>
      <c r="D87" s="16"/>
      <c r="E87" s="101" t="str">
        <f>+'Hoja de cronometraje'!K29</f>
        <v>Elemento L</v>
      </c>
      <c r="F87" s="101"/>
      <c r="G87" s="16"/>
    </row>
    <row r="88" spans="1:13" ht="15.6" x14ac:dyDescent="0.3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spans="1:13" ht="15.6" x14ac:dyDescent="0.3">
      <c r="A89" s="42"/>
      <c r="B89" s="52"/>
      <c r="C89" s="52"/>
      <c r="D89" s="52"/>
      <c r="E89" s="52"/>
      <c r="F89" s="52"/>
      <c r="G89" s="42"/>
      <c r="H89" s="42"/>
      <c r="I89" s="42"/>
      <c r="J89" s="42"/>
      <c r="K89" s="42"/>
      <c r="L89" s="42"/>
      <c r="M89" s="42"/>
    </row>
    <row r="90" spans="1:13" ht="15.6" x14ac:dyDescent="0.3">
      <c r="A90" s="42"/>
      <c r="B90" s="51" t="s">
        <v>26</v>
      </c>
      <c r="C90" s="70" t="s">
        <v>93</v>
      </c>
      <c r="D90" s="51" t="s">
        <v>94</v>
      </c>
      <c r="E90" s="70" t="s">
        <v>27</v>
      </c>
      <c r="F90" s="51" t="s">
        <v>95</v>
      </c>
      <c r="G90" s="42"/>
      <c r="H90" s="42"/>
      <c r="I90" s="42"/>
      <c r="J90" s="42"/>
      <c r="K90" s="42"/>
      <c r="L90" s="42"/>
      <c r="M90" s="42"/>
    </row>
    <row r="91" spans="1:13" ht="15.6" x14ac:dyDescent="0.3">
      <c r="A91" s="42"/>
      <c r="B91" s="48">
        <f ca="1">+'N° de Obs.'!D34</f>
        <v>95</v>
      </c>
      <c r="C91" s="44">
        <f ca="1">+'N° de Obs.'!E34</f>
        <v>2170</v>
      </c>
      <c r="D91" s="48">
        <f ca="1">+ROUND($B$113*$C$113/C91,2)</f>
        <v>95.81</v>
      </c>
      <c r="E91" s="44">
        <f ca="1">+J91</f>
        <v>95</v>
      </c>
      <c r="F91" s="48">
        <f ca="1">+B91-E91</f>
        <v>0</v>
      </c>
      <c r="G91" s="42"/>
      <c r="H91" s="42">
        <f ca="1">+ROUND(D91,1)</f>
        <v>95.8</v>
      </c>
      <c r="I91" s="66" t="str">
        <f ca="1">+RIGHT(H91*10,2)</f>
        <v>58</v>
      </c>
      <c r="J91" s="42" cm="1">
        <f t="array" aca="1" ref="J91" ca="1">+_xlfn.IFS(AND(I91&gt;="0",I91&lt;"25"),H91-(I91/10),AND(I91&gt;="25",I91&lt;"50"),H91+(5-(I91/10)),AND(I91&gt;="50",I91&lt;"75"),H91-((I91-50)/10),I91&gt;="75",H91+(10-(I91/10)))</f>
        <v>95</v>
      </c>
      <c r="K91" s="42">
        <f ca="1">+ABS(F91)</f>
        <v>0</v>
      </c>
      <c r="L91" s="42"/>
      <c r="M91" s="42"/>
    </row>
    <row r="92" spans="1:13" ht="15.6" x14ac:dyDescent="0.3">
      <c r="A92" s="42"/>
      <c r="B92" s="60">
        <f ca="1">+'N° de Obs.'!D35</f>
        <v>100</v>
      </c>
      <c r="C92" s="42">
        <f ca="1">+'N° de Obs.'!E35</f>
        <v>2052</v>
      </c>
      <c r="D92" s="60">
        <f t="shared" ref="D92:D110" ca="1" si="12">+ROUND($B$113*$C$113/C92,2)</f>
        <v>101.32</v>
      </c>
      <c r="E92" s="42">
        <f t="shared" ref="E92:E110" ca="1" si="13">+J92</f>
        <v>100</v>
      </c>
      <c r="F92" s="60">
        <f t="shared" ref="F92:F110" ca="1" si="14">+B92-E92</f>
        <v>0</v>
      </c>
      <c r="G92" s="42"/>
      <c r="H92" s="42">
        <f t="shared" ref="H92:H110" ca="1" si="15">+ROUND(D92,1)</f>
        <v>101.3</v>
      </c>
      <c r="I92" s="66" t="str">
        <f t="shared" ref="I92:I110" ca="1" si="16">+RIGHT(H92*10,2)</f>
        <v>13</v>
      </c>
      <c r="J92" s="42" cm="1">
        <f t="array" aca="1" ref="J92" ca="1">+_xlfn.IFS(AND(I92&gt;="0",I92&lt;"25"),H92-(I92/10),AND(I92&gt;="25",I92&lt;"50"),H92+(5-(I92/10)),AND(I92&gt;="50",I92&lt;"75"),H92-((I92-50)/10),I92&gt;="75",H92+(10-(I92/10)))</f>
        <v>100</v>
      </c>
      <c r="K92" s="42">
        <f t="shared" ref="K92:K110" ca="1" si="17">+ABS(F92)</f>
        <v>0</v>
      </c>
      <c r="L92" s="42"/>
      <c r="M92" s="42"/>
    </row>
    <row r="93" spans="1:13" ht="15.6" x14ac:dyDescent="0.3">
      <c r="A93" s="42"/>
      <c r="B93" s="60">
        <f ca="1">+'N° de Obs.'!D36</f>
        <v>100</v>
      </c>
      <c r="C93" s="42">
        <f ca="1">+'N° de Obs.'!E36</f>
        <v>2220</v>
      </c>
      <c r="D93" s="60">
        <f t="shared" ca="1" si="12"/>
        <v>93.65</v>
      </c>
      <c r="E93" s="42">
        <f t="shared" ca="1" si="13"/>
        <v>95</v>
      </c>
      <c r="F93" s="60">
        <f t="shared" ca="1" si="14"/>
        <v>5</v>
      </c>
      <c r="G93" s="42"/>
      <c r="H93" s="42">
        <f t="shared" ca="1" si="15"/>
        <v>93.7</v>
      </c>
      <c r="I93" s="66" t="str">
        <f t="shared" ca="1" si="16"/>
        <v>37</v>
      </c>
      <c r="J93" s="42" cm="1">
        <f t="array" aca="1" ref="J93" ca="1">+_xlfn.IFS(AND(I93&gt;="0",I93&lt;"25"),H93-(I93/10),AND(I93&gt;="25",I93&lt;"50"),H93+(5-(I93/10)),AND(I93&gt;="50",I93&lt;"75"),H93-((I93-50)/10),I93&gt;="75",H93+(10-(I93/10)))</f>
        <v>95</v>
      </c>
      <c r="K93" s="42">
        <f t="shared" ca="1" si="17"/>
        <v>5</v>
      </c>
      <c r="L93" s="42"/>
      <c r="M93" s="42"/>
    </row>
    <row r="94" spans="1:13" ht="15.6" x14ac:dyDescent="0.3">
      <c r="A94" s="42"/>
      <c r="B94" s="60">
        <f ca="1">+'N° de Obs.'!D37</f>
        <v>100</v>
      </c>
      <c r="C94" s="42">
        <f ca="1">+'N° de Obs.'!E37</f>
        <v>2213</v>
      </c>
      <c r="D94" s="60">
        <f t="shared" ca="1" si="12"/>
        <v>93.94</v>
      </c>
      <c r="E94" s="42">
        <f t="shared" ca="1" si="13"/>
        <v>95</v>
      </c>
      <c r="F94" s="60">
        <f t="shared" ca="1" si="14"/>
        <v>5</v>
      </c>
      <c r="G94" s="42"/>
      <c r="H94" s="42">
        <f t="shared" ca="1" si="15"/>
        <v>93.9</v>
      </c>
      <c r="I94" s="66" t="str">
        <f t="shared" ca="1" si="16"/>
        <v>39</v>
      </c>
      <c r="J94" s="42" cm="1">
        <f t="array" aca="1" ref="J94" ca="1">+_xlfn.IFS(AND(I94&gt;="0",I94&lt;"25"),H94-(I94/10),AND(I94&gt;="25",I94&lt;"50"),H94+(5-(I94/10)),AND(I94&gt;="50",I94&lt;"75"),H94-((I94-50)/10),I94&gt;="75",H94+(10-(I94/10)))</f>
        <v>95</v>
      </c>
      <c r="K94" s="42">
        <f t="shared" ca="1" si="17"/>
        <v>5</v>
      </c>
      <c r="L94" s="42"/>
      <c r="M94" s="42"/>
    </row>
    <row r="95" spans="1:13" ht="15.6" x14ac:dyDescent="0.3">
      <c r="A95" s="42"/>
      <c r="B95" s="60">
        <f ca="1">+'N° de Obs.'!D38</f>
        <v>105</v>
      </c>
      <c r="C95" s="42">
        <f ca="1">+'N° de Obs.'!E38</f>
        <v>2017</v>
      </c>
      <c r="D95" s="60">
        <f t="shared" ca="1" si="12"/>
        <v>103.07</v>
      </c>
      <c r="E95" s="42">
        <f t="shared" ca="1" si="13"/>
        <v>105</v>
      </c>
      <c r="F95" s="60">
        <f t="shared" ca="1" si="14"/>
        <v>0</v>
      </c>
      <c r="G95" s="42"/>
      <c r="H95" s="42">
        <f t="shared" ca="1" si="15"/>
        <v>103.1</v>
      </c>
      <c r="I95" s="66" t="str">
        <f t="shared" ca="1" si="16"/>
        <v>31</v>
      </c>
      <c r="J95" s="42" cm="1">
        <f t="array" aca="1" ref="J95" ca="1">+_xlfn.IFS(AND(I95&gt;="0",I95&lt;"25"),H95-(I95/10),AND(I95&gt;="25",I95&lt;"50"),H95+(5-(I95/10)),AND(I95&gt;="50",I95&lt;"75"),H95-((I95-50)/10),I95&gt;="75",H95+(10-(I95/10)))</f>
        <v>105</v>
      </c>
      <c r="K95" s="42">
        <f t="shared" ca="1" si="17"/>
        <v>0</v>
      </c>
      <c r="L95" s="42"/>
      <c r="M95" s="42"/>
    </row>
    <row r="96" spans="1:13" ht="15.6" x14ac:dyDescent="0.3">
      <c r="A96" s="42"/>
      <c r="B96" s="60">
        <f ca="1">+'N° de Obs.'!D39</f>
        <v>95</v>
      </c>
      <c r="C96" s="42">
        <f ca="1">+'N° de Obs.'!E39</f>
        <v>2163</v>
      </c>
      <c r="D96" s="60">
        <f t="shared" ca="1" si="12"/>
        <v>96.12</v>
      </c>
      <c r="E96" s="42">
        <f t="shared" ca="1" si="13"/>
        <v>95</v>
      </c>
      <c r="F96" s="60">
        <f t="shared" ca="1" si="14"/>
        <v>0</v>
      </c>
      <c r="G96" s="42"/>
      <c r="H96" s="42">
        <f t="shared" ca="1" si="15"/>
        <v>96.1</v>
      </c>
      <c r="I96" s="66" t="str">
        <f t="shared" ca="1" si="16"/>
        <v>61</v>
      </c>
      <c r="J96" s="42" cm="1">
        <f t="array" aca="1" ref="J96" ca="1">+_xlfn.IFS(AND(I96&gt;="0",I96&lt;"25"),H96-(I96/10),AND(I96&gt;="25",I96&lt;"50"),H96+(5-(I96/10)),AND(I96&gt;="50",I96&lt;"75"),H96-((I96-50)/10),I96&gt;="75",H96+(10-(I96/10)))</f>
        <v>95</v>
      </c>
      <c r="K96" s="42">
        <f t="shared" ca="1" si="17"/>
        <v>0</v>
      </c>
      <c r="L96" s="42"/>
      <c r="M96" s="42"/>
    </row>
    <row r="97" spans="1:13" ht="15.6" x14ac:dyDescent="0.3">
      <c r="A97" s="42"/>
      <c r="B97" s="60">
        <f ca="1">+'N° de Obs.'!D40</f>
        <v>90</v>
      </c>
      <c r="C97" s="42">
        <f ca="1">+'N° de Obs.'!E40</f>
        <v>2274</v>
      </c>
      <c r="D97" s="60">
        <f t="shared" ca="1" si="12"/>
        <v>91.42</v>
      </c>
      <c r="E97" s="42">
        <f t="shared" ca="1" si="13"/>
        <v>90</v>
      </c>
      <c r="F97" s="60">
        <f t="shared" ca="1" si="14"/>
        <v>0</v>
      </c>
      <c r="G97" s="42"/>
      <c r="H97" s="42">
        <f t="shared" ca="1" si="15"/>
        <v>91.4</v>
      </c>
      <c r="I97" s="66" t="str">
        <f t="shared" ca="1" si="16"/>
        <v>14</v>
      </c>
      <c r="J97" s="42" cm="1">
        <f t="array" aca="1" ref="J97" ca="1">+_xlfn.IFS(AND(I97&gt;="0",I97&lt;"25"),H97-(I97/10),AND(I97&gt;="25",I97&lt;"50"),H97+(5-(I97/10)),AND(I97&gt;="50",I97&lt;"75"),H97-((I97-50)/10),I97&gt;="75",H97+(10-(I97/10)))</f>
        <v>90</v>
      </c>
      <c r="K97" s="42">
        <f t="shared" ca="1" si="17"/>
        <v>0</v>
      </c>
      <c r="L97" s="42"/>
      <c r="M97" s="42"/>
    </row>
    <row r="98" spans="1:13" ht="15.6" x14ac:dyDescent="0.3">
      <c r="A98" s="42"/>
      <c r="B98" s="60">
        <f ca="1">+'N° de Obs.'!D41</f>
        <v>85</v>
      </c>
      <c r="C98" s="42">
        <f ca="1">+'N° de Obs.'!E41</f>
        <v>2266</v>
      </c>
      <c r="D98" s="60">
        <f t="shared" ca="1" si="12"/>
        <v>91.75</v>
      </c>
      <c r="E98" s="42">
        <f t="shared" ca="1" si="13"/>
        <v>90</v>
      </c>
      <c r="F98" s="60">
        <f t="shared" ca="1" si="14"/>
        <v>-5</v>
      </c>
      <c r="G98" s="42"/>
      <c r="H98" s="42">
        <f t="shared" ca="1" si="15"/>
        <v>91.8</v>
      </c>
      <c r="I98" s="66" t="str">
        <f t="shared" ca="1" si="16"/>
        <v>18</v>
      </c>
      <c r="J98" s="42" cm="1">
        <f t="array" aca="1" ref="J98" ca="1">+_xlfn.IFS(AND(I98&gt;="0",I98&lt;"25"),H98-(I98/10),AND(I98&gt;="25",I98&lt;"50"),H98+(5-(I98/10)),AND(I98&gt;="50",I98&lt;"75"),H98-((I98-50)/10),I98&gt;="75",H98+(10-(I98/10)))</f>
        <v>90</v>
      </c>
      <c r="K98" s="42">
        <f t="shared" ca="1" si="17"/>
        <v>5</v>
      </c>
      <c r="L98" s="42"/>
      <c r="M98" s="42"/>
    </row>
    <row r="99" spans="1:13" ht="15.6" x14ac:dyDescent="0.3">
      <c r="A99" s="42"/>
      <c r="B99" s="60">
        <f ca="1">+'N° de Obs.'!D42</f>
        <v>105</v>
      </c>
      <c r="C99" s="42">
        <f ca="1">+'N° de Obs.'!E42</f>
        <v>2065</v>
      </c>
      <c r="D99" s="60">
        <f t="shared" ca="1" si="12"/>
        <v>100.68</v>
      </c>
      <c r="E99" s="42">
        <f t="shared" ca="1" si="13"/>
        <v>100</v>
      </c>
      <c r="F99" s="60">
        <f t="shared" ca="1" si="14"/>
        <v>5</v>
      </c>
      <c r="G99" s="42"/>
      <c r="H99" s="42">
        <f t="shared" ca="1" si="15"/>
        <v>100.7</v>
      </c>
      <c r="I99" s="66" t="str">
        <f t="shared" ca="1" si="16"/>
        <v>07</v>
      </c>
      <c r="J99" s="42" cm="1">
        <f t="array" aca="1" ref="J99" ca="1">+_xlfn.IFS(AND(I99&gt;="0",I99&lt;"25"),H99-(I99/10),AND(I99&gt;="25",I99&lt;"50"),H99+(5-(I99/10)),AND(I99&gt;="50",I99&lt;"75"),H99-((I99-50)/10),I99&gt;="75",H99+(10-(I99/10)))</f>
        <v>100</v>
      </c>
      <c r="K99" s="42">
        <f t="shared" ca="1" si="17"/>
        <v>5</v>
      </c>
      <c r="L99" s="42"/>
      <c r="M99" s="42"/>
    </row>
    <row r="100" spans="1:13" ht="15.6" x14ac:dyDescent="0.3">
      <c r="A100" s="42"/>
      <c r="B100" s="60">
        <f ca="1">+'N° de Obs.'!D43</f>
        <v>95</v>
      </c>
      <c r="C100" s="42">
        <f ca="1">+'N° de Obs.'!E43</f>
        <v>2225</v>
      </c>
      <c r="D100" s="60">
        <f t="shared" ca="1" si="12"/>
        <v>93.44</v>
      </c>
      <c r="E100" s="42">
        <f t="shared" ca="1" si="13"/>
        <v>95</v>
      </c>
      <c r="F100" s="60">
        <f t="shared" ca="1" si="14"/>
        <v>0</v>
      </c>
      <c r="G100" s="42"/>
      <c r="H100" s="42">
        <f t="shared" ca="1" si="15"/>
        <v>93.4</v>
      </c>
      <c r="I100" s="66" t="str">
        <f t="shared" ca="1" si="16"/>
        <v>34</v>
      </c>
      <c r="J100" s="42" cm="1">
        <f t="array" aca="1" ref="J100" ca="1">+_xlfn.IFS(AND(I100&gt;="0",I100&lt;"25"),H100-(I100/10),AND(I100&gt;="25",I100&lt;"50"),H100+(5-(I100/10)),AND(I100&gt;="50",I100&lt;"75"),H100-((I100-50)/10),I100&gt;="75",H100+(10-(I100/10)))</f>
        <v>95</v>
      </c>
      <c r="K100" s="42">
        <f t="shared" ca="1" si="17"/>
        <v>0</v>
      </c>
      <c r="L100" s="42"/>
      <c r="M100" s="42"/>
    </row>
    <row r="101" spans="1:13" ht="15.6" x14ac:dyDescent="0.3">
      <c r="A101" s="42"/>
      <c r="B101" s="60">
        <f ca="1">+'N° de Obs.'!D44</f>
        <v>100</v>
      </c>
      <c r="C101" s="42">
        <f ca="1">+'N° de Obs.'!E44</f>
        <v>2067</v>
      </c>
      <c r="D101" s="60">
        <f t="shared" ca="1" si="12"/>
        <v>100.58</v>
      </c>
      <c r="E101" s="42">
        <f t="shared" ca="1" si="13"/>
        <v>100</v>
      </c>
      <c r="F101" s="60">
        <f t="shared" ca="1" si="14"/>
        <v>0</v>
      </c>
      <c r="G101" s="42"/>
      <c r="H101" s="42">
        <f t="shared" ca="1" si="15"/>
        <v>100.6</v>
      </c>
      <c r="I101" s="66" t="str">
        <f t="shared" ca="1" si="16"/>
        <v>06</v>
      </c>
      <c r="J101" s="42" cm="1">
        <f t="array" aca="1" ref="J101" ca="1">+_xlfn.IFS(AND(I101&gt;="0",I101&lt;"25"),H101-(I101/10),AND(I101&gt;="25",I101&lt;"50"),H101+(5-(I101/10)),AND(I101&gt;="50",I101&lt;"75"),H101-((I101-50)/10),I101&gt;="75",H101+(10-(I101/10)))</f>
        <v>100</v>
      </c>
      <c r="K101" s="42">
        <f t="shared" ca="1" si="17"/>
        <v>0</v>
      </c>
      <c r="L101" s="42"/>
      <c r="M101" s="42"/>
    </row>
    <row r="102" spans="1:13" ht="15.6" x14ac:dyDescent="0.3">
      <c r="A102" s="42"/>
      <c r="B102" s="60">
        <f ca="1">+'N° de Obs.'!D45</f>
        <v>85</v>
      </c>
      <c r="C102" s="42">
        <f ca="1">+'N° de Obs.'!E45</f>
        <v>2271</v>
      </c>
      <c r="D102" s="60">
        <f t="shared" ca="1" si="12"/>
        <v>91.55</v>
      </c>
      <c r="E102" s="42">
        <f t="shared" ca="1" si="13"/>
        <v>90</v>
      </c>
      <c r="F102" s="60">
        <f t="shared" ca="1" si="14"/>
        <v>-5</v>
      </c>
      <c r="G102" s="42"/>
      <c r="H102" s="42">
        <f t="shared" ca="1" si="15"/>
        <v>91.6</v>
      </c>
      <c r="I102" s="66" t="str">
        <f t="shared" ca="1" si="16"/>
        <v>16</v>
      </c>
      <c r="J102" s="42" cm="1">
        <f t="array" aca="1" ref="J102" ca="1">+_xlfn.IFS(AND(I102&gt;="0",I102&lt;"25"),H102-(I102/10),AND(I102&gt;="25",I102&lt;"50"),H102+(5-(I102/10)),AND(I102&gt;="50",I102&lt;"75"),H102-((I102-50)/10),I102&gt;="75",H102+(10-(I102/10)))</f>
        <v>90</v>
      </c>
      <c r="K102" s="42">
        <f t="shared" ca="1" si="17"/>
        <v>5</v>
      </c>
      <c r="L102" s="42"/>
      <c r="M102" s="42"/>
    </row>
    <row r="103" spans="1:13" ht="15.6" x14ac:dyDescent="0.3">
      <c r="A103" s="42"/>
      <c r="B103" s="60">
        <f ca="1">+'N° de Obs.'!D46</f>
        <v>85</v>
      </c>
      <c r="C103" s="42">
        <f ca="1">+'N° de Obs.'!E46</f>
        <v>2108</v>
      </c>
      <c r="D103" s="60">
        <f t="shared" ca="1" si="12"/>
        <v>98.62</v>
      </c>
      <c r="E103" s="42">
        <f t="shared" ca="1" si="13"/>
        <v>100</v>
      </c>
      <c r="F103" s="60">
        <f t="shared" ca="1" si="14"/>
        <v>-15</v>
      </c>
      <c r="G103" s="42"/>
      <c r="H103" s="42">
        <f t="shared" ca="1" si="15"/>
        <v>98.6</v>
      </c>
      <c r="I103" s="66" t="str">
        <f t="shared" ca="1" si="16"/>
        <v>86</v>
      </c>
      <c r="J103" s="42" cm="1">
        <f t="array" aca="1" ref="J103" ca="1">+_xlfn.IFS(AND(I103&gt;="0",I103&lt;"25"),H103-(I103/10),AND(I103&gt;="25",I103&lt;"50"),H103+(5-(I103/10)),AND(I103&gt;="50",I103&lt;"75"),H103-((I103-50)/10),I103&gt;="75",H103+(10-(I103/10)))</f>
        <v>100</v>
      </c>
      <c r="K103" s="42">
        <f t="shared" ca="1" si="17"/>
        <v>15</v>
      </c>
      <c r="L103" s="42"/>
      <c r="M103" s="42"/>
    </row>
    <row r="104" spans="1:13" ht="15.6" x14ac:dyDescent="0.3">
      <c r="A104" s="42"/>
      <c r="B104" s="60">
        <f ca="1">+'N° de Obs.'!D47</f>
        <v>95</v>
      </c>
      <c r="C104" s="42">
        <f ca="1">+'N° de Obs.'!E47</f>
        <v>2247</v>
      </c>
      <c r="D104" s="60">
        <f t="shared" ca="1" si="12"/>
        <v>92.52</v>
      </c>
      <c r="E104" s="42">
        <f t="shared" ca="1" si="13"/>
        <v>95</v>
      </c>
      <c r="F104" s="60">
        <f t="shared" ca="1" si="14"/>
        <v>0</v>
      </c>
      <c r="G104" s="42"/>
      <c r="H104" s="42">
        <f t="shared" ca="1" si="15"/>
        <v>92.5</v>
      </c>
      <c r="I104" s="66" t="str">
        <f t="shared" ca="1" si="16"/>
        <v>25</v>
      </c>
      <c r="J104" s="42" cm="1">
        <f t="array" aca="1" ref="J104" ca="1">+_xlfn.IFS(AND(I104&gt;="0",I104&lt;"25"),H104-(I104/10),AND(I104&gt;="25",I104&lt;"50"),H104+(5-(I104/10)),AND(I104&gt;="50",I104&lt;"75"),H104-((I104-50)/10),I104&gt;="75",H104+(10-(I104/10)))</f>
        <v>95</v>
      </c>
      <c r="K104" s="42">
        <f t="shared" ca="1" si="17"/>
        <v>0</v>
      </c>
      <c r="L104" s="42"/>
      <c r="M104" s="42"/>
    </row>
    <row r="105" spans="1:13" ht="15.6" x14ac:dyDescent="0.3">
      <c r="A105" s="42"/>
      <c r="B105" s="60">
        <f ca="1">+'N° de Obs.'!D48</f>
        <v>105</v>
      </c>
      <c r="C105" s="42">
        <f ca="1">+'N° de Obs.'!E48</f>
        <v>2297</v>
      </c>
      <c r="D105" s="60">
        <f t="shared" ca="1" si="12"/>
        <v>90.51</v>
      </c>
      <c r="E105" s="42">
        <f t="shared" ca="1" si="13"/>
        <v>90</v>
      </c>
      <c r="F105" s="60">
        <f t="shared" ca="1" si="14"/>
        <v>15</v>
      </c>
      <c r="G105" s="42"/>
      <c r="H105" s="42">
        <f t="shared" ca="1" si="15"/>
        <v>90.5</v>
      </c>
      <c r="I105" s="66" t="str">
        <f t="shared" ca="1" si="16"/>
        <v>05</v>
      </c>
      <c r="J105" s="42" cm="1">
        <f t="array" aca="1" ref="J105" ca="1">+_xlfn.IFS(AND(I105&gt;="0",I105&lt;"25"),H105-(I105/10),AND(I105&gt;="25",I105&lt;"50"),H105+(5-(I105/10)),AND(I105&gt;="50",I105&lt;"75"),H105-((I105-50)/10),I105&gt;="75",H105+(10-(I105/10)))</f>
        <v>90</v>
      </c>
      <c r="K105" s="42">
        <f t="shared" ca="1" si="17"/>
        <v>15</v>
      </c>
      <c r="L105" s="42"/>
      <c r="M105" s="42"/>
    </row>
    <row r="106" spans="1:13" ht="15.6" x14ac:dyDescent="0.3">
      <c r="A106" s="42"/>
      <c r="B106" s="60">
        <f ca="1">+'N° de Obs.'!D49</f>
        <v>90</v>
      </c>
      <c r="C106" s="42">
        <f ca="1">+'N° de Obs.'!E49</f>
        <v>2057</v>
      </c>
      <c r="D106" s="60">
        <f t="shared" ca="1" si="12"/>
        <v>101.07</v>
      </c>
      <c r="E106" s="42">
        <f t="shared" ca="1" si="13"/>
        <v>100</v>
      </c>
      <c r="F106" s="60">
        <f t="shared" ca="1" si="14"/>
        <v>-10</v>
      </c>
      <c r="G106" s="42"/>
      <c r="H106" s="42">
        <f t="shared" ca="1" si="15"/>
        <v>101.1</v>
      </c>
      <c r="I106" s="66" t="str">
        <f t="shared" ca="1" si="16"/>
        <v>11</v>
      </c>
      <c r="J106" s="42" cm="1">
        <f t="array" aca="1" ref="J106" ca="1">+_xlfn.IFS(AND(I106&gt;="0",I106&lt;"25"),H106-(I106/10),AND(I106&gt;="25",I106&lt;"50"),H106+(5-(I106/10)),AND(I106&gt;="50",I106&lt;"75"),H106-((I106-50)/10),I106&gt;="75",H106+(10-(I106/10)))</f>
        <v>100</v>
      </c>
      <c r="K106" s="42">
        <f t="shared" ca="1" si="17"/>
        <v>10</v>
      </c>
      <c r="L106" s="42"/>
      <c r="M106" s="42"/>
    </row>
    <row r="107" spans="1:13" ht="15.6" x14ac:dyDescent="0.3">
      <c r="A107" s="42"/>
      <c r="B107" s="60">
        <f ca="1">+'N° de Obs.'!D50</f>
        <v>100</v>
      </c>
      <c r="C107" s="42">
        <f ca="1">+'N° de Obs.'!E50</f>
        <v>2127</v>
      </c>
      <c r="D107" s="60">
        <f t="shared" ca="1" si="12"/>
        <v>97.74</v>
      </c>
      <c r="E107" s="42">
        <f t="shared" ca="1" si="13"/>
        <v>100</v>
      </c>
      <c r="F107" s="60">
        <f t="shared" ca="1" si="14"/>
        <v>0</v>
      </c>
      <c r="G107" s="42"/>
      <c r="H107" s="42">
        <f t="shared" ca="1" si="15"/>
        <v>97.7</v>
      </c>
      <c r="I107" s="66" t="str">
        <f t="shared" ca="1" si="16"/>
        <v>77</v>
      </c>
      <c r="J107" s="42" cm="1">
        <f t="array" aca="1" ref="J107" ca="1">+_xlfn.IFS(AND(I107&gt;="0",I107&lt;"25"),H107-(I107/10),AND(I107&gt;="25",I107&lt;"50"),H107+(5-(I107/10)),AND(I107&gt;="50",I107&lt;"75"),H107-((I107-50)/10),I107&gt;="75",H107+(10-(I107/10)))</f>
        <v>100</v>
      </c>
      <c r="K107" s="42">
        <f t="shared" ca="1" si="17"/>
        <v>0</v>
      </c>
      <c r="L107" s="42"/>
      <c r="M107" s="42"/>
    </row>
    <row r="108" spans="1:13" ht="15.6" x14ac:dyDescent="0.3">
      <c r="A108" s="42"/>
      <c r="B108" s="60">
        <f ca="1">+'N° de Obs.'!D51</f>
        <v>90</v>
      </c>
      <c r="C108" s="42">
        <f ca="1">+'N° de Obs.'!E51</f>
        <v>2254</v>
      </c>
      <c r="D108" s="60">
        <f t="shared" ca="1" si="12"/>
        <v>92.24</v>
      </c>
      <c r="E108" s="42">
        <f t="shared" ca="1" si="13"/>
        <v>90</v>
      </c>
      <c r="F108" s="60">
        <f t="shared" ca="1" si="14"/>
        <v>0</v>
      </c>
      <c r="G108" s="42"/>
      <c r="H108" s="42">
        <f t="shared" ca="1" si="15"/>
        <v>92.2</v>
      </c>
      <c r="I108" s="66" t="str">
        <f t="shared" ca="1" si="16"/>
        <v>22</v>
      </c>
      <c r="J108" s="42" cm="1">
        <f t="array" aca="1" ref="J108" ca="1">+_xlfn.IFS(AND(I108&gt;="0",I108&lt;"25"),H108-(I108/10),AND(I108&gt;="25",I108&lt;"50"),H108+(5-(I108/10)),AND(I108&gt;="50",I108&lt;"75"),H108-((I108-50)/10),I108&gt;="75",H108+(10-(I108/10)))</f>
        <v>90</v>
      </c>
      <c r="K108" s="42">
        <f t="shared" ca="1" si="17"/>
        <v>0</v>
      </c>
      <c r="L108" s="42"/>
      <c r="M108" s="42"/>
    </row>
    <row r="109" spans="1:13" ht="15.6" x14ac:dyDescent="0.3">
      <c r="A109" s="42"/>
      <c r="B109" s="60">
        <f ca="1">+'N° de Obs.'!D52</f>
        <v>95</v>
      </c>
      <c r="C109" s="42">
        <f ca="1">+'N° de Obs.'!E52</f>
        <v>2166</v>
      </c>
      <c r="D109" s="60">
        <f t="shared" ca="1" si="12"/>
        <v>95.98</v>
      </c>
      <c r="E109" s="42">
        <f t="shared" ca="1" si="13"/>
        <v>95</v>
      </c>
      <c r="F109" s="60">
        <f t="shared" ca="1" si="14"/>
        <v>0</v>
      </c>
      <c r="G109" s="42"/>
      <c r="H109" s="42">
        <f t="shared" ca="1" si="15"/>
        <v>96</v>
      </c>
      <c r="I109" s="66" t="str">
        <f t="shared" ca="1" si="16"/>
        <v>60</v>
      </c>
      <c r="J109" s="42" cm="1">
        <f t="array" aca="1" ref="J109" ca="1">+_xlfn.IFS(AND(I109&gt;="0",I109&lt;"25"),H109-(I109/10),AND(I109&gt;="25",I109&lt;"50"),H109+(5-(I109/10)),AND(I109&gt;="50",I109&lt;"75"),H109-((I109-50)/10),I109&gt;="75",H109+(10-(I109/10)))</f>
        <v>95</v>
      </c>
      <c r="K109" s="42">
        <f t="shared" ca="1" si="17"/>
        <v>0</v>
      </c>
      <c r="L109" s="42"/>
      <c r="M109" s="42"/>
    </row>
    <row r="110" spans="1:13" ht="15.6" x14ac:dyDescent="0.3">
      <c r="A110" s="42"/>
      <c r="B110" s="61">
        <f ca="1">+'N° de Obs.'!D53</f>
        <v>100</v>
      </c>
      <c r="C110" s="42">
        <f ca="1">+'N° de Obs.'!E53</f>
        <v>2211</v>
      </c>
      <c r="D110" s="61">
        <f t="shared" ca="1" si="12"/>
        <v>94.03</v>
      </c>
      <c r="E110" s="52">
        <f t="shared" ca="1" si="13"/>
        <v>95</v>
      </c>
      <c r="F110" s="61">
        <f t="shared" ca="1" si="14"/>
        <v>5</v>
      </c>
      <c r="G110" s="42"/>
      <c r="H110" s="42">
        <f t="shared" ca="1" si="15"/>
        <v>94</v>
      </c>
      <c r="I110" s="66" t="str">
        <f t="shared" ca="1" si="16"/>
        <v>40</v>
      </c>
      <c r="J110" s="42" cm="1">
        <f t="array" aca="1" ref="J110" ca="1">+_xlfn.IFS(AND(I110&gt;="0",I110&lt;"25"),H110-(I110/10),AND(I110&gt;="25",I110&lt;"50"),H110+(5-(I110/10)),AND(I110&gt;="50",I110&lt;"75"),H110-((I110-50)/10),I110&gt;="75",H110+(10-(I110/10)))</f>
        <v>95</v>
      </c>
      <c r="K110" s="42">
        <f t="shared" ca="1" si="17"/>
        <v>5</v>
      </c>
      <c r="L110" s="42"/>
      <c r="M110" s="42"/>
    </row>
    <row r="111" spans="1:13" ht="15.6" x14ac:dyDescent="0.3">
      <c r="A111" s="42"/>
      <c r="B111" s="93" t="s">
        <v>91</v>
      </c>
      <c r="C111" s="94"/>
      <c r="D111" s="94"/>
      <c r="E111" s="94"/>
      <c r="F111" s="55">
        <f ca="1">+SUMIF(K91:K110,"&lt;=10",F91:F110)</f>
        <v>0</v>
      </c>
      <c r="G111" s="42"/>
      <c r="H111" s="42"/>
      <c r="I111" s="42"/>
      <c r="J111" s="42"/>
      <c r="K111" s="42">
        <f ca="1">+COUNTIF(K91:K110,"&lt;=10")</f>
        <v>18</v>
      </c>
      <c r="L111" s="42"/>
      <c r="M111" s="42"/>
    </row>
    <row r="112" spans="1:13" ht="15.6" x14ac:dyDescent="0.3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</row>
    <row r="113" spans="1:13" ht="15.6" x14ac:dyDescent="0.3">
      <c r="A113" s="42"/>
      <c r="B113" s="42">
        <v>100</v>
      </c>
      <c r="C113" s="42">
        <f ca="1">+ROUND(AVERAGE('N° de Obs.'!F34:F53),0)</f>
        <v>2079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</row>
    <row r="114" spans="1:13" ht="15.6" x14ac:dyDescent="0.3">
      <c r="A114" s="42"/>
      <c r="B114" s="42"/>
      <c r="C114" s="42"/>
      <c r="D114" s="52"/>
      <c r="E114" s="52"/>
      <c r="F114" s="42"/>
      <c r="G114" s="42"/>
      <c r="H114" s="42"/>
      <c r="I114" s="42"/>
      <c r="J114" s="42"/>
      <c r="K114" s="42"/>
      <c r="L114" s="42"/>
      <c r="M114" s="42"/>
    </row>
    <row r="115" spans="1:13" ht="15.6" x14ac:dyDescent="0.3">
      <c r="A115" s="42"/>
      <c r="B115" s="42"/>
      <c r="C115" s="42"/>
      <c r="D115" s="51" t="s">
        <v>85</v>
      </c>
      <c r="E115" s="51" t="s">
        <v>86</v>
      </c>
      <c r="F115" s="42"/>
      <c r="G115" s="42"/>
      <c r="H115" s="42"/>
      <c r="I115" s="42"/>
      <c r="J115" s="42"/>
      <c r="K115" s="42"/>
      <c r="L115" s="42"/>
      <c r="M115" s="42"/>
    </row>
    <row r="116" spans="1:13" ht="15.6" x14ac:dyDescent="0.3">
      <c r="A116" s="42"/>
      <c r="B116" s="42"/>
      <c r="C116" s="42"/>
      <c r="D116" s="60" t="s">
        <v>88</v>
      </c>
      <c r="E116" s="60" t="s">
        <v>25</v>
      </c>
      <c r="F116" s="42"/>
      <c r="G116" s="42"/>
      <c r="H116" s="42"/>
      <c r="I116" s="42"/>
      <c r="J116" s="42"/>
      <c r="K116" s="42"/>
      <c r="L116" s="42"/>
      <c r="M116" s="42"/>
    </row>
    <row r="117" spans="1:13" ht="15.6" x14ac:dyDescent="0.3">
      <c r="A117" s="42"/>
      <c r="B117" s="42"/>
      <c r="C117" s="42"/>
      <c r="D117" s="60" t="s">
        <v>96</v>
      </c>
      <c r="E117" s="67">
        <v>100</v>
      </c>
      <c r="F117" s="42"/>
      <c r="G117" s="42"/>
      <c r="H117" s="42"/>
      <c r="I117" s="42"/>
      <c r="J117" s="42"/>
      <c r="K117" s="42"/>
      <c r="L117" s="42"/>
      <c r="M117" s="42"/>
    </row>
    <row r="118" spans="1:13" ht="15.6" x14ac:dyDescent="0.3">
      <c r="A118" s="42"/>
      <c r="B118" s="42"/>
      <c r="C118" s="42"/>
      <c r="D118" s="60" t="s">
        <v>20</v>
      </c>
      <c r="E118" s="60">
        <f ca="1">+C113</f>
        <v>2079</v>
      </c>
      <c r="F118" s="42"/>
      <c r="G118" s="42"/>
      <c r="H118" s="42"/>
      <c r="I118" s="42"/>
      <c r="J118" s="42"/>
      <c r="K118" s="42"/>
      <c r="L118" s="42"/>
      <c r="M118" s="42"/>
    </row>
    <row r="119" spans="1:13" ht="31.2" x14ac:dyDescent="0.3">
      <c r="A119" s="42"/>
      <c r="B119" s="42"/>
      <c r="C119" s="42"/>
      <c r="D119" s="68" t="s">
        <v>98</v>
      </c>
      <c r="E119" s="60">
        <f ca="1">+K111</f>
        <v>18</v>
      </c>
      <c r="F119" s="42"/>
      <c r="G119" s="42"/>
      <c r="H119" s="42"/>
      <c r="I119" s="42"/>
      <c r="J119" s="42"/>
      <c r="K119" s="42"/>
      <c r="L119" s="42"/>
      <c r="M119" s="42"/>
    </row>
    <row r="120" spans="1:13" ht="15.6" x14ac:dyDescent="0.3">
      <c r="A120" s="42"/>
      <c r="B120" s="42"/>
      <c r="C120" s="42"/>
      <c r="D120" s="69" t="s">
        <v>95</v>
      </c>
      <c r="E120" s="61">
        <f ca="1">+F111</f>
        <v>0</v>
      </c>
      <c r="F120" s="42"/>
      <c r="G120" s="42"/>
      <c r="H120" s="42"/>
      <c r="I120" s="42"/>
      <c r="J120" s="42"/>
      <c r="K120" s="42"/>
      <c r="L120" s="42"/>
      <c r="M120" s="42"/>
    </row>
    <row r="121" spans="1:13" ht="31.2" x14ac:dyDescent="0.3">
      <c r="A121" s="42"/>
      <c r="B121" s="42"/>
      <c r="C121" s="42"/>
      <c r="D121" s="41" t="s">
        <v>97</v>
      </c>
      <c r="E121" s="59" t="str">
        <f ca="1">+CONCATENATE(ROUND((F111/K111*5)/5,2)," %")</f>
        <v>0 %</v>
      </c>
      <c r="F121" s="42"/>
      <c r="G121" s="42"/>
      <c r="H121" s="42"/>
      <c r="I121" s="42"/>
      <c r="J121" s="42"/>
      <c r="K121" s="42"/>
      <c r="L121" s="42"/>
      <c r="M121" s="42"/>
    </row>
    <row r="122" spans="1:13" ht="15.6" x14ac:dyDescent="0.3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</row>
    <row r="123" spans="1:13" ht="15.6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</row>
    <row r="124" spans="1:13" ht="15.6" x14ac:dyDescent="0.3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</row>
    <row r="125" spans="1:13" ht="15.6" x14ac:dyDescent="0.3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</row>
    <row r="126" spans="1:13" ht="15.6" x14ac:dyDescent="0.3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</row>
    <row r="127" spans="1:13" ht="15.6" x14ac:dyDescent="0.3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</row>
    <row r="128" spans="1:13" ht="15.6" x14ac:dyDescent="0.3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</row>
    <row r="129" spans="1:13" ht="15.6" x14ac:dyDescent="0.3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</row>
    <row r="130" spans="1:13" ht="15.6" x14ac:dyDescent="0.3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</row>
    <row r="131" spans="1:13" x14ac:dyDescent="0.3">
      <c r="B131" s="16"/>
      <c r="C131" s="16"/>
      <c r="D131" s="16"/>
      <c r="E131" s="16"/>
      <c r="F131" s="16"/>
      <c r="G131" s="16"/>
      <c r="I131" s="25"/>
      <c r="J131" s="16"/>
      <c r="K131" s="16"/>
    </row>
    <row r="132" spans="1:13" x14ac:dyDescent="0.3">
      <c r="B132" s="16"/>
      <c r="C132" s="16"/>
      <c r="D132" s="16"/>
      <c r="E132" s="16"/>
      <c r="F132" s="16"/>
      <c r="G132" s="16"/>
      <c r="I132" s="25"/>
      <c r="J132" s="16"/>
      <c r="K132" s="16"/>
    </row>
    <row r="133" spans="1:13" x14ac:dyDescent="0.3">
      <c r="B133" s="16"/>
      <c r="C133" s="16"/>
      <c r="D133" s="16"/>
      <c r="E133" s="16"/>
      <c r="F133" s="16"/>
      <c r="G133" s="16"/>
      <c r="I133" s="25"/>
      <c r="J133" s="16"/>
      <c r="K133" s="16"/>
    </row>
    <row r="134" spans="1:13" x14ac:dyDescent="0.3">
      <c r="B134" s="16"/>
      <c r="C134" s="16"/>
      <c r="D134" s="16"/>
      <c r="E134" s="16"/>
      <c r="F134" s="16"/>
      <c r="G134" s="16"/>
      <c r="I134" s="25"/>
      <c r="J134" s="16"/>
      <c r="K134" s="16"/>
    </row>
    <row r="135" spans="1:13" x14ac:dyDescent="0.3">
      <c r="B135" s="16"/>
      <c r="C135" s="16"/>
      <c r="D135" s="16"/>
      <c r="E135" s="16"/>
      <c r="F135" s="16"/>
      <c r="G135" s="16"/>
      <c r="I135" s="25"/>
      <c r="J135" s="16"/>
      <c r="K135" s="16"/>
    </row>
    <row r="136" spans="1:13" x14ac:dyDescent="0.3">
      <c r="B136" s="16"/>
      <c r="C136" s="16"/>
      <c r="D136" s="16"/>
      <c r="E136" s="16"/>
      <c r="F136" s="16"/>
      <c r="G136" s="16"/>
      <c r="I136" s="25"/>
      <c r="J136" s="16"/>
      <c r="K136" s="16"/>
    </row>
    <row r="137" spans="1:13" x14ac:dyDescent="0.3">
      <c r="B137" s="16"/>
      <c r="C137" s="16"/>
      <c r="D137" s="16"/>
      <c r="E137" s="16"/>
      <c r="F137" s="16"/>
      <c r="G137" s="16"/>
      <c r="I137" s="25"/>
      <c r="J137" s="16"/>
      <c r="K137" s="16"/>
    </row>
    <row r="138" spans="1:13" x14ac:dyDescent="0.3">
      <c r="B138" s="16"/>
      <c r="C138" s="16"/>
      <c r="D138" s="16"/>
      <c r="E138" s="16"/>
      <c r="F138" s="16"/>
      <c r="G138" s="16"/>
      <c r="I138" s="25"/>
      <c r="J138" s="16"/>
      <c r="K138" s="16"/>
    </row>
    <row r="139" spans="1:13" x14ac:dyDescent="0.3">
      <c r="B139" s="16"/>
      <c r="C139" s="16"/>
      <c r="D139" s="16"/>
      <c r="E139" s="16"/>
      <c r="F139" s="16"/>
      <c r="G139" s="16"/>
      <c r="I139" s="25"/>
      <c r="J139" s="16"/>
      <c r="K139" s="16"/>
    </row>
    <row r="140" spans="1:13" x14ac:dyDescent="0.3">
      <c r="B140" s="16"/>
      <c r="C140" s="16"/>
      <c r="D140" s="16"/>
      <c r="E140" s="16"/>
      <c r="F140" s="16"/>
      <c r="G140" s="16"/>
      <c r="I140" s="25"/>
      <c r="J140" s="16"/>
      <c r="K140" s="16"/>
    </row>
    <row r="141" spans="1:13" x14ac:dyDescent="0.3">
      <c r="B141" s="16"/>
      <c r="C141" s="16"/>
      <c r="D141" s="16"/>
      <c r="E141" s="16"/>
      <c r="F141" s="16"/>
      <c r="G141" s="16"/>
      <c r="I141" s="25"/>
      <c r="J141" s="16"/>
      <c r="K141" s="16"/>
    </row>
    <row r="142" spans="1:13" x14ac:dyDescent="0.3">
      <c r="B142" s="16"/>
      <c r="C142" s="16"/>
      <c r="D142" s="16"/>
      <c r="E142" s="16"/>
      <c r="F142" s="16"/>
      <c r="G142" s="16"/>
      <c r="I142" s="25"/>
      <c r="J142" s="16"/>
      <c r="K142" s="16"/>
    </row>
    <row r="143" spans="1:13" x14ac:dyDescent="0.3">
      <c r="B143" s="16"/>
      <c r="C143" s="16"/>
      <c r="D143" s="16"/>
      <c r="E143" s="16"/>
      <c r="F143" s="16"/>
      <c r="I143" s="25"/>
      <c r="J143" s="16"/>
      <c r="K143" s="16"/>
    </row>
    <row r="144" spans="1:13" x14ac:dyDescent="0.3">
      <c r="B144" s="16"/>
      <c r="C144" s="16"/>
      <c r="D144" s="16"/>
      <c r="E144" s="16"/>
      <c r="F144" s="16"/>
      <c r="I144" s="25"/>
      <c r="J144" s="16"/>
      <c r="K144" s="16"/>
    </row>
    <row r="145" spans="2:11" x14ac:dyDescent="0.3">
      <c r="B145" s="16"/>
      <c r="C145" s="16"/>
      <c r="D145" s="16"/>
      <c r="E145" s="16"/>
      <c r="F145" s="16"/>
      <c r="I145" s="25"/>
      <c r="J145" s="16"/>
      <c r="K145" s="16"/>
    </row>
    <row r="146" spans="2:11" x14ac:dyDescent="0.3">
      <c r="B146" s="16"/>
      <c r="C146" s="16"/>
      <c r="D146" s="16"/>
      <c r="E146" s="16"/>
      <c r="F146" s="16"/>
      <c r="I146" s="25"/>
      <c r="J146" s="16"/>
      <c r="K146" s="16"/>
    </row>
    <row r="147" spans="2:11" x14ac:dyDescent="0.3">
      <c r="B147" s="16"/>
      <c r="C147" s="16"/>
      <c r="D147" s="16"/>
      <c r="E147" s="16"/>
      <c r="F147" s="16"/>
      <c r="I147" s="25"/>
      <c r="J147" s="16"/>
      <c r="K147" s="16"/>
    </row>
    <row r="148" spans="2:11" x14ac:dyDescent="0.3">
      <c r="B148" s="16"/>
      <c r="C148" s="16"/>
      <c r="D148" s="16"/>
      <c r="E148" s="16"/>
      <c r="F148" s="16"/>
      <c r="I148" s="25"/>
      <c r="J148" s="16"/>
      <c r="K148" s="16"/>
    </row>
    <row r="149" spans="2:11" x14ac:dyDescent="0.3">
      <c r="B149" s="16"/>
      <c r="C149" s="16"/>
      <c r="D149" s="16"/>
      <c r="E149" s="16"/>
      <c r="F149" s="16"/>
      <c r="I149" s="25"/>
      <c r="J149" s="16"/>
      <c r="K149" s="16"/>
    </row>
    <row r="150" spans="2:11" x14ac:dyDescent="0.3">
      <c r="I150" s="25"/>
      <c r="J150" s="16"/>
      <c r="K150" s="16"/>
    </row>
    <row r="151" spans="2:11" x14ac:dyDescent="0.3">
      <c r="K151" s="16"/>
    </row>
    <row r="152" spans="2:11" x14ac:dyDescent="0.3">
      <c r="B152" s="16"/>
      <c r="C152" s="16"/>
      <c r="E152" s="16"/>
      <c r="F152" s="16"/>
      <c r="K152" s="16"/>
    </row>
    <row r="156" spans="2:11" x14ac:dyDescent="0.3">
      <c r="D156" s="16"/>
      <c r="E156" s="16"/>
    </row>
    <row r="157" spans="2:11" x14ac:dyDescent="0.3">
      <c r="D157" s="16"/>
      <c r="E157" s="16"/>
    </row>
    <row r="158" spans="2:11" x14ac:dyDescent="0.3">
      <c r="D158" s="16"/>
      <c r="E158" s="16"/>
    </row>
    <row r="159" spans="2:11" x14ac:dyDescent="0.3">
      <c r="D159" s="26"/>
      <c r="E159" s="16"/>
    </row>
    <row r="169" spans="2:11" x14ac:dyDescent="0.3">
      <c r="G169" s="16"/>
    </row>
    <row r="170" spans="2:11" x14ac:dyDescent="0.3">
      <c r="G170" s="16"/>
    </row>
    <row r="171" spans="2:11" x14ac:dyDescent="0.3">
      <c r="G171" s="16"/>
    </row>
    <row r="172" spans="2:11" x14ac:dyDescent="0.3">
      <c r="B172" s="16"/>
      <c r="C172" s="16"/>
      <c r="D172" s="16"/>
      <c r="E172" s="16"/>
      <c r="F172" s="16"/>
      <c r="G172" s="16"/>
      <c r="I172" s="25"/>
      <c r="J172" s="16"/>
      <c r="K172" s="16"/>
    </row>
    <row r="173" spans="2:11" x14ac:dyDescent="0.3">
      <c r="B173" s="16"/>
      <c r="C173" s="16"/>
      <c r="D173" s="16"/>
      <c r="E173" s="16"/>
      <c r="F173" s="16"/>
      <c r="G173" s="16"/>
      <c r="I173" s="25"/>
      <c r="J173" s="16"/>
      <c r="K173" s="16"/>
    </row>
    <row r="174" spans="2:11" x14ac:dyDescent="0.3">
      <c r="B174" s="16"/>
      <c r="C174" s="16"/>
      <c r="D174" s="16"/>
      <c r="E174" s="16"/>
      <c r="F174" s="16"/>
      <c r="G174" s="16"/>
      <c r="I174" s="25"/>
      <c r="J174" s="16"/>
      <c r="K174" s="16"/>
    </row>
    <row r="175" spans="2:11" x14ac:dyDescent="0.3">
      <c r="B175" s="16"/>
      <c r="C175" s="16"/>
      <c r="D175" s="16"/>
      <c r="E175" s="16"/>
      <c r="F175" s="16"/>
      <c r="G175" s="16"/>
      <c r="I175" s="25"/>
      <c r="J175" s="16"/>
      <c r="K175" s="16"/>
    </row>
    <row r="176" spans="2:11" x14ac:dyDescent="0.3">
      <c r="B176" s="16"/>
      <c r="C176" s="16"/>
      <c r="D176" s="16"/>
      <c r="E176" s="16"/>
      <c r="F176" s="16"/>
      <c r="G176" s="16"/>
      <c r="I176" s="25"/>
      <c r="J176" s="16"/>
      <c r="K176" s="16"/>
    </row>
    <row r="177" spans="2:11" x14ac:dyDescent="0.3">
      <c r="B177" s="16"/>
      <c r="C177" s="16"/>
      <c r="D177" s="16"/>
      <c r="E177" s="16"/>
      <c r="F177" s="16"/>
      <c r="G177" s="16"/>
      <c r="I177" s="25"/>
      <c r="J177" s="16"/>
      <c r="K177" s="16"/>
    </row>
    <row r="178" spans="2:11" x14ac:dyDescent="0.3">
      <c r="B178" s="16"/>
      <c r="C178" s="16"/>
      <c r="D178" s="16"/>
      <c r="E178" s="16"/>
      <c r="F178" s="16"/>
      <c r="G178" s="16"/>
      <c r="I178" s="25"/>
      <c r="J178" s="16"/>
      <c r="K178" s="16"/>
    </row>
    <row r="179" spans="2:11" x14ac:dyDescent="0.3">
      <c r="B179" s="16"/>
      <c r="C179" s="16"/>
      <c r="D179" s="16"/>
      <c r="E179" s="16"/>
      <c r="F179" s="16"/>
      <c r="G179" s="16"/>
      <c r="I179" s="25"/>
      <c r="J179" s="16"/>
      <c r="K179" s="16"/>
    </row>
    <row r="180" spans="2:11" x14ac:dyDescent="0.3">
      <c r="B180" s="16"/>
      <c r="C180" s="16"/>
      <c r="D180" s="16"/>
      <c r="E180" s="16"/>
      <c r="F180" s="16"/>
      <c r="G180" s="16"/>
      <c r="I180" s="25"/>
      <c r="J180" s="16"/>
      <c r="K180" s="16"/>
    </row>
    <row r="181" spans="2:11" x14ac:dyDescent="0.3">
      <c r="B181" s="16"/>
      <c r="C181" s="16"/>
      <c r="D181" s="16"/>
      <c r="E181" s="16"/>
      <c r="F181" s="16"/>
      <c r="G181" s="16"/>
      <c r="I181" s="25"/>
      <c r="J181" s="16"/>
      <c r="K181" s="16"/>
    </row>
    <row r="182" spans="2:11" x14ac:dyDescent="0.3">
      <c r="B182" s="16"/>
      <c r="C182" s="16"/>
      <c r="D182" s="16"/>
      <c r="E182" s="16"/>
      <c r="F182" s="16"/>
      <c r="G182" s="16"/>
      <c r="I182" s="25"/>
      <c r="J182" s="16"/>
      <c r="K182" s="16"/>
    </row>
    <row r="183" spans="2:11" x14ac:dyDescent="0.3">
      <c r="B183" s="16"/>
      <c r="C183" s="16"/>
      <c r="D183" s="16"/>
      <c r="E183" s="16"/>
      <c r="F183" s="16"/>
      <c r="G183" s="16"/>
      <c r="I183" s="25"/>
      <c r="J183" s="16"/>
      <c r="K183" s="16"/>
    </row>
    <row r="184" spans="2:11" x14ac:dyDescent="0.3">
      <c r="B184" s="16"/>
      <c r="C184" s="16"/>
      <c r="D184" s="16"/>
      <c r="E184" s="16"/>
      <c r="F184" s="16"/>
      <c r="I184" s="25"/>
      <c r="J184" s="16"/>
      <c r="K184" s="16"/>
    </row>
    <row r="185" spans="2:11" x14ac:dyDescent="0.3">
      <c r="B185" s="16"/>
      <c r="C185" s="16"/>
      <c r="D185" s="16"/>
      <c r="E185" s="16"/>
      <c r="F185" s="16"/>
      <c r="I185" s="25"/>
      <c r="J185" s="16"/>
      <c r="K185" s="16"/>
    </row>
    <row r="186" spans="2:11" x14ac:dyDescent="0.3">
      <c r="B186" s="16"/>
      <c r="C186" s="16"/>
      <c r="D186" s="16"/>
      <c r="E186" s="16"/>
      <c r="F186" s="16"/>
      <c r="I186" s="25"/>
      <c r="J186" s="16"/>
      <c r="K186" s="16"/>
    </row>
    <row r="187" spans="2:11" x14ac:dyDescent="0.3">
      <c r="B187" s="16"/>
      <c r="C187" s="16"/>
      <c r="D187" s="16"/>
      <c r="E187" s="16"/>
      <c r="F187" s="16"/>
      <c r="I187" s="25"/>
      <c r="J187" s="16"/>
      <c r="K187" s="16"/>
    </row>
    <row r="188" spans="2:11" x14ac:dyDescent="0.3">
      <c r="B188" s="16"/>
      <c r="C188" s="16"/>
      <c r="D188" s="16"/>
      <c r="E188" s="16"/>
      <c r="F188" s="16"/>
      <c r="I188" s="25"/>
      <c r="J188" s="16"/>
      <c r="K188" s="16"/>
    </row>
    <row r="189" spans="2:11" x14ac:dyDescent="0.3">
      <c r="B189" s="16"/>
      <c r="C189" s="16"/>
      <c r="D189" s="16"/>
      <c r="E189" s="16"/>
      <c r="F189" s="16"/>
      <c r="I189" s="25"/>
      <c r="J189" s="16"/>
      <c r="K189" s="16"/>
    </row>
    <row r="190" spans="2:11" x14ac:dyDescent="0.3">
      <c r="B190" s="16"/>
      <c r="C190" s="16"/>
      <c r="D190" s="16"/>
      <c r="E190" s="16"/>
      <c r="F190" s="16"/>
      <c r="I190" s="25"/>
      <c r="J190" s="16"/>
      <c r="K190" s="16"/>
    </row>
    <row r="191" spans="2:11" x14ac:dyDescent="0.3">
      <c r="I191" s="25"/>
      <c r="J191" s="16"/>
      <c r="K191" s="16"/>
    </row>
    <row r="192" spans="2:11" x14ac:dyDescent="0.3">
      <c r="K192" s="16"/>
    </row>
    <row r="193" spans="2:11" x14ac:dyDescent="0.3">
      <c r="B193" s="16"/>
      <c r="C193" s="16"/>
      <c r="E193" s="16"/>
      <c r="F193" s="16"/>
      <c r="K193" s="16"/>
    </row>
    <row r="197" spans="2:11" x14ac:dyDescent="0.3">
      <c r="D197" s="16"/>
      <c r="E197" s="16"/>
    </row>
    <row r="198" spans="2:11" x14ac:dyDescent="0.3">
      <c r="D198" s="16"/>
      <c r="E198" s="16"/>
    </row>
    <row r="199" spans="2:11" x14ac:dyDescent="0.3">
      <c r="D199" s="16"/>
      <c r="E199" s="16"/>
    </row>
    <row r="200" spans="2:11" x14ac:dyDescent="0.3">
      <c r="D200" s="26"/>
      <c r="E200" s="16"/>
    </row>
  </sheetData>
  <mergeCells count="7">
    <mergeCell ref="B111:E111"/>
    <mergeCell ref="K32:M35"/>
    <mergeCell ref="E3:F3"/>
    <mergeCell ref="E45:F45"/>
    <mergeCell ref="B69:E69"/>
    <mergeCell ref="E87:F87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A2C2-D382-4AAD-B448-4914DC7C6D14}">
  <dimension ref="A1:R99"/>
  <sheetViews>
    <sheetView topLeftCell="A66" zoomScaleNormal="100" workbookViewId="0">
      <selection activeCell="S12" sqref="S12"/>
    </sheetView>
  </sheetViews>
  <sheetFormatPr baseColWidth="10" defaultRowHeight="14.4" x14ac:dyDescent="0.3"/>
  <cols>
    <col min="10" max="10" width="3.21875" customWidth="1"/>
    <col min="16" max="16" width="2.5546875" bestFit="1" customWidth="1"/>
  </cols>
  <sheetData>
    <row r="1" spans="1:17" ht="15.6" x14ac:dyDescent="0.3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15.6" x14ac:dyDescent="0.3">
      <c r="A2" s="43"/>
      <c r="B2" s="43"/>
      <c r="C2" s="43"/>
      <c r="D2" s="98" t="str">
        <f>+'N° de Obs.'!G2</f>
        <v>Elemento M</v>
      </c>
      <c r="E2" s="99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</row>
    <row r="3" spans="1:17" s="42" customFormat="1" ht="15.6" x14ac:dyDescent="0.3"/>
    <row r="4" spans="1:17" ht="15.6" x14ac:dyDescent="0.3">
      <c r="A4" s="42"/>
      <c r="B4" s="77" t="s">
        <v>18</v>
      </c>
      <c r="C4" s="77" t="s">
        <v>19</v>
      </c>
      <c r="D4" s="77" t="s">
        <v>20</v>
      </c>
      <c r="E4" s="78" t="s">
        <v>109</v>
      </c>
      <c r="F4" s="78" t="s">
        <v>110</v>
      </c>
      <c r="G4" s="78" t="s">
        <v>111</v>
      </c>
      <c r="H4" s="78" t="s">
        <v>112</v>
      </c>
      <c r="I4" s="79" t="s">
        <v>87</v>
      </c>
      <c r="J4" s="79" t="s">
        <v>113</v>
      </c>
      <c r="K4" s="80">
        <f ca="1">ROUNDDOWN(H28,0)</f>
        <v>135</v>
      </c>
      <c r="L4" s="42"/>
      <c r="M4" s="42"/>
      <c r="N4" s="42"/>
      <c r="O4" s="42"/>
      <c r="P4" s="42"/>
      <c r="Q4" s="42"/>
    </row>
    <row r="5" spans="1:17" ht="15.6" x14ac:dyDescent="0.3">
      <c r="A5" s="42"/>
      <c r="B5" s="59">
        <f ca="1">+'N° de Obs.'!D6</f>
        <v>90</v>
      </c>
      <c r="C5" s="59">
        <f ca="1">+'N° de Obs.'!E6</f>
        <v>3337</v>
      </c>
      <c r="D5" s="59">
        <f ca="1">+'N° de Obs.'!F6</f>
        <v>3003.3</v>
      </c>
      <c r="E5" s="59">
        <f ca="1">IF(I5="","",IFERROR(F5*G5,""))</f>
        <v>0</v>
      </c>
      <c r="F5" s="59">
        <f ca="1">IF(I5="","",IFERROR(G5*H5,""))</f>
        <v>0</v>
      </c>
      <c r="G5" s="59">
        <f ca="1">IF(I5="","",ROW($V1)-1)</f>
        <v>0</v>
      </c>
      <c r="H5" s="59">
        <f ca="1">IF(I5="","",COUNTIF($D$5:$D$24,"&lt;="&amp;$J6))</f>
        <v>2</v>
      </c>
      <c r="I5" s="59">
        <f ca="1">ROUND(H27,0)</f>
        <v>2712</v>
      </c>
      <c r="J5" s="57"/>
      <c r="K5" s="55" t="s">
        <v>132</v>
      </c>
      <c r="L5" s="42"/>
      <c r="M5" s="42"/>
      <c r="N5" s="59" t="s">
        <v>114</v>
      </c>
      <c r="O5" s="59">
        <f ca="1">F10/H10</f>
        <v>2.4500000000000002</v>
      </c>
      <c r="P5" s="42"/>
      <c r="Q5" s="42"/>
    </row>
    <row r="6" spans="1:17" ht="15.6" x14ac:dyDescent="0.3">
      <c r="A6" s="42"/>
      <c r="B6" s="59">
        <f ca="1">+'N° de Obs.'!D7</f>
        <v>100</v>
      </c>
      <c r="C6" s="59">
        <f ca="1">+'N° de Obs.'!E7</f>
        <v>3276</v>
      </c>
      <c r="D6" s="59">
        <f ca="1">+'N° de Obs.'!F7</f>
        <v>3276</v>
      </c>
      <c r="E6" s="59">
        <f t="shared" ref="E6:E9" ca="1" si="0">IF(I6="","",IFERROR(F6*G6,""))</f>
        <v>3</v>
      </c>
      <c r="F6" s="59">
        <f t="shared" ref="F6:F9" ca="1" si="1">IF(I6="","",IFERROR(G6*H6,""))</f>
        <v>3</v>
      </c>
      <c r="G6" s="59">
        <f t="shared" ref="G6:G9" ca="1" si="2">IF(I6="","",ROW($V2)-1)</f>
        <v>1</v>
      </c>
      <c r="H6" s="59">
        <f ca="1">IF(I6="","",COUNTIFS($D$5:$D$24,"&lt;="&amp;$J7,$D$5:$D$24,"&gt;"&amp;$J6))</f>
        <v>3</v>
      </c>
      <c r="I6" s="59">
        <f ca="1">IFERROR(IF($I5+$K$4&lt;=$M$28,$I5+$K$4,""),"")</f>
        <v>2847</v>
      </c>
      <c r="J6" s="71">
        <f ca="1">IF(I5="","",IFERROR(($I5+$I6)/2,MAX($D$5:$D$24)))</f>
        <v>2779.5</v>
      </c>
      <c r="K6" s="55" t="s">
        <v>133</v>
      </c>
      <c r="L6" s="42"/>
      <c r="M6" s="42"/>
      <c r="N6" s="59" t="s">
        <v>115</v>
      </c>
      <c r="O6" s="59">
        <f ca="1">E10/H10</f>
        <v>7.75</v>
      </c>
      <c r="P6" s="42"/>
      <c r="Q6" s="42"/>
    </row>
    <row r="7" spans="1:17" ht="15.6" x14ac:dyDescent="0.3">
      <c r="A7" s="42"/>
      <c r="B7" s="59">
        <f ca="1">+'N° de Obs.'!D8</f>
        <v>105</v>
      </c>
      <c r="C7" s="59">
        <f ca="1">+'N° de Obs.'!E8</f>
        <v>3165</v>
      </c>
      <c r="D7" s="59">
        <f ca="1">+'N° de Obs.'!F8</f>
        <v>3323.25</v>
      </c>
      <c r="E7" s="59">
        <f t="shared" ca="1" si="0"/>
        <v>20</v>
      </c>
      <c r="F7" s="59">
        <f t="shared" ca="1" si="1"/>
        <v>10</v>
      </c>
      <c r="G7" s="59">
        <f t="shared" ca="1" si="2"/>
        <v>2</v>
      </c>
      <c r="H7" s="59">
        <f t="shared" ref="H7:H9" ca="1" si="3">IF(I7="","",COUNTIFS($D$5:$D$24,"&lt;="&amp;$J8,$D$5:$D$24,"&gt;"&amp;$J7))</f>
        <v>5</v>
      </c>
      <c r="I7" s="59">
        <f ca="1">IFERROR(IF($I6+$K$4&lt;=$M$28,$I6+$K$4,""),"")</f>
        <v>2982</v>
      </c>
      <c r="J7" s="71">
        <f t="shared" ref="J7:J10" ca="1" si="4">IF(I6="","",IFERROR(($I6+$I7)/2,MAX($D$5:$D$24)))</f>
        <v>2914.5</v>
      </c>
      <c r="K7" s="55" t="s">
        <v>134</v>
      </c>
      <c r="L7" s="42"/>
      <c r="M7" s="42"/>
      <c r="N7" s="42"/>
      <c r="O7" s="42"/>
      <c r="P7" s="42"/>
      <c r="Q7" s="42"/>
    </row>
    <row r="8" spans="1:17" ht="15.6" x14ac:dyDescent="0.3">
      <c r="A8" s="42"/>
      <c r="B8" s="59">
        <f ca="1">+'N° de Obs.'!D9</f>
        <v>95</v>
      </c>
      <c r="C8" s="59">
        <f ca="1">+'N° de Obs.'!E9</f>
        <v>3206</v>
      </c>
      <c r="D8" s="59">
        <f ca="1">+'N° de Obs.'!F9</f>
        <v>3045.7</v>
      </c>
      <c r="E8" s="59">
        <f t="shared" ca="1" si="0"/>
        <v>36</v>
      </c>
      <c r="F8" s="59">
        <f t="shared" ca="1" si="1"/>
        <v>12</v>
      </c>
      <c r="G8" s="59">
        <f t="shared" ca="1" si="2"/>
        <v>3</v>
      </c>
      <c r="H8" s="59">
        <f t="shared" ca="1" si="3"/>
        <v>4</v>
      </c>
      <c r="I8" s="59">
        <f ca="1">IFERROR(IF($I7+$K$4&lt;=$M$28,$I7+$K$4,""),"")</f>
        <v>3117</v>
      </c>
      <c r="J8" s="71">
        <f t="shared" ca="1" si="4"/>
        <v>3049.5</v>
      </c>
      <c r="K8" s="55" t="s">
        <v>135</v>
      </c>
      <c r="L8" s="42"/>
      <c r="M8" s="42"/>
      <c r="N8" s="59" t="s">
        <v>116</v>
      </c>
      <c r="O8" s="59">
        <f ca="1">H27+(K4*O5)</f>
        <v>3042.25</v>
      </c>
      <c r="P8" s="42"/>
      <c r="Q8" s="42"/>
    </row>
    <row r="9" spans="1:17" ht="16.2" thickBot="1" x14ac:dyDescent="0.35">
      <c r="A9" s="42"/>
      <c r="B9" s="59">
        <f ca="1">+'N° de Obs.'!D10</f>
        <v>100</v>
      </c>
      <c r="C9" s="59">
        <f ca="1">+'N° de Obs.'!E10</f>
        <v>3114</v>
      </c>
      <c r="D9" s="59">
        <f ca="1">+'N° de Obs.'!F10</f>
        <v>3114</v>
      </c>
      <c r="E9" s="59">
        <f t="shared" ca="1" si="0"/>
        <v>96</v>
      </c>
      <c r="F9" s="59">
        <f t="shared" ca="1" si="1"/>
        <v>24</v>
      </c>
      <c r="G9" s="59">
        <f t="shared" ca="1" si="2"/>
        <v>4</v>
      </c>
      <c r="H9" s="59">
        <f t="shared" ca="1" si="3"/>
        <v>6</v>
      </c>
      <c r="I9" s="59">
        <f ca="1">IFERROR(IF($I8+$K$4&lt;=$M$28,$I8+$K$4,""),"")</f>
        <v>3252</v>
      </c>
      <c r="J9" s="71">
        <f t="shared" ca="1" si="4"/>
        <v>3184.5</v>
      </c>
      <c r="K9" s="55" t="s">
        <v>136</v>
      </c>
      <c r="L9" s="42"/>
      <c r="M9" s="42"/>
      <c r="N9" s="59" t="s">
        <v>117</v>
      </c>
      <c r="O9" s="72">
        <f ca="1">K4*(SQRT(O6-POWER(O5,2)))</f>
        <v>178.46060489643077</v>
      </c>
      <c r="P9" s="42"/>
      <c r="Q9" s="42"/>
    </row>
    <row r="10" spans="1:17" ht="16.2" thickBot="1" x14ac:dyDescent="0.35">
      <c r="A10" s="42"/>
      <c r="B10" s="59">
        <f ca="1">+'N° de Obs.'!D11</f>
        <v>90</v>
      </c>
      <c r="C10" s="59">
        <f ca="1">+'N° de Obs.'!E11</f>
        <v>3247</v>
      </c>
      <c r="D10" s="59">
        <f ca="1">+'N° de Obs.'!F11</f>
        <v>2922.3</v>
      </c>
      <c r="E10" s="73">
        <f ca="1">SUM(E5:E17)</f>
        <v>155</v>
      </c>
      <c r="F10" s="74">
        <f ca="1">SUM(F5:F17)</f>
        <v>49</v>
      </c>
      <c r="G10" s="42"/>
      <c r="H10" s="74">
        <f ca="1">SUM(H5:H17)</f>
        <v>20</v>
      </c>
      <c r="I10" s="75" t="str">
        <f ca="1">IFERROR(IF($I9+$K$4&lt;=$M$28,$I9+$K$4,""),"")</f>
        <v/>
      </c>
      <c r="J10" s="76">
        <f t="shared" ca="1" si="4"/>
        <v>3340</v>
      </c>
      <c r="K10" s="42"/>
      <c r="L10" s="42"/>
      <c r="M10" s="42"/>
      <c r="N10" s="42"/>
      <c r="O10" s="42"/>
      <c r="P10" s="42"/>
      <c r="Q10" s="42"/>
    </row>
    <row r="11" spans="1:17" ht="15.6" x14ac:dyDescent="0.3">
      <c r="A11" s="42"/>
      <c r="B11" s="59">
        <f ca="1">+'N° de Obs.'!D12</f>
        <v>90</v>
      </c>
      <c r="C11" s="59">
        <f ca="1">+'N° de Obs.'!E12</f>
        <v>3340</v>
      </c>
      <c r="D11" s="59">
        <f ca="1">+'N° de Obs.'!F12</f>
        <v>3006</v>
      </c>
      <c r="E11" s="42"/>
      <c r="F11" s="42"/>
      <c r="G11" s="42"/>
      <c r="H11" s="42"/>
      <c r="I11" s="42"/>
      <c r="J11" s="42"/>
      <c r="K11" s="42"/>
      <c r="L11" s="42"/>
      <c r="M11" s="42"/>
      <c r="N11" s="59" t="s">
        <v>118</v>
      </c>
      <c r="O11" s="59">
        <f ca="1">(O9*100)/O8</f>
        <v>5.8660729689023183</v>
      </c>
      <c r="P11" s="59" t="s">
        <v>8</v>
      </c>
      <c r="Q11" s="42"/>
    </row>
    <row r="12" spans="1:17" ht="15.6" x14ac:dyDescent="0.3">
      <c r="A12" s="42"/>
      <c r="B12" s="59">
        <f ca="1">+'N° de Obs.'!D13</f>
        <v>100</v>
      </c>
      <c r="C12" s="59">
        <f ca="1">+'N° de Obs.'!E13</f>
        <v>3264</v>
      </c>
      <c r="D12" s="59">
        <f ca="1">+'N° de Obs.'!F13</f>
        <v>3264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</row>
    <row r="13" spans="1:17" ht="15.6" x14ac:dyDescent="0.3">
      <c r="A13" s="42"/>
      <c r="B13" s="59">
        <f ca="1">+'N° de Obs.'!D14</f>
        <v>95</v>
      </c>
      <c r="C13" s="59">
        <f ca="1">+'N° de Obs.'!E14</f>
        <v>3296</v>
      </c>
      <c r="D13" s="59">
        <f ca="1">+'N° de Obs.'!F14</f>
        <v>3131.2</v>
      </c>
      <c r="E13" s="42"/>
      <c r="F13" s="42"/>
      <c r="G13" s="42"/>
      <c r="H13" s="42"/>
      <c r="I13" s="42"/>
      <c r="J13" s="42"/>
      <c r="K13" s="42"/>
      <c r="L13" s="42"/>
      <c r="M13" s="42"/>
      <c r="N13" s="103" t="str">
        <f ca="1">IF(O11&lt;6,"Se puede continuar con el estudio","No se puede continuar con el estudio")</f>
        <v>Se puede continuar con el estudio</v>
      </c>
      <c r="O13" s="103"/>
      <c r="P13" s="42"/>
      <c r="Q13" s="42"/>
    </row>
    <row r="14" spans="1:17" ht="15.6" x14ac:dyDescent="0.3">
      <c r="A14" s="42"/>
      <c r="B14" s="59">
        <f ca="1">+'N° de Obs.'!D15</f>
        <v>85</v>
      </c>
      <c r="C14" s="59">
        <f ca="1">+'N° de Obs.'!E15</f>
        <v>3313</v>
      </c>
      <c r="D14" s="59">
        <f ca="1">+'N° de Obs.'!F15</f>
        <v>2816.05</v>
      </c>
      <c r="E14" s="42"/>
      <c r="F14" s="42"/>
      <c r="G14" s="42"/>
      <c r="H14" s="42"/>
      <c r="I14" s="42"/>
      <c r="J14" s="42"/>
      <c r="K14" s="42"/>
      <c r="L14" s="42"/>
      <c r="M14" s="42"/>
      <c r="N14" s="103"/>
      <c r="O14" s="103"/>
      <c r="P14" s="42"/>
      <c r="Q14" s="42"/>
    </row>
    <row r="15" spans="1:17" ht="15.6" x14ac:dyDescent="0.3">
      <c r="A15" s="42"/>
      <c r="B15" s="59">
        <f ca="1">+'N° de Obs.'!D16</f>
        <v>90</v>
      </c>
      <c r="C15" s="59">
        <f ca="1">+'N° de Obs.'!E16</f>
        <v>3246</v>
      </c>
      <c r="D15" s="59">
        <f ca="1">+'N° de Obs.'!F16</f>
        <v>2921.4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17" ht="15.6" x14ac:dyDescent="0.3">
      <c r="A16" s="42"/>
      <c r="B16" s="59">
        <f ca="1">+'N° de Obs.'!D17</f>
        <v>100</v>
      </c>
      <c r="C16" s="59">
        <f ca="1">+'N° de Obs.'!E17</f>
        <v>3340</v>
      </c>
      <c r="D16" s="59">
        <f ca="1">+'N° de Obs.'!F17</f>
        <v>3340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1:17" ht="15.6" x14ac:dyDescent="0.3">
      <c r="A17" s="42"/>
      <c r="B17" s="59">
        <f ca="1">+'N° de Obs.'!D18</f>
        <v>85</v>
      </c>
      <c r="C17" s="59">
        <f ca="1">+'N° de Obs.'!E18</f>
        <v>3190</v>
      </c>
      <c r="D17" s="59">
        <f ca="1">+'N° de Obs.'!F18</f>
        <v>2711.5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1:17" ht="15.6" x14ac:dyDescent="0.3">
      <c r="A18" s="42"/>
      <c r="B18" s="59">
        <f ca="1">+'N° de Obs.'!D19</f>
        <v>100</v>
      </c>
      <c r="C18" s="59">
        <f ca="1">+'N° de Obs.'!E19</f>
        <v>3300</v>
      </c>
      <c r="D18" s="59">
        <f ca="1">+'N° de Obs.'!F19</f>
        <v>3300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1:17" ht="15.6" x14ac:dyDescent="0.3">
      <c r="A19" s="42"/>
      <c r="B19" s="59">
        <f ca="1">+'N° de Obs.'!D20</f>
        <v>90</v>
      </c>
      <c r="C19" s="59">
        <f ca="1">+'N° de Obs.'!E20</f>
        <v>3234</v>
      </c>
      <c r="D19" s="59">
        <f ca="1">+'N° de Obs.'!F20</f>
        <v>2910.6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7" ht="15.6" x14ac:dyDescent="0.3">
      <c r="A20" s="42"/>
      <c r="B20" s="59">
        <f ca="1">+'N° de Obs.'!D21</f>
        <v>105</v>
      </c>
      <c r="C20" s="59">
        <f ca="1">+'N° de Obs.'!E21</f>
        <v>3180</v>
      </c>
      <c r="D20" s="59">
        <f ca="1">+'N° de Obs.'!F21</f>
        <v>3339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1:17" ht="15.6" x14ac:dyDescent="0.3">
      <c r="A21" s="42"/>
      <c r="B21" s="59">
        <f ca="1">+'N° de Obs.'!D22</f>
        <v>95</v>
      </c>
      <c r="C21" s="59">
        <f ca="1">+'N° de Obs.'!E22</f>
        <v>3211</v>
      </c>
      <c r="D21" s="59">
        <f ca="1">+'N° de Obs.'!F22</f>
        <v>3050.45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spans="1:17" ht="15.6" x14ac:dyDescent="0.3">
      <c r="A22" s="42"/>
      <c r="B22" s="59">
        <f ca="1">+'N° de Obs.'!D23</f>
        <v>85</v>
      </c>
      <c r="C22" s="59">
        <f ca="1">+'N° de Obs.'!E23</f>
        <v>3208</v>
      </c>
      <c r="D22" s="59">
        <f ca="1">+'N° de Obs.'!F23</f>
        <v>2726.8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ht="15.6" x14ac:dyDescent="0.3">
      <c r="A23" s="42"/>
      <c r="B23" s="59">
        <f ca="1">+'N° de Obs.'!D24</f>
        <v>90</v>
      </c>
      <c r="C23" s="59">
        <f ca="1">+'N° de Obs.'!E24</f>
        <v>3227</v>
      </c>
      <c r="D23" s="59">
        <f ca="1">+'N° de Obs.'!F24</f>
        <v>2904.3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</row>
    <row r="24" spans="1:17" ht="15.6" x14ac:dyDescent="0.3">
      <c r="A24" s="42"/>
      <c r="B24" s="59">
        <f ca="1">+'N° de Obs.'!D25</f>
        <v>95</v>
      </c>
      <c r="C24" s="59">
        <f ca="1">+'N° de Obs.'!E25</f>
        <v>3300</v>
      </c>
      <c r="D24" s="59">
        <f ca="1">+'N° de Obs.'!F25</f>
        <v>3135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</row>
    <row r="25" spans="1:17" ht="15.6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 ht="15.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ht="15.6" x14ac:dyDescent="0.3">
      <c r="A27" s="42"/>
      <c r="B27" s="42"/>
      <c r="C27" s="42"/>
      <c r="D27" s="59" t="s">
        <v>23</v>
      </c>
      <c r="E27" s="59">
        <f ca="1">COUNTA(C5:C24)</f>
        <v>20</v>
      </c>
      <c r="F27" s="42"/>
      <c r="G27" s="42"/>
      <c r="H27" s="59">
        <f ca="1">MIN(D5:D24)</f>
        <v>2711.5</v>
      </c>
      <c r="I27" s="54">
        <v>100</v>
      </c>
      <c r="J27" s="55" t="s">
        <v>8</v>
      </c>
      <c r="K27" s="42"/>
      <c r="L27" s="59" t="s">
        <v>119</v>
      </c>
      <c r="M27" s="59">
        <f ca="1">ROUND(MIN(D5:D24),0)</f>
        <v>2712</v>
      </c>
      <c r="N27" s="42"/>
      <c r="O27" s="42"/>
      <c r="P27" s="42"/>
      <c r="Q27" s="42"/>
    </row>
    <row r="28" spans="1:17" ht="15.6" x14ac:dyDescent="0.3">
      <c r="A28" s="42"/>
      <c r="B28" s="42"/>
      <c r="C28" s="42"/>
      <c r="D28" s="42"/>
      <c r="E28" s="42"/>
      <c r="F28" s="42"/>
      <c r="G28" s="42"/>
      <c r="H28" s="61">
        <f ca="1">(I28*H27)/I27</f>
        <v>135.57499999999999</v>
      </c>
      <c r="I28" s="57">
        <v>5</v>
      </c>
      <c r="J28" s="58" t="s">
        <v>8</v>
      </c>
      <c r="K28" s="42"/>
      <c r="L28" s="59" t="s">
        <v>120</v>
      </c>
      <c r="M28" s="59">
        <f ca="1">ROUND(MAX(D5:D24),0)</f>
        <v>3340</v>
      </c>
      <c r="N28" s="42"/>
      <c r="O28" s="42"/>
      <c r="P28" s="42"/>
      <c r="Q28" s="42"/>
    </row>
    <row r="29" spans="1:17" ht="15.6" x14ac:dyDescent="0.3">
      <c r="A29" s="42"/>
      <c r="B29" s="102" t="s">
        <v>24</v>
      </c>
      <c r="C29" s="102"/>
      <c r="D29" s="102"/>
      <c r="E29" s="59">
        <f ca="1">ROUND(SUM(D5:D24)/E27,0)</f>
        <v>3062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ht="15.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</row>
    <row r="31" spans="1:17" ht="15.6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</row>
    <row r="32" spans="1:17" ht="15.6" x14ac:dyDescent="0.3">
      <c r="A32" s="4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8" ht="15.6" x14ac:dyDescent="0.3">
      <c r="A33" s="43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8" ht="15.6" x14ac:dyDescent="0.3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</row>
    <row r="35" spans="1:18" ht="15.6" x14ac:dyDescent="0.3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</row>
    <row r="36" spans="1:18" ht="15.6" x14ac:dyDescent="0.3">
      <c r="A36" s="43"/>
      <c r="B36" s="43"/>
      <c r="C36" s="43"/>
      <c r="D36" s="98" t="str">
        <f>+'N° de Obs.'!P2</f>
        <v>Elemento P</v>
      </c>
      <c r="E36" s="99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</row>
    <row r="37" spans="1:18" s="42" customFormat="1" ht="15.6" x14ac:dyDescent="0.3"/>
    <row r="38" spans="1:18" ht="15.6" x14ac:dyDescent="0.3">
      <c r="A38" s="42"/>
      <c r="B38" s="77" t="s">
        <v>18</v>
      </c>
      <c r="C38" s="77" t="s">
        <v>19</v>
      </c>
      <c r="D38" s="77" t="s">
        <v>20</v>
      </c>
      <c r="E38" s="78" t="s">
        <v>109</v>
      </c>
      <c r="F38" s="78" t="s">
        <v>110</v>
      </c>
      <c r="G38" s="78" t="s">
        <v>111</v>
      </c>
      <c r="H38" s="78" t="s">
        <v>112</v>
      </c>
      <c r="I38" s="79" t="s">
        <v>87</v>
      </c>
      <c r="J38" s="79" t="s">
        <v>113</v>
      </c>
      <c r="K38" s="80">
        <f ca="1">ROUNDDOWN(H62,0)</f>
        <v>224</v>
      </c>
      <c r="L38" s="42"/>
      <c r="M38" s="42"/>
      <c r="N38" s="42"/>
      <c r="O38" s="42"/>
      <c r="P38" s="42"/>
      <c r="Q38" s="42"/>
      <c r="R38" s="42"/>
    </row>
    <row r="39" spans="1:18" ht="15.6" x14ac:dyDescent="0.3">
      <c r="A39" s="42"/>
      <c r="B39" s="59">
        <f ca="1">+'N° de Obs.'!M6</f>
        <v>90</v>
      </c>
      <c r="C39" s="59">
        <f ca="1">+'N° de Obs.'!N6</f>
        <v>5852</v>
      </c>
      <c r="D39" s="59">
        <f ca="1">+'N° de Obs.'!O6</f>
        <v>5266.8</v>
      </c>
      <c r="E39" s="59">
        <f ca="1">IF(I39="","",IFERROR(F39*G39,""))</f>
        <v>0</v>
      </c>
      <c r="F39" s="59">
        <f ca="1">IF(I39="","",IFERROR(G39*H39,""))</f>
        <v>0</v>
      </c>
      <c r="G39" s="59">
        <f ca="1">IF(I39="","",ROW($V1)-1)</f>
        <v>0</v>
      </c>
      <c r="H39" s="59">
        <f ca="1">IF(I39="","",COUNTIF($D$39:$D$58,"&lt;="&amp;$J40))</f>
        <v>1</v>
      </c>
      <c r="I39" s="59">
        <f ca="1">ROUND(H61,0)</f>
        <v>4480</v>
      </c>
      <c r="J39" s="57"/>
      <c r="K39" s="55" t="s">
        <v>29</v>
      </c>
      <c r="L39" s="42"/>
      <c r="M39" s="42"/>
      <c r="N39" s="59" t="s">
        <v>114</v>
      </c>
      <c r="O39" s="59">
        <f ca="1">F45/H45</f>
        <v>3.4</v>
      </c>
      <c r="P39" s="42"/>
      <c r="Q39" s="42"/>
      <c r="R39" s="42"/>
    </row>
    <row r="40" spans="1:18" ht="15.6" x14ac:dyDescent="0.3">
      <c r="A40" s="42"/>
      <c r="B40" s="59">
        <f ca="1">+'N° de Obs.'!M7</f>
        <v>100</v>
      </c>
      <c r="C40" s="59">
        <f ca="1">+'N° de Obs.'!N7</f>
        <v>5366</v>
      </c>
      <c r="D40" s="59">
        <f ca="1">+'N° de Obs.'!O7</f>
        <v>5366</v>
      </c>
      <c r="E40" s="59">
        <f t="shared" ref="E40:E44" ca="1" si="5">IF(I40="","",IFERROR(F40*G40,""))</f>
        <v>2</v>
      </c>
      <c r="F40" s="59">
        <f t="shared" ref="F40:F44" ca="1" si="6">IF(I40="","",IFERROR(G40*H40,""))</f>
        <v>2</v>
      </c>
      <c r="G40" s="59">
        <f t="shared" ref="G40:G44" ca="1" si="7">IF(I40="","",ROW($V2)-1)</f>
        <v>1</v>
      </c>
      <c r="H40" s="59">
        <f ca="1">IF(I40="","",COUNTIFS($D$39:$D$58,"&lt;="&amp;$J41,$D$39:$D$58,"&gt;"&amp;$J40))</f>
        <v>2</v>
      </c>
      <c r="I40" s="59">
        <f ca="1">IFERROR(IF($I39+$K$38&lt;=$M$62,$I39+$K$38,""),"")</f>
        <v>4704</v>
      </c>
      <c r="J40" s="71">
        <f ca="1">IF(I39="","",IFERROR(($I39+$I40)/2,MAX($D$39:$D$58)))</f>
        <v>4592</v>
      </c>
      <c r="K40" s="55" t="s">
        <v>132</v>
      </c>
      <c r="L40" s="42"/>
      <c r="M40" s="42"/>
      <c r="N40" s="59" t="s">
        <v>115</v>
      </c>
      <c r="O40" s="59">
        <f ca="1">E45/H45</f>
        <v>13.5</v>
      </c>
      <c r="P40" s="42"/>
      <c r="Q40" s="42"/>
      <c r="R40" s="42"/>
    </row>
    <row r="41" spans="1:18" ht="15.6" x14ac:dyDescent="0.3">
      <c r="A41" s="42"/>
      <c r="B41" s="59">
        <f ca="1">+'N° de Obs.'!M8</f>
        <v>95</v>
      </c>
      <c r="C41" s="59">
        <f ca="1">+'N° de Obs.'!N8</f>
        <v>5989</v>
      </c>
      <c r="D41" s="59">
        <f ca="1">+'N° de Obs.'!O8</f>
        <v>5689.55</v>
      </c>
      <c r="E41" s="59">
        <f t="shared" ca="1" si="5"/>
        <v>4</v>
      </c>
      <c r="F41" s="59">
        <f t="shared" ca="1" si="6"/>
        <v>2</v>
      </c>
      <c r="G41" s="59">
        <f t="shared" ca="1" si="7"/>
        <v>2</v>
      </c>
      <c r="H41" s="59">
        <f t="shared" ref="H41:H44" ca="1" si="8">IF(I41="","",COUNTIFS($D$39:$D$58,"&lt;="&amp;$J42,$D$39:$D$58,"&gt;"&amp;$J41))</f>
        <v>1</v>
      </c>
      <c r="I41" s="59">
        <f t="shared" ref="I41:I45" ca="1" si="9">IFERROR(IF($I40+$K$38&lt;=$M$62,$I40+$K$38,""),"")</f>
        <v>4928</v>
      </c>
      <c r="J41" s="71">
        <f t="shared" ref="J41:J45" ca="1" si="10">IF(I40="","",IFERROR(($I40+$I41)/2,MAX($D$39:$D$58)))</f>
        <v>4816</v>
      </c>
      <c r="K41" s="55" t="s">
        <v>29</v>
      </c>
      <c r="L41" s="42"/>
      <c r="M41" s="42"/>
      <c r="N41" s="42"/>
      <c r="O41" s="42"/>
      <c r="P41" s="42"/>
      <c r="Q41" s="42"/>
      <c r="R41" s="42"/>
    </row>
    <row r="42" spans="1:18" ht="15.6" x14ac:dyDescent="0.3">
      <c r="A42" s="42"/>
      <c r="B42" s="59">
        <f ca="1">+'N° de Obs.'!M9</f>
        <v>100</v>
      </c>
      <c r="C42" s="59">
        <f ca="1">+'N° de Obs.'!N9</f>
        <v>5489</v>
      </c>
      <c r="D42" s="59">
        <f ca="1">+'N° de Obs.'!O9</f>
        <v>5489</v>
      </c>
      <c r="E42" s="59">
        <f t="shared" ca="1" si="5"/>
        <v>36</v>
      </c>
      <c r="F42" s="59">
        <f t="shared" ca="1" si="6"/>
        <v>12</v>
      </c>
      <c r="G42" s="59">
        <f t="shared" ca="1" si="7"/>
        <v>3</v>
      </c>
      <c r="H42" s="59">
        <f t="shared" ca="1" si="8"/>
        <v>4</v>
      </c>
      <c r="I42" s="59">
        <f t="shared" ca="1" si="9"/>
        <v>5152</v>
      </c>
      <c r="J42" s="71">
        <f t="shared" ca="1" si="10"/>
        <v>5040</v>
      </c>
      <c r="K42" s="55" t="s">
        <v>135</v>
      </c>
      <c r="L42" s="42"/>
      <c r="M42" s="42"/>
      <c r="N42" s="59" t="s">
        <v>116</v>
      </c>
      <c r="O42" s="59">
        <f ca="1">H61+(K38*O39)</f>
        <v>5241.9500000000007</v>
      </c>
      <c r="P42" s="42"/>
      <c r="Q42" s="42"/>
      <c r="R42" s="42"/>
    </row>
    <row r="43" spans="1:18" ht="15.6" x14ac:dyDescent="0.3">
      <c r="A43" s="42"/>
      <c r="B43" s="59">
        <f ca="1">+'N° de Obs.'!M10</f>
        <v>95</v>
      </c>
      <c r="C43" s="59">
        <f ca="1">+'N° de Obs.'!N10</f>
        <v>5638</v>
      </c>
      <c r="D43" s="59">
        <f ca="1">+'N° de Obs.'!O10</f>
        <v>5356.1</v>
      </c>
      <c r="E43" s="59">
        <f t="shared" ca="1" si="5"/>
        <v>128</v>
      </c>
      <c r="F43" s="59">
        <f t="shared" ca="1" si="6"/>
        <v>32</v>
      </c>
      <c r="G43" s="59">
        <f t="shared" ca="1" si="7"/>
        <v>4</v>
      </c>
      <c r="H43" s="59">
        <f t="shared" ca="1" si="8"/>
        <v>8</v>
      </c>
      <c r="I43" s="59">
        <f t="shared" ca="1" si="9"/>
        <v>5376</v>
      </c>
      <c r="J43" s="71">
        <f t="shared" ca="1" si="10"/>
        <v>5264</v>
      </c>
      <c r="K43" s="55" t="s">
        <v>137</v>
      </c>
      <c r="L43" s="42"/>
      <c r="M43" s="42"/>
      <c r="N43" s="59" t="s">
        <v>117</v>
      </c>
      <c r="O43" s="72">
        <f ca="1">K38*(SQRT(O40-POWER(O39,2)))</f>
        <v>311.99589740892441</v>
      </c>
      <c r="P43" s="42"/>
      <c r="Q43" s="42"/>
      <c r="R43" s="42"/>
    </row>
    <row r="44" spans="1:18" ht="16.2" thickBot="1" x14ac:dyDescent="0.35">
      <c r="A44" s="42"/>
      <c r="B44" s="59">
        <f ca="1">+'N° de Obs.'!M11</f>
        <v>105</v>
      </c>
      <c r="C44" s="59">
        <f ca="1">+'N° de Obs.'!N11</f>
        <v>5382</v>
      </c>
      <c r="D44" s="59">
        <f ca="1">+'N° de Obs.'!O11</f>
        <v>5651.1</v>
      </c>
      <c r="E44" s="59">
        <f t="shared" ca="1" si="5"/>
        <v>100</v>
      </c>
      <c r="F44" s="59">
        <f t="shared" ca="1" si="6"/>
        <v>20</v>
      </c>
      <c r="G44" s="59">
        <f t="shared" ca="1" si="7"/>
        <v>5</v>
      </c>
      <c r="H44" s="59">
        <f t="shared" ca="1" si="8"/>
        <v>4</v>
      </c>
      <c r="I44" s="59">
        <f t="shared" ca="1" si="9"/>
        <v>5600</v>
      </c>
      <c r="J44" s="71">
        <f t="shared" ca="1" si="10"/>
        <v>5488</v>
      </c>
      <c r="K44" s="55" t="s">
        <v>135</v>
      </c>
      <c r="L44" s="42"/>
      <c r="M44" s="42"/>
      <c r="N44" s="42"/>
      <c r="O44" s="42"/>
      <c r="P44" s="42"/>
      <c r="Q44" s="42"/>
      <c r="R44" s="42"/>
    </row>
    <row r="45" spans="1:18" ht="16.2" thickBot="1" x14ac:dyDescent="0.35">
      <c r="A45" s="42"/>
      <c r="B45" s="59">
        <f ca="1">+'N° de Obs.'!M12</f>
        <v>95</v>
      </c>
      <c r="C45" s="59">
        <f ca="1">+'N° de Obs.'!N12</f>
        <v>5355</v>
      </c>
      <c r="D45" s="59">
        <f ca="1">+'N° de Obs.'!O12</f>
        <v>5087.25</v>
      </c>
      <c r="E45" s="73">
        <f ca="1">SUM(E39:E51)</f>
        <v>270</v>
      </c>
      <c r="F45" s="74">
        <f ca="1">SUM(F39:F51)</f>
        <v>68</v>
      </c>
      <c r="G45" s="42"/>
      <c r="H45" s="74">
        <f ca="1">SUM(H39:H51)</f>
        <v>20</v>
      </c>
      <c r="I45" s="75" t="str">
        <f t="shared" ca="1" si="9"/>
        <v/>
      </c>
      <c r="J45" s="76">
        <f t="shared" ca="1" si="10"/>
        <v>5689.55</v>
      </c>
      <c r="K45" s="42"/>
      <c r="L45" s="42"/>
      <c r="M45" s="42"/>
      <c r="N45" s="59" t="s">
        <v>118</v>
      </c>
      <c r="O45" s="59">
        <f ca="1">(O43*100)/O42</f>
        <v>5.9519052529864718</v>
      </c>
      <c r="P45" s="59" t="s">
        <v>8</v>
      </c>
      <c r="Q45" s="42"/>
      <c r="R45" s="42"/>
    </row>
    <row r="46" spans="1:18" ht="15.6" x14ac:dyDescent="0.3">
      <c r="A46" s="42"/>
      <c r="B46" s="59">
        <f ca="1">+'N° de Obs.'!M13</f>
        <v>90</v>
      </c>
      <c r="C46" s="59">
        <f ca="1">+'N° de Obs.'!N13</f>
        <v>5992</v>
      </c>
      <c r="D46" s="59">
        <f ca="1">+'N° de Obs.'!O13</f>
        <v>5392.8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</row>
    <row r="47" spans="1:18" ht="15.6" x14ac:dyDescent="0.3">
      <c r="A47" s="42"/>
      <c r="B47" s="59">
        <f ca="1">+'N° de Obs.'!M14</f>
        <v>95</v>
      </c>
      <c r="C47" s="59">
        <f ca="1">+'N° de Obs.'!N14</f>
        <v>5215</v>
      </c>
      <c r="D47" s="59">
        <f ca="1">+'N° de Obs.'!O14</f>
        <v>4954.25</v>
      </c>
      <c r="E47" s="42"/>
      <c r="F47" s="42"/>
      <c r="G47" s="42"/>
      <c r="H47" s="42"/>
      <c r="I47" s="42"/>
      <c r="J47" s="42"/>
      <c r="K47" s="42"/>
      <c r="L47" s="42"/>
      <c r="M47" s="42"/>
      <c r="N47" s="103" t="str">
        <f ca="1">IF(O45&lt;6,"Se puede continuar con el estudio","No se puede continuar con el estudio")</f>
        <v>Se puede continuar con el estudio</v>
      </c>
      <c r="O47" s="103"/>
      <c r="P47" s="42"/>
      <c r="Q47" s="42"/>
      <c r="R47" s="42"/>
    </row>
    <row r="48" spans="1:18" ht="15.6" x14ac:dyDescent="0.3">
      <c r="A48" s="42"/>
      <c r="B48" s="59">
        <f ca="1">+'N° de Obs.'!M15</f>
        <v>105</v>
      </c>
      <c r="C48" s="59">
        <f ca="1">+'N° de Obs.'!N15</f>
        <v>5390</v>
      </c>
      <c r="D48" s="59">
        <f ca="1">+'N° de Obs.'!O15</f>
        <v>5659.5</v>
      </c>
      <c r="E48" s="42"/>
      <c r="F48" s="42"/>
      <c r="G48" s="42"/>
      <c r="H48" s="42"/>
      <c r="I48" s="42"/>
      <c r="J48" s="42"/>
      <c r="K48" s="42"/>
      <c r="L48" s="42"/>
      <c r="M48" s="42"/>
      <c r="N48" s="103"/>
      <c r="O48" s="103"/>
      <c r="P48" s="42"/>
      <c r="Q48" s="42"/>
      <c r="R48" s="42"/>
    </row>
    <row r="49" spans="1:18" ht="15.6" x14ac:dyDescent="0.3">
      <c r="A49" s="42"/>
      <c r="B49" s="59">
        <f ca="1">+'N° de Obs.'!M16</f>
        <v>90</v>
      </c>
      <c r="C49" s="59">
        <f ca="1">+'N° de Obs.'!N16</f>
        <v>5637</v>
      </c>
      <c r="D49" s="59">
        <f ca="1">+'N° de Obs.'!O16</f>
        <v>5073.3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</row>
    <row r="50" spans="1:18" ht="15.6" x14ac:dyDescent="0.3">
      <c r="A50" s="42"/>
      <c r="B50" s="59">
        <f ca="1">+'N° de Obs.'!M17</f>
        <v>95</v>
      </c>
      <c r="C50" s="59">
        <f ca="1">+'N° de Obs.'!N17</f>
        <v>5625</v>
      </c>
      <c r="D50" s="59">
        <f ca="1">+'N° de Obs.'!O17</f>
        <v>5343.75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18" ht="15.6" x14ac:dyDescent="0.3">
      <c r="A51" s="42"/>
      <c r="B51" s="59">
        <f ca="1">+'N° de Obs.'!M18</f>
        <v>95</v>
      </c>
      <c r="C51" s="59">
        <f ca="1">+'N° de Obs.'!N18</f>
        <v>5751</v>
      </c>
      <c r="D51" s="59">
        <f ca="1">+'N° de Obs.'!O18</f>
        <v>5463.45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</row>
    <row r="52" spans="1:18" ht="15.6" x14ac:dyDescent="0.3">
      <c r="A52" s="42"/>
      <c r="B52" s="59">
        <f ca="1">+'N° de Obs.'!M19</f>
        <v>95</v>
      </c>
      <c r="C52" s="59">
        <f ca="1">+'N° de Obs.'!N19</f>
        <v>5653</v>
      </c>
      <c r="D52" s="59">
        <f ca="1">+'N° de Obs.'!O19</f>
        <v>5370.35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</row>
    <row r="53" spans="1:18" ht="15.6" x14ac:dyDescent="0.3">
      <c r="A53" s="42"/>
      <c r="B53" s="59">
        <f ca="1">+'N° de Obs.'!M20</f>
        <v>85</v>
      </c>
      <c r="C53" s="59">
        <f ca="1">+'N° de Obs.'!N20</f>
        <v>5271</v>
      </c>
      <c r="D53" s="59">
        <f ca="1">+'N° de Obs.'!O20</f>
        <v>4480.3500000000004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</row>
    <row r="54" spans="1:18" ht="15.6" x14ac:dyDescent="0.3">
      <c r="A54" s="42"/>
      <c r="B54" s="59">
        <f ca="1">+'N° de Obs.'!M21</f>
        <v>90</v>
      </c>
      <c r="C54" s="59">
        <f ca="1">+'N° de Obs.'!N21</f>
        <v>5265</v>
      </c>
      <c r="D54" s="59">
        <f ca="1">+'N° de Obs.'!O21</f>
        <v>4738.5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</row>
    <row r="55" spans="1:18" ht="15.6" x14ac:dyDescent="0.3">
      <c r="A55" s="42"/>
      <c r="B55" s="59">
        <f ca="1">+'N° de Obs.'!M22</f>
        <v>100</v>
      </c>
      <c r="C55" s="59">
        <f ca="1">+'N° de Obs.'!N22</f>
        <v>5073</v>
      </c>
      <c r="D55" s="59">
        <f ca="1">+'N° de Obs.'!O22</f>
        <v>5073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</row>
    <row r="56" spans="1:18" ht="15.6" x14ac:dyDescent="0.3">
      <c r="A56" s="42"/>
      <c r="B56" s="59">
        <f ca="1">+'N° de Obs.'!M23</f>
        <v>100</v>
      </c>
      <c r="C56" s="59">
        <f ca="1">+'N° de Obs.'!N23</f>
        <v>5183</v>
      </c>
      <c r="D56" s="59">
        <f ca="1">+'N° de Obs.'!O23</f>
        <v>5183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</row>
    <row r="57" spans="1:18" ht="15.6" x14ac:dyDescent="0.3">
      <c r="A57" s="42"/>
      <c r="B57" s="59">
        <f ca="1">+'N° de Obs.'!M24</f>
        <v>90</v>
      </c>
      <c r="C57" s="59">
        <f ca="1">+'N° de Obs.'!N24</f>
        <v>5256</v>
      </c>
      <c r="D57" s="59">
        <f ca="1">+'N° de Obs.'!O24</f>
        <v>4730.3999999999996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</row>
    <row r="58" spans="1:18" ht="15.6" x14ac:dyDescent="0.3">
      <c r="A58" s="42"/>
      <c r="B58" s="59">
        <f ca="1">+'N° de Obs.'!M25</f>
        <v>90</v>
      </c>
      <c r="C58" s="59">
        <f ca="1">+'N° de Obs.'!N25</f>
        <v>5878</v>
      </c>
      <c r="D58" s="59">
        <f ca="1">+'N° de Obs.'!O25</f>
        <v>5290.2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</row>
    <row r="59" spans="1:18" ht="15.6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</row>
    <row r="60" spans="1:18" ht="15.6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</row>
    <row r="61" spans="1:18" ht="15.6" x14ac:dyDescent="0.3">
      <c r="A61" s="42"/>
      <c r="B61" s="42"/>
      <c r="C61" s="42"/>
      <c r="D61" s="59" t="s">
        <v>23</v>
      </c>
      <c r="E61" s="59">
        <f ca="1">COUNTA(C39:C58)</f>
        <v>20</v>
      </c>
      <c r="F61" s="42"/>
      <c r="G61" s="42"/>
      <c r="H61" s="59">
        <f ca="1">MIN(D39:D58)</f>
        <v>4480.3500000000004</v>
      </c>
      <c r="I61" s="54">
        <v>100</v>
      </c>
      <c r="J61" s="55" t="s">
        <v>8</v>
      </c>
      <c r="K61" s="42"/>
      <c r="L61" s="59" t="s">
        <v>119</v>
      </c>
      <c r="M61" s="59">
        <f ca="1">ROUND(MIN(D39:D58),0)</f>
        <v>4480</v>
      </c>
      <c r="N61" s="42"/>
      <c r="O61" s="42"/>
      <c r="P61" s="42"/>
      <c r="Q61" s="42"/>
      <c r="R61" s="42"/>
    </row>
    <row r="62" spans="1:18" ht="15.6" x14ac:dyDescent="0.3">
      <c r="A62" s="42"/>
      <c r="B62" s="42"/>
      <c r="C62" s="42"/>
      <c r="D62" s="42"/>
      <c r="E62" s="42"/>
      <c r="F62" s="42"/>
      <c r="G62" s="42"/>
      <c r="H62" s="61">
        <f ca="1">(I62*H61)/I61</f>
        <v>224.01750000000001</v>
      </c>
      <c r="I62" s="57">
        <v>5</v>
      </c>
      <c r="J62" s="58" t="s">
        <v>8</v>
      </c>
      <c r="K62" s="42"/>
      <c r="L62" s="59" t="s">
        <v>120</v>
      </c>
      <c r="M62" s="59">
        <f ca="1">ROUND(MAX(D39:D58),0)</f>
        <v>5690</v>
      </c>
      <c r="N62" s="42"/>
      <c r="O62" s="42"/>
      <c r="P62" s="42"/>
      <c r="Q62" s="42"/>
      <c r="R62" s="42"/>
    </row>
    <row r="63" spans="1:18" ht="15.6" x14ac:dyDescent="0.3">
      <c r="A63" s="42"/>
      <c r="B63" s="102" t="s">
        <v>24</v>
      </c>
      <c r="C63" s="102"/>
      <c r="D63" s="102"/>
      <c r="E63" s="59">
        <f ca="1">ROUND(SUM(D39:D58)/E61,0)</f>
        <v>5233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</row>
    <row r="64" spans="1:18" ht="15.6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</row>
    <row r="65" spans="1:18" ht="15.6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</row>
    <row r="66" spans="1:18" ht="15.6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</row>
    <row r="67" spans="1:18" ht="15.6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</row>
    <row r="68" spans="1:18" ht="15.6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</row>
    <row r="69" spans="1:18" ht="15.6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</row>
    <row r="70" spans="1:18" ht="15.6" x14ac:dyDescent="0.3">
      <c r="A70" s="43"/>
      <c r="B70" s="43"/>
      <c r="C70" s="43"/>
      <c r="D70" s="98" t="str">
        <f>+'N° de Obs.'!G30</f>
        <v>Elemento L</v>
      </c>
      <c r="E70" s="99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</row>
    <row r="71" spans="1:18" s="42" customFormat="1" ht="15.6" x14ac:dyDescent="0.3"/>
    <row r="72" spans="1:18" ht="15.6" x14ac:dyDescent="0.3">
      <c r="A72" s="42"/>
      <c r="B72" s="77" t="s">
        <v>18</v>
      </c>
      <c r="C72" s="77" t="s">
        <v>19</v>
      </c>
      <c r="D72" s="77" t="s">
        <v>20</v>
      </c>
      <c r="E72" s="78" t="s">
        <v>109</v>
      </c>
      <c r="F72" s="78" t="s">
        <v>110</v>
      </c>
      <c r="G72" s="78" t="s">
        <v>111</v>
      </c>
      <c r="H72" s="78" t="s">
        <v>112</v>
      </c>
      <c r="I72" s="79" t="s">
        <v>87</v>
      </c>
      <c r="J72" s="79" t="s">
        <v>113</v>
      </c>
      <c r="K72" s="80">
        <f ca="1">ROUNDDOWN(H96,0)</f>
        <v>89</v>
      </c>
      <c r="L72" s="42"/>
      <c r="M72" s="42"/>
      <c r="N72" s="42"/>
      <c r="O72" s="42"/>
      <c r="P72" s="42"/>
      <c r="Q72" s="42"/>
      <c r="R72" s="42"/>
    </row>
    <row r="73" spans="1:18" ht="15.6" x14ac:dyDescent="0.3">
      <c r="A73" s="42"/>
      <c r="B73" s="59">
        <f ca="1">+'N° de Obs.'!D34</f>
        <v>95</v>
      </c>
      <c r="C73" s="59">
        <f ca="1">+'N° de Obs.'!E34</f>
        <v>2170</v>
      </c>
      <c r="D73" s="59">
        <f ca="1">+'N° de Obs.'!F34</f>
        <v>2061.5</v>
      </c>
      <c r="E73" s="59">
        <f ca="1">IF(I73="","",IFERROR(F73*G73,""))</f>
        <v>0</v>
      </c>
      <c r="F73" s="59">
        <f ca="1">IF(I73="","",IFERROR(G73*H73,""))</f>
        <v>0</v>
      </c>
      <c r="G73" s="59">
        <v>0</v>
      </c>
      <c r="H73" s="59">
        <f ca="1">IF(I73="","",COUNTIF($D$73:$D$92,"&lt;="&amp;$J74))</f>
        <v>1</v>
      </c>
      <c r="I73" s="59">
        <f ca="1">ROUND(H95,0)</f>
        <v>1792</v>
      </c>
      <c r="J73" s="57"/>
      <c r="K73" s="55" t="s">
        <v>29</v>
      </c>
      <c r="L73" s="42"/>
      <c r="M73" s="42"/>
      <c r="N73" s="59" t="s">
        <v>114</v>
      </c>
      <c r="O73" s="59">
        <f ca="1">F80/H80</f>
        <v>3.35</v>
      </c>
      <c r="P73" s="42"/>
      <c r="Q73" s="42"/>
    </row>
    <row r="74" spans="1:18" ht="15.6" x14ac:dyDescent="0.3">
      <c r="A74" s="42"/>
      <c r="B74" s="59">
        <f ca="1">+'N° de Obs.'!D35</f>
        <v>100</v>
      </c>
      <c r="C74" s="59">
        <f ca="1">+'N° de Obs.'!E35</f>
        <v>2052</v>
      </c>
      <c r="D74" s="59">
        <f ca="1">+'N° de Obs.'!F35</f>
        <v>2052</v>
      </c>
      <c r="E74" s="59">
        <f t="shared" ref="E74:E79" ca="1" si="11">IF(I74="","",IFERROR(F74*G74,""))</f>
        <v>1</v>
      </c>
      <c r="F74" s="59">
        <f t="shared" ref="F74:F79" ca="1" si="12">IF(I74="","",IFERROR(G74*H74,""))</f>
        <v>1</v>
      </c>
      <c r="G74" s="59">
        <v>1</v>
      </c>
      <c r="H74" s="59">
        <f ca="1">IF(I74="","",COUNTIFS($D$73:$D$92,"&lt;="&amp;$J75,$D$73:$D$92,"&gt;"&amp;$J74))</f>
        <v>1</v>
      </c>
      <c r="I74" s="59">
        <f t="shared" ref="I74:I80" ca="1" si="13">IFERROR(IF($I73+$K$72&lt;=$M$96,$I73+$K$72,""),"")</f>
        <v>1881</v>
      </c>
      <c r="J74" s="71">
        <f ca="1">IF(I73="","",IFERROR(($I73+$I74)/2,MAX($D$73:$D$92)))</f>
        <v>1836.5</v>
      </c>
      <c r="K74" s="55" t="s">
        <v>29</v>
      </c>
      <c r="L74" s="42"/>
      <c r="M74" s="42"/>
      <c r="N74" s="59" t="s">
        <v>115</v>
      </c>
      <c r="O74" s="59">
        <f ca="1">E80/H80</f>
        <v>13.15</v>
      </c>
      <c r="P74" s="42"/>
      <c r="Q74" s="42"/>
    </row>
    <row r="75" spans="1:18" ht="15.6" x14ac:dyDescent="0.3">
      <c r="A75" s="42"/>
      <c r="B75" s="59">
        <f ca="1">+'N° de Obs.'!D36</f>
        <v>100</v>
      </c>
      <c r="C75" s="59">
        <f ca="1">+'N° de Obs.'!E36</f>
        <v>2220</v>
      </c>
      <c r="D75" s="59">
        <f ca="1">+'N° de Obs.'!F36</f>
        <v>2220</v>
      </c>
      <c r="E75" s="59">
        <f t="shared" ca="1" si="11"/>
        <v>8</v>
      </c>
      <c r="F75" s="59">
        <f t="shared" ca="1" si="12"/>
        <v>4</v>
      </c>
      <c r="G75" s="59">
        <v>2</v>
      </c>
      <c r="H75" s="59">
        <f t="shared" ref="H75:H79" ca="1" si="14">IF(I75="","",COUNTIFS($D$73:$D$92,"&lt;="&amp;$J76,$D$73:$D$92,"&gt;"&amp;$J75))</f>
        <v>2</v>
      </c>
      <c r="I75" s="59">
        <f t="shared" ca="1" si="13"/>
        <v>1970</v>
      </c>
      <c r="J75" s="71">
        <f t="shared" ref="J75:J80" ca="1" si="15">IF(I74="","",IFERROR(($I74+$I75)/2,MAX($D$73:$D$92)))</f>
        <v>1925.5</v>
      </c>
      <c r="K75" s="55" t="s">
        <v>132</v>
      </c>
      <c r="L75" s="42"/>
      <c r="M75" s="42"/>
      <c r="N75" s="42"/>
      <c r="O75" s="42"/>
      <c r="P75" s="42"/>
      <c r="Q75" s="42"/>
    </row>
    <row r="76" spans="1:18" ht="15.6" x14ac:dyDescent="0.3">
      <c r="A76" s="42"/>
      <c r="B76" s="59">
        <f ca="1">+'N° de Obs.'!D37</f>
        <v>100</v>
      </c>
      <c r="C76" s="59">
        <f ca="1">+'N° de Obs.'!E37</f>
        <v>2213</v>
      </c>
      <c r="D76" s="59">
        <f ca="1">+'N° de Obs.'!F37</f>
        <v>2213</v>
      </c>
      <c r="E76" s="59">
        <f t="shared" ca="1" si="11"/>
        <v>63</v>
      </c>
      <c r="F76" s="59">
        <f t="shared" ca="1" si="12"/>
        <v>21</v>
      </c>
      <c r="G76" s="59">
        <v>3</v>
      </c>
      <c r="H76" s="59">
        <f t="shared" ca="1" si="14"/>
        <v>7</v>
      </c>
      <c r="I76" s="59">
        <f t="shared" ca="1" si="13"/>
        <v>2059</v>
      </c>
      <c r="J76" s="71">
        <f t="shared" ca="1" si="15"/>
        <v>2014.5</v>
      </c>
      <c r="K76" s="55" t="s">
        <v>138</v>
      </c>
      <c r="L76" s="42"/>
      <c r="M76" s="42"/>
      <c r="N76" s="59" t="s">
        <v>116</v>
      </c>
      <c r="O76" s="59">
        <f ca="1">H95+(K72*O73)</f>
        <v>2089.9499999999998</v>
      </c>
      <c r="P76" s="42"/>
      <c r="Q76" s="42"/>
    </row>
    <row r="77" spans="1:18" ht="15.6" x14ac:dyDescent="0.3">
      <c r="A77" s="42"/>
      <c r="B77" s="59">
        <f ca="1">+'N° de Obs.'!D38</f>
        <v>105</v>
      </c>
      <c r="C77" s="59">
        <f ca="1">+'N° de Obs.'!E38</f>
        <v>2017</v>
      </c>
      <c r="D77" s="59">
        <f ca="1">+'N° de Obs.'!F38</f>
        <v>2117.85</v>
      </c>
      <c r="E77" s="59">
        <f t="shared" ca="1" si="11"/>
        <v>80</v>
      </c>
      <c r="F77" s="59">
        <f t="shared" ca="1" si="12"/>
        <v>20</v>
      </c>
      <c r="G77" s="59">
        <v>4</v>
      </c>
      <c r="H77" s="59">
        <f t="shared" ca="1" si="14"/>
        <v>5</v>
      </c>
      <c r="I77" s="59">
        <f t="shared" ca="1" si="13"/>
        <v>2148</v>
      </c>
      <c r="J77" s="71">
        <f t="shared" ca="1" si="15"/>
        <v>2103.5</v>
      </c>
      <c r="K77" s="55" t="s">
        <v>134</v>
      </c>
      <c r="L77" s="42"/>
      <c r="M77" s="42"/>
      <c r="N77" s="59" t="s">
        <v>117</v>
      </c>
      <c r="O77" s="72">
        <f ca="1">K72*(SQRT(O74-POWER(O73,2)))</f>
        <v>123.56264605454191</v>
      </c>
      <c r="P77" s="42"/>
      <c r="Q77" s="42"/>
    </row>
    <row r="78" spans="1:18" ht="15.6" x14ac:dyDescent="0.3">
      <c r="A78" s="42"/>
      <c r="B78" s="59">
        <f ca="1">+'N° de Obs.'!D39</f>
        <v>95</v>
      </c>
      <c r="C78" s="59">
        <f ca="1">+'N° de Obs.'!E39</f>
        <v>2163</v>
      </c>
      <c r="D78" s="59">
        <f ca="1">+'N° de Obs.'!F39</f>
        <v>2054.85</v>
      </c>
      <c r="E78" s="59">
        <f t="shared" ca="1" si="11"/>
        <v>75</v>
      </c>
      <c r="F78" s="59">
        <f t="shared" ca="1" si="12"/>
        <v>15</v>
      </c>
      <c r="G78" s="59">
        <v>5</v>
      </c>
      <c r="H78" s="59">
        <f t="shared" ca="1" si="14"/>
        <v>3</v>
      </c>
      <c r="I78" s="59">
        <f t="shared" ca="1" si="13"/>
        <v>2237</v>
      </c>
      <c r="J78" s="71">
        <f t="shared" ca="1" si="15"/>
        <v>2192.5</v>
      </c>
      <c r="K78" s="55" t="s">
        <v>133</v>
      </c>
      <c r="L78" s="42"/>
      <c r="M78" s="42"/>
      <c r="N78" s="42"/>
      <c r="O78" s="42"/>
      <c r="P78" s="42"/>
      <c r="Q78" s="42"/>
    </row>
    <row r="79" spans="1:18" ht="16.2" thickBot="1" x14ac:dyDescent="0.35">
      <c r="A79" s="42"/>
      <c r="B79" s="59">
        <f ca="1">+'N° de Obs.'!D40</f>
        <v>90</v>
      </c>
      <c r="C79" s="59">
        <f ca="1">+'N° de Obs.'!E40</f>
        <v>2274</v>
      </c>
      <c r="D79" s="59">
        <f ca="1">+'N° de Obs.'!F40</f>
        <v>2046.6</v>
      </c>
      <c r="E79" s="59">
        <f t="shared" ca="1" si="11"/>
        <v>36</v>
      </c>
      <c r="F79" s="59">
        <f t="shared" ca="1" si="12"/>
        <v>6</v>
      </c>
      <c r="G79" s="59">
        <v>6</v>
      </c>
      <c r="H79" s="59">
        <f t="shared" ca="1" si="14"/>
        <v>1</v>
      </c>
      <c r="I79" s="59">
        <f t="shared" ca="1" si="13"/>
        <v>2326</v>
      </c>
      <c r="J79" s="71">
        <f t="shared" ca="1" si="15"/>
        <v>2281.5</v>
      </c>
      <c r="K79" s="55" t="s">
        <v>29</v>
      </c>
      <c r="L79" s="42"/>
      <c r="M79" s="42"/>
      <c r="N79" s="59" t="s">
        <v>118</v>
      </c>
      <c r="O79" s="59">
        <f ca="1">(O77*100)/O76</f>
        <v>5.9122297688720744</v>
      </c>
      <c r="P79" s="59" t="s">
        <v>8</v>
      </c>
      <c r="Q79" s="42"/>
    </row>
    <row r="80" spans="1:18" ht="16.2" thickBot="1" x14ac:dyDescent="0.35">
      <c r="A80" s="42"/>
      <c r="B80" s="59">
        <f ca="1">+'N° de Obs.'!D41</f>
        <v>85</v>
      </c>
      <c r="C80" s="59">
        <f ca="1">+'N° de Obs.'!E41</f>
        <v>2266</v>
      </c>
      <c r="D80" s="59">
        <f ca="1">+'N° de Obs.'!F41</f>
        <v>1926.1</v>
      </c>
      <c r="E80" s="73">
        <f ca="1">SUM(E73:E85)</f>
        <v>263</v>
      </c>
      <c r="F80" s="74">
        <f ca="1">SUM(F73:F85)</f>
        <v>67</v>
      </c>
      <c r="G80" s="42"/>
      <c r="H80" s="74">
        <f ca="1">SUM(H73:H85)</f>
        <v>20</v>
      </c>
      <c r="I80" s="75" t="str">
        <f t="shared" ca="1" si="13"/>
        <v/>
      </c>
      <c r="J80" s="76">
        <f t="shared" ca="1" si="15"/>
        <v>2411.85</v>
      </c>
      <c r="K80" s="42"/>
      <c r="L80" s="42"/>
      <c r="M80" s="42"/>
      <c r="N80" s="42"/>
      <c r="O80" s="42"/>
      <c r="P80" s="42"/>
      <c r="Q80" s="42"/>
    </row>
    <row r="81" spans="1:17" ht="15.6" x14ac:dyDescent="0.3">
      <c r="A81" s="42"/>
      <c r="B81" s="59">
        <f ca="1">+'N° de Obs.'!D42</f>
        <v>105</v>
      </c>
      <c r="C81" s="59">
        <f ca="1">+'N° de Obs.'!E42</f>
        <v>2065</v>
      </c>
      <c r="D81" s="59">
        <f ca="1">+'N° de Obs.'!F42</f>
        <v>2168.25</v>
      </c>
      <c r="E81" s="42"/>
      <c r="F81" s="42"/>
      <c r="G81" s="42"/>
      <c r="H81" s="42"/>
      <c r="I81" s="42"/>
      <c r="J81" s="42"/>
      <c r="K81" s="42"/>
      <c r="L81" s="42"/>
      <c r="M81" s="42"/>
      <c r="N81" s="103" t="str">
        <f ca="1">IF(O79&lt;6,"Se puede continuar con el estudio","No se puede continuar con el estudio")</f>
        <v>Se puede continuar con el estudio</v>
      </c>
      <c r="O81" s="103"/>
      <c r="P81" s="42"/>
      <c r="Q81" s="42"/>
    </row>
    <row r="82" spans="1:17" ht="15.6" x14ac:dyDescent="0.3">
      <c r="A82" s="42"/>
      <c r="B82" s="59">
        <f ca="1">+'N° de Obs.'!D43</f>
        <v>95</v>
      </c>
      <c r="C82" s="59">
        <f ca="1">+'N° de Obs.'!E43</f>
        <v>2225</v>
      </c>
      <c r="D82" s="59">
        <f ca="1">+'N° de Obs.'!F43</f>
        <v>2113.75</v>
      </c>
      <c r="E82" s="42"/>
      <c r="F82" s="42"/>
      <c r="G82" s="42"/>
      <c r="H82" s="42"/>
      <c r="I82" s="42"/>
      <c r="J82" s="42"/>
      <c r="K82" s="42"/>
      <c r="L82" s="42"/>
      <c r="M82" s="42"/>
      <c r="N82" s="103"/>
      <c r="O82" s="103"/>
      <c r="P82" s="42"/>
      <c r="Q82" s="42"/>
    </row>
    <row r="83" spans="1:17" ht="15.6" x14ac:dyDescent="0.3">
      <c r="A83" s="42"/>
      <c r="B83" s="59">
        <f ca="1">+'N° de Obs.'!D44</f>
        <v>100</v>
      </c>
      <c r="C83" s="59">
        <f ca="1">+'N° de Obs.'!E44</f>
        <v>2067</v>
      </c>
      <c r="D83" s="59">
        <f ca="1">+'N° de Obs.'!F44</f>
        <v>2067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</row>
    <row r="84" spans="1:17" ht="15.6" x14ac:dyDescent="0.3">
      <c r="A84" s="42"/>
      <c r="B84" s="59">
        <f ca="1">+'N° de Obs.'!D45</f>
        <v>85</v>
      </c>
      <c r="C84" s="59">
        <f ca="1">+'N° de Obs.'!E45</f>
        <v>2271</v>
      </c>
      <c r="D84" s="59">
        <f ca="1">+'N° de Obs.'!F45</f>
        <v>1930.35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</row>
    <row r="85" spans="1:17" ht="15.6" x14ac:dyDescent="0.3">
      <c r="A85" s="42"/>
      <c r="B85" s="59">
        <f ca="1">+'N° de Obs.'!D46</f>
        <v>85</v>
      </c>
      <c r="C85" s="59">
        <f ca="1">+'N° de Obs.'!E46</f>
        <v>2108</v>
      </c>
      <c r="D85" s="59">
        <f ca="1">+'N° de Obs.'!F46</f>
        <v>1791.8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</row>
    <row r="86" spans="1:17" ht="15.6" x14ac:dyDescent="0.3">
      <c r="A86" s="42"/>
      <c r="B86" s="59">
        <f ca="1">+'N° de Obs.'!D47</f>
        <v>95</v>
      </c>
      <c r="C86" s="59">
        <f ca="1">+'N° de Obs.'!E47</f>
        <v>2247</v>
      </c>
      <c r="D86" s="59">
        <f ca="1">+'N° de Obs.'!F47</f>
        <v>2134.65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</row>
    <row r="87" spans="1:17" ht="15.6" x14ac:dyDescent="0.3">
      <c r="A87" s="42"/>
      <c r="B87" s="59">
        <f ca="1">+'N° de Obs.'!D48</f>
        <v>105</v>
      </c>
      <c r="C87" s="59">
        <f ca="1">+'N° de Obs.'!E48</f>
        <v>2297</v>
      </c>
      <c r="D87" s="59">
        <f ca="1">+'N° de Obs.'!F48</f>
        <v>2411.85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</row>
    <row r="88" spans="1:17" ht="15.6" x14ac:dyDescent="0.3">
      <c r="A88" s="42"/>
      <c r="B88" s="59">
        <f ca="1">+'N° de Obs.'!D49</f>
        <v>90</v>
      </c>
      <c r="C88" s="59">
        <f ca="1">+'N° de Obs.'!E49</f>
        <v>2057</v>
      </c>
      <c r="D88" s="59">
        <f ca="1">+'N° de Obs.'!F49</f>
        <v>1851.3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</row>
    <row r="89" spans="1:17" ht="15.6" x14ac:dyDescent="0.3">
      <c r="A89" s="42"/>
      <c r="B89" s="59">
        <f ca="1">+'N° de Obs.'!D50</f>
        <v>100</v>
      </c>
      <c r="C89" s="59">
        <f ca="1">+'N° de Obs.'!E50</f>
        <v>2127</v>
      </c>
      <c r="D89" s="59">
        <f ca="1">+'N° de Obs.'!F50</f>
        <v>2127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</row>
    <row r="90" spans="1:17" ht="15.6" x14ac:dyDescent="0.3">
      <c r="A90" s="42"/>
      <c r="B90" s="59">
        <f ca="1">+'N° de Obs.'!D51</f>
        <v>90</v>
      </c>
      <c r="C90" s="59">
        <f ca="1">+'N° de Obs.'!E51</f>
        <v>2254</v>
      </c>
      <c r="D90" s="59">
        <f ca="1">+'N° de Obs.'!F51</f>
        <v>2028.6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</row>
    <row r="91" spans="1:17" ht="15.6" x14ac:dyDescent="0.3">
      <c r="A91" s="42"/>
      <c r="B91" s="59">
        <f ca="1">+'N° de Obs.'!D52</f>
        <v>95</v>
      </c>
      <c r="C91" s="59">
        <f ca="1">+'N° de Obs.'!E52</f>
        <v>2166</v>
      </c>
      <c r="D91" s="59">
        <f ca="1">+'N° de Obs.'!F52</f>
        <v>2057.6999999999998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</row>
    <row r="92" spans="1:17" ht="15.6" x14ac:dyDescent="0.3">
      <c r="A92" s="42"/>
      <c r="B92" s="59">
        <f ca="1">+'N° de Obs.'!D53</f>
        <v>100</v>
      </c>
      <c r="C92" s="59">
        <f ca="1">+'N° de Obs.'!E53</f>
        <v>2211</v>
      </c>
      <c r="D92" s="59">
        <f ca="1">+'N° de Obs.'!F53</f>
        <v>2211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</row>
    <row r="93" spans="1:17" ht="15.6" x14ac:dyDescent="0.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</row>
    <row r="94" spans="1:17" ht="15.6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</row>
    <row r="95" spans="1:17" ht="15.6" x14ac:dyDescent="0.3">
      <c r="A95" s="42"/>
      <c r="B95" s="42"/>
      <c r="C95" s="42"/>
      <c r="D95" s="59" t="s">
        <v>23</v>
      </c>
      <c r="E95" s="59">
        <f ca="1">COUNTA(C73:C92)</f>
        <v>20</v>
      </c>
      <c r="F95" s="42"/>
      <c r="G95" s="42"/>
      <c r="H95" s="59">
        <f ca="1">MIN(D73:D92)</f>
        <v>1791.8</v>
      </c>
      <c r="I95" s="54">
        <v>100</v>
      </c>
      <c r="J95" s="55" t="s">
        <v>8</v>
      </c>
      <c r="K95" s="42"/>
      <c r="L95" s="59" t="s">
        <v>119</v>
      </c>
      <c r="M95" s="59">
        <f ca="1">ROUND(MIN(D73:D92),0)</f>
        <v>1792</v>
      </c>
      <c r="N95" s="42"/>
      <c r="O95" s="42"/>
      <c r="P95" s="42"/>
      <c r="Q95" s="42"/>
    </row>
    <row r="96" spans="1:17" ht="15.6" x14ac:dyDescent="0.3">
      <c r="A96" s="42"/>
      <c r="B96" s="42"/>
      <c r="C96" s="42"/>
      <c r="D96" s="42"/>
      <c r="E96" s="42"/>
      <c r="F96" s="42"/>
      <c r="G96" s="42"/>
      <c r="H96" s="61">
        <f ca="1">(I96*H95)/I95</f>
        <v>89.59</v>
      </c>
      <c r="I96" s="57">
        <v>5</v>
      </c>
      <c r="J96" s="58" t="s">
        <v>8</v>
      </c>
      <c r="K96" s="42"/>
      <c r="L96" s="59" t="s">
        <v>120</v>
      </c>
      <c r="M96" s="59">
        <f ca="1">ROUND(MAX(D73:D92),0)</f>
        <v>2412</v>
      </c>
      <c r="N96" s="42"/>
      <c r="O96" s="42"/>
      <c r="P96" s="42"/>
      <c r="Q96" s="42"/>
    </row>
    <row r="97" spans="1:17" ht="15.6" x14ac:dyDescent="0.3">
      <c r="A97" s="42"/>
      <c r="B97" s="102" t="s">
        <v>24</v>
      </c>
      <c r="C97" s="102"/>
      <c r="D97" s="102"/>
      <c r="E97" s="59">
        <f ca="1">ROUND(SUM(D73:D92)/E95,0)</f>
        <v>2079</v>
      </c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</row>
    <row r="98" spans="1:17" ht="15.6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</row>
    <row r="99" spans="1:17" ht="15.6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</row>
  </sheetData>
  <mergeCells count="9">
    <mergeCell ref="B63:D63"/>
    <mergeCell ref="D70:E70"/>
    <mergeCell ref="B97:D97"/>
    <mergeCell ref="N81:O82"/>
    <mergeCell ref="D2:E2"/>
    <mergeCell ref="N13:O14"/>
    <mergeCell ref="B29:D29"/>
    <mergeCell ref="D36:E36"/>
    <mergeCell ref="N47:O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1"/>
  <sheetViews>
    <sheetView showGridLines="0" zoomScaleNormal="100" workbookViewId="0">
      <selection activeCell="H23" sqref="H23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116" t="s">
        <v>28</v>
      </c>
      <c r="E7" s="117" t="s">
        <v>30</v>
      </c>
      <c r="F7" s="118" t="s">
        <v>141</v>
      </c>
      <c r="G7" s="118" t="s">
        <v>31</v>
      </c>
      <c r="H7" s="118" t="s">
        <v>126</v>
      </c>
      <c r="I7" s="118" t="s">
        <v>142</v>
      </c>
      <c r="J7" s="118" t="s">
        <v>29</v>
      </c>
      <c r="K7" s="118" t="s">
        <v>143</v>
      </c>
      <c r="L7" s="118" t="s">
        <v>144</v>
      </c>
      <c r="M7" s="118" t="s">
        <v>145</v>
      </c>
      <c r="N7" s="118" t="s">
        <v>146</v>
      </c>
      <c r="O7" s="118" t="s">
        <v>122</v>
      </c>
      <c r="P7" s="118" t="s">
        <v>87</v>
      </c>
      <c r="Q7" s="119" t="s">
        <v>32</v>
      </c>
      <c r="R7" s="120" t="s">
        <v>33</v>
      </c>
    </row>
    <row r="8" spans="4:18" ht="30" customHeight="1" x14ac:dyDescent="0.3">
      <c r="D8" s="106" t="str">
        <f>+'Elementos de la operación'!D3</f>
        <v>Marcar puntos</v>
      </c>
      <c r="E8" s="111">
        <v>0.05</v>
      </c>
      <c r="F8" s="104">
        <v>0.05</v>
      </c>
      <c r="G8" s="104">
        <v>0.02</v>
      </c>
      <c r="H8" s="104">
        <v>0.02</v>
      </c>
      <c r="I8" s="104">
        <v>0.02</v>
      </c>
      <c r="J8" s="104">
        <v>0.02</v>
      </c>
      <c r="K8" s="104">
        <v>0</v>
      </c>
      <c r="L8" s="104">
        <v>0</v>
      </c>
      <c r="M8" s="104">
        <v>0</v>
      </c>
      <c r="N8" s="104">
        <v>0</v>
      </c>
      <c r="O8" s="104">
        <v>0.02</v>
      </c>
      <c r="P8" s="104">
        <v>0</v>
      </c>
      <c r="Q8" s="114">
        <f>(SUM(E8:P8))</f>
        <v>0.19999999999999998</v>
      </c>
      <c r="R8" s="107">
        <f>Q8+1</f>
        <v>1.2</v>
      </c>
    </row>
    <row r="9" spans="4:18" ht="30" customHeight="1" x14ac:dyDescent="0.3">
      <c r="D9" s="106" t="str">
        <f>+'Elementos de la operación'!D4</f>
        <v>Pegar botones</v>
      </c>
      <c r="E9" s="112">
        <v>0.05</v>
      </c>
      <c r="F9" s="108">
        <v>0.05</v>
      </c>
      <c r="G9" s="108">
        <v>0.02</v>
      </c>
      <c r="H9" s="108">
        <v>0.02</v>
      </c>
      <c r="I9" s="108">
        <v>0.02</v>
      </c>
      <c r="J9" s="108">
        <v>0.02</v>
      </c>
      <c r="K9" s="108">
        <v>0</v>
      </c>
      <c r="L9" s="108">
        <v>0</v>
      </c>
      <c r="M9" s="108">
        <v>0</v>
      </c>
      <c r="N9" s="108">
        <v>0</v>
      </c>
      <c r="O9" s="108">
        <v>0.02</v>
      </c>
      <c r="P9" s="108">
        <v>0</v>
      </c>
      <c r="Q9" s="114">
        <f t="shared" ref="Q9:Q10" si="0">(SUM(E9:P9))</f>
        <v>0.19999999999999998</v>
      </c>
      <c r="R9" s="107">
        <f t="shared" ref="R9:R10" si="1">Q9+1</f>
        <v>1.2</v>
      </c>
    </row>
    <row r="10" spans="4:18" ht="30" customHeight="1" x14ac:dyDescent="0.3">
      <c r="D10" s="109" t="str">
        <f>+'Elementos de la operación'!D5</f>
        <v>Limpieza de hilos</v>
      </c>
      <c r="E10" s="113">
        <v>0.05</v>
      </c>
      <c r="F10" s="105">
        <v>0.05</v>
      </c>
      <c r="G10" s="105">
        <v>0.02</v>
      </c>
      <c r="H10" s="105">
        <v>0.02</v>
      </c>
      <c r="I10" s="105">
        <v>0.02</v>
      </c>
      <c r="J10" s="105">
        <v>0.02</v>
      </c>
      <c r="K10" s="105">
        <v>0</v>
      </c>
      <c r="L10" s="105">
        <v>0</v>
      </c>
      <c r="M10" s="105">
        <v>0</v>
      </c>
      <c r="N10" s="105">
        <v>0</v>
      </c>
      <c r="O10" s="105">
        <v>0.02</v>
      </c>
      <c r="P10" s="105">
        <v>0</v>
      </c>
      <c r="Q10" s="115">
        <f t="shared" si="0"/>
        <v>0.19999999999999998</v>
      </c>
      <c r="R10" s="110">
        <f t="shared" si="1"/>
        <v>1.2</v>
      </c>
    </row>
    <row r="11" spans="4:18" ht="15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3"/>
  <sheetViews>
    <sheetView tabSelected="1" topLeftCell="A22" workbookViewId="0">
      <selection activeCell="N36" sqref="N36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9"/>
      <c r="E2" s="30"/>
      <c r="F2" s="29"/>
      <c r="G2" s="29"/>
    </row>
    <row r="3" spans="1:13" ht="15.6" x14ac:dyDescent="0.3">
      <c r="D3" s="29"/>
      <c r="E3" s="30"/>
      <c r="F3" s="29"/>
      <c r="G3" s="29"/>
    </row>
    <row r="4" spans="1:13" ht="15.6" customHeight="1" x14ac:dyDescent="0.3">
      <c r="B4" s="28" t="s">
        <v>100</v>
      </c>
      <c r="D4" s="29"/>
      <c r="E4" t="s">
        <v>102</v>
      </c>
      <c r="F4" s="29"/>
      <c r="G4" s="81" t="s">
        <v>103</v>
      </c>
      <c r="H4" s="81"/>
      <c r="I4" s="81"/>
    </row>
    <row r="5" spans="1:13" ht="15.6" x14ac:dyDescent="0.3">
      <c r="B5" t="str">
        <f>+'Elementos de la operación'!B3</f>
        <v>Pegar botones</v>
      </c>
      <c r="D5" s="29"/>
      <c r="E5" t="s">
        <v>104</v>
      </c>
      <c r="F5" s="29"/>
      <c r="G5" s="29"/>
    </row>
    <row r="6" spans="1:13" ht="15.6" x14ac:dyDescent="0.3">
      <c r="D6" s="29"/>
      <c r="E6" s="30"/>
      <c r="F6" s="29"/>
      <c r="G6" s="29"/>
    </row>
    <row r="7" spans="1:13" ht="15.6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5.6" x14ac:dyDescent="0.3">
      <c r="A8" s="42"/>
      <c r="B8" s="134" t="s">
        <v>28</v>
      </c>
      <c r="C8" s="135" t="s">
        <v>40</v>
      </c>
      <c r="D8" s="136" t="s">
        <v>105</v>
      </c>
      <c r="E8" s="135" t="s">
        <v>33</v>
      </c>
      <c r="F8" s="135" t="s">
        <v>34</v>
      </c>
      <c r="G8" s="118" t="s">
        <v>35</v>
      </c>
      <c r="H8" s="119" t="s">
        <v>36</v>
      </c>
      <c r="I8" s="118" t="s">
        <v>37</v>
      </c>
      <c r="J8" s="135" t="s">
        <v>38</v>
      </c>
      <c r="K8" s="136" t="s">
        <v>39</v>
      </c>
      <c r="L8" s="135" t="s">
        <v>42</v>
      </c>
      <c r="M8" s="42"/>
    </row>
    <row r="9" spans="1:13" ht="15.6" x14ac:dyDescent="0.3">
      <c r="A9" s="42"/>
      <c r="B9" s="137"/>
      <c r="C9" s="138"/>
      <c r="D9" s="139"/>
      <c r="E9" s="138"/>
      <c r="F9" s="138"/>
      <c r="G9" s="140" t="str">
        <f>+CONCATENATE("POR ",UPPER(B5))</f>
        <v>POR PEGAR BOTONES</v>
      </c>
      <c r="H9" s="140"/>
      <c r="I9" s="140"/>
      <c r="J9" s="138"/>
      <c r="K9" s="139"/>
      <c r="L9" s="138"/>
      <c r="M9" s="42"/>
    </row>
    <row r="10" spans="1:13" ht="28.95" customHeight="1" x14ac:dyDescent="0.3">
      <c r="A10" s="42"/>
      <c r="B10" s="123" t="str">
        <f>+'Elementos de la operación'!D3</f>
        <v>Marcar puntos</v>
      </c>
      <c r="C10" s="68" t="s">
        <v>36</v>
      </c>
      <c r="D10" s="124">
        <f ca="1">+MAI!E29</f>
        <v>3062</v>
      </c>
      <c r="E10" s="129">
        <f>+Suplementos!R8</f>
        <v>1.2</v>
      </c>
      <c r="F10" s="68">
        <f ca="1">D10*E10</f>
        <v>3674.4</v>
      </c>
      <c r="G10" s="125">
        <v>1</v>
      </c>
      <c r="H10" s="131">
        <f t="shared" ref="H10:H12" ca="1" si="0">+IFERROR(IF(VLOOKUP("tmp",C10,1)="tmp",F10,"")*G10,"")</f>
        <v>3674.4</v>
      </c>
      <c r="I10" s="126" t="str">
        <f t="shared" ref="I10:I12" si="1">+IFERROR(IF(VLOOKUP("ttm",C10,1)="ttm",F10,"")*G10,"")</f>
        <v/>
      </c>
      <c r="J10" s="132">
        <f ca="1">+SUM(H10:I10)</f>
        <v>3674.4</v>
      </c>
      <c r="K10" s="126">
        <f ca="1">J10*0.75</f>
        <v>2755.8</v>
      </c>
      <c r="L10" s="132">
        <f ca="1">J10*0.8</f>
        <v>2939.5200000000004</v>
      </c>
      <c r="M10" s="42"/>
    </row>
    <row r="11" spans="1:13" ht="28.95" customHeight="1" x14ac:dyDescent="0.3">
      <c r="A11" s="42"/>
      <c r="B11" s="123" t="str">
        <f>+'Elementos de la operación'!D4</f>
        <v>Pegar botones</v>
      </c>
      <c r="C11" s="68" t="s">
        <v>37</v>
      </c>
      <c r="D11" s="124">
        <f ca="1">+MAI!E63</f>
        <v>5233</v>
      </c>
      <c r="E11" s="129">
        <f>+Suplementos!R9</f>
        <v>1.2</v>
      </c>
      <c r="F11" s="68">
        <f t="shared" ref="F11:F12" ca="1" si="2">D11*E11</f>
        <v>6279.5999999999995</v>
      </c>
      <c r="G11" s="125">
        <v>1</v>
      </c>
      <c r="H11" s="132" t="str">
        <f t="shared" si="0"/>
        <v/>
      </c>
      <c r="I11" s="126">
        <f t="shared" ca="1" si="1"/>
        <v>6279.5999999999995</v>
      </c>
      <c r="J11" s="132">
        <f t="shared" ref="J11:J12" ca="1" si="3">+SUM(H11:I11)</f>
        <v>6279.5999999999995</v>
      </c>
      <c r="K11" s="126">
        <f t="shared" ref="K11:K12" ca="1" si="4">J11*0.75</f>
        <v>4709.7</v>
      </c>
      <c r="L11" s="132">
        <f t="shared" ref="L11:L12" ca="1" si="5">J11*0.8</f>
        <v>5023.68</v>
      </c>
      <c r="M11" s="42"/>
    </row>
    <row r="12" spans="1:13" ht="28.95" customHeight="1" x14ac:dyDescent="0.3">
      <c r="A12" s="42"/>
      <c r="B12" s="123" t="str">
        <f>+'Elementos de la operación'!D5</f>
        <v>Limpieza de hilos</v>
      </c>
      <c r="C12" s="69" t="s">
        <v>36</v>
      </c>
      <c r="D12" s="124">
        <f ca="1">+MAI!E97</f>
        <v>2079</v>
      </c>
      <c r="E12" s="130">
        <f>+Suplementos!R10</f>
        <v>1.2</v>
      </c>
      <c r="F12" s="69">
        <f t="shared" ca="1" si="2"/>
        <v>2494.7999999999997</v>
      </c>
      <c r="G12" s="125">
        <v>1</v>
      </c>
      <c r="H12" s="132">
        <f t="shared" ca="1" si="0"/>
        <v>2494.7999999999997</v>
      </c>
      <c r="I12" s="126" t="str">
        <f t="shared" si="1"/>
        <v/>
      </c>
      <c r="J12" s="132">
        <f t="shared" ca="1" si="3"/>
        <v>2494.7999999999997</v>
      </c>
      <c r="K12" s="126">
        <f t="shared" ca="1" si="4"/>
        <v>1871.1</v>
      </c>
      <c r="L12" s="132">
        <f t="shared" ca="1" si="5"/>
        <v>1995.84</v>
      </c>
      <c r="M12" s="42"/>
    </row>
    <row r="13" spans="1:13" ht="15.6" customHeight="1" x14ac:dyDescent="0.3">
      <c r="A13" s="42"/>
      <c r="B13" s="127" t="s">
        <v>106</v>
      </c>
      <c r="C13" s="121"/>
      <c r="D13" s="121"/>
      <c r="E13" s="121"/>
      <c r="F13" s="121"/>
      <c r="G13" s="121"/>
      <c r="H13" s="131">
        <f ca="1">SUM(H10:H12)</f>
        <v>6169.2</v>
      </c>
      <c r="I13" s="122">
        <f ca="1">SUM(I10:I12)</f>
        <v>6279.5999999999995</v>
      </c>
      <c r="J13" s="131">
        <f ca="1">SUM(J10:J12)</f>
        <v>12448.8</v>
      </c>
      <c r="K13" s="122"/>
      <c r="L13" s="131"/>
      <c r="M13" s="42"/>
    </row>
    <row r="14" spans="1:13" ht="15.6" customHeight="1" x14ac:dyDescent="0.3">
      <c r="A14" s="42"/>
      <c r="B14" s="127" t="s">
        <v>107</v>
      </c>
      <c r="C14" s="121"/>
      <c r="D14" s="121"/>
      <c r="E14" s="121"/>
      <c r="F14" s="121"/>
      <c r="G14" s="121"/>
      <c r="H14" s="131">
        <f ca="1">H13*0.75</f>
        <v>4626.8999999999996</v>
      </c>
      <c r="I14" s="122">
        <f ca="1">I13*0.75</f>
        <v>4709.7</v>
      </c>
      <c r="J14" s="131"/>
      <c r="K14" s="122">
        <f ca="1">SUM(K10:K12)</f>
        <v>9336.6</v>
      </c>
      <c r="L14" s="131"/>
      <c r="M14" s="42"/>
    </row>
    <row r="15" spans="1:13" ht="15.6" customHeight="1" x14ac:dyDescent="0.3">
      <c r="A15" s="42"/>
      <c r="B15" s="127" t="s">
        <v>41</v>
      </c>
      <c r="C15" s="121"/>
      <c r="D15" s="121"/>
      <c r="E15" s="121"/>
      <c r="F15" s="121"/>
      <c r="G15" s="121"/>
      <c r="H15" s="133">
        <f ca="1">H13*0.8</f>
        <v>4935.3600000000006</v>
      </c>
      <c r="I15" s="128">
        <f ca="1">I13*0.8</f>
        <v>5023.68</v>
      </c>
      <c r="J15" s="133"/>
      <c r="K15" s="128"/>
      <c r="L15" s="133">
        <f ca="1">SUM(H15:I15)</f>
        <v>9959.0400000000009</v>
      </c>
      <c r="M15" s="42"/>
    </row>
    <row r="16" spans="1:13" ht="14.4" customHeight="1" x14ac:dyDescent="0.3">
      <c r="A16" s="42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42"/>
    </row>
    <row r="17" spans="1:13" ht="14.4" customHeight="1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.6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1:13" ht="15.6" x14ac:dyDescent="0.3">
      <c r="A19" s="42"/>
      <c r="B19" s="42"/>
      <c r="C19" s="42"/>
      <c r="D19" s="42"/>
      <c r="E19" s="135" t="s">
        <v>43</v>
      </c>
      <c r="F19" s="75" t="s">
        <v>45</v>
      </c>
      <c r="G19" s="141">
        <f ca="1">SUM(H13:I13)</f>
        <v>12448.8</v>
      </c>
      <c r="H19" s="42"/>
      <c r="I19" s="42"/>
      <c r="J19" s="42"/>
      <c r="K19" s="42"/>
      <c r="L19" s="42"/>
      <c r="M19" s="42"/>
    </row>
    <row r="20" spans="1:13" ht="15.6" x14ac:dyDescent="0.3">
      <c r="A20" s="42"/>
      <c r="B20" s="42"/>
      <c r="C20" s="42"/>
      <c r="D20" s="42"/>
      <c r="E20" s="144"/>
      <c r="F20" s="42" t="s">
        <v>46</v>
      </c>
      <c r="G20" s="142">
        <f ca="1">SUM(H14:I14)</f>
        <v>9336.5999999999985</v>
      </c>
      <c r="H20" s="42"/>
      <c r="I20" s="42"/>
      <c r="J20" s="42"/>
      <c r="K20" s="42"/>
      <c r="L20" s="42"/>
      <c r="M20" s="42"/>
    </row>
    <row r="21" spans="1:13" ht="15.6" x14ac:dyDescent="0.3">
      <c r="A21" s="42"/>
      <c r="B21" s="42"/>
      <c r="C21" s="42"/>
      <c r="D21" s="42"/>
      <c r="E21" s="138"/>
      <c r="F21" s="52" t="s">
        <v>29</v>
      </c>
      <c r="G21" s="143">
        <f ca="1">SUM(H15:I15)</f>
        <v>9959.0400000000009</v>
      </c>
      <c r="H21" s="42"/>
      <c r="I21" s="42"/>
      <c r="J21" s="42"/>
      <c r="K21" s="42"/>
      <c r="L21" s="42"/>
      <c r="M21" s="42"/>
    </row>
    <row r="22" spans="1:13" ht="15.6" x14ac:dyDescent="0.3">
      <c r="A22" s="42"/>
      <c r="B22" s="42"/>
      <c r="C22" s="42"/>
      <c r="D22" s="42"/>
      <c r="E22" s="135" t="s">
        <v>44</v>
      </c>
      <c r="F22" s="75" t="s">
        <v>45</v>
      </c>
      <c r="G22" s="141">
        <f ca="1">I13</f>
        <v>6279.5999999999995</v>
      </c>
      <c r="H22" s="42"/>
      <c r="I22" s="42"/>
      <c r="J22" s="42"/>
      <c r="K22" s="42"/>
      <c r="L22" s="42"/>
      <c r="M22" s="42"/>
    </row>
    <row r="23" spans="1:13" ht="15.6" x14ac:dyDescent="0.3">
      <c r="A23" s="42"/>
      <c r="B23" s="42"/>
      <c r="C23" s="42"/>
      <c r="D23" s="42"/>
      <c r="E23" s="144"/>
      <c r="F23" s="42" t="s">
        <v>46</v>
      </c>
      <c r="G23" s="142">
        <f ca="1">I14</f>
        <v>4709.7</v>
      </c>
      <c r="H23" s="42"/>
      <c r="I23" s="42"/>
      <c r="J23" s="42"/>
      <c r="K23" s="42"/>
      <c r="L23" s="42"/>
      <c r="M23" s="42"/>
    </row>
    <row r="24" spans="1:13" ht="15.6" x14ac:dyDescent="0.3">
      <c r="A24" s="42"/>
      <c r="B24" s="42"/>
      <c r="C24" s="42"/>
      <c r="D24" s="42"/>
      <c r="E24" s="138"/>
      <c r="F24" s="52" t="s">
        <v>29</v>
      </c>
      <c r="G24" s="143">
        <f ca="1">I15</f>
        <v>5023.68</v>
      </c>
      <c r="H24" s="42"/>
      <c r="I24" s="42"/>
      <c r="J24" s="42"/>
      <c r="K24" s="42"/>
      <c r="L24" s="42"/>
      <c r="M24" s="42"/>
    </row>
    <row r="25" spans="1:13" ht="15.6" x14ac:dyDescent="0.3">
      <c r="A25" s="42"/>
      <c r="B25" s="42"/>
      <c r="C25" s="42"/>
      <c r="D25" s="42"/>
      <c r="E25" s="144" t="s">
        <v>108</v>
      </c>
      <c r="F25" s="42" t="s">
        <v>45</v>
      </c>
      <c r="G25" s="142">
        <f ca="1">SUM(H13:I13)</f>
        <v>12448.8</v>
      </c>
      <c r="H25" s="42"/>
      <c r="I25" s="42"/>
      <c r="J25" s="42"/>
      <c r="K25" s="42"/>
      <c r="L25" s="42"/>
      <c r="M25" s="42"/>
    </row>
    <row r="26" spans="1:13" ht="15.6" x14ac:dyDescent="0.3">
      <c r="A26" s="42"/>
      <c r="B26" s="42"/>
      <c r="C26" s="42"/>
      <c r="D26" s="42"/>
      <c r="E26" s="144"/>
      <c r="F26" s="42" t="s">
        <v>46</v>
      </c>
      <c r="G26" s="142">
        <f ca="1">SUM(H14:I14)</f>
        <v>9336.5999999999985</v>
      </c>
      <c r="H26" s="42"/>
      <c r="I26" s="42"/>
      <c r="J26" s="42"/>
      <c r="K26" s="42"/>
      <c r="L26" s="42"/>
      <c r="M26" s="42"/>
    </row>
    <row r="27" spans="1:13" ht="15.6" x14ac:dyDescent="0.3">
      <c r="A27" s="42"/>
      <c r="B27" s="42"/>
      <c r="C27" s="42"/>
      <c r="D27" s="42"/>
      <c r="E27" s="138"/>
      <c r="F27" s="52" t="s">
        <v>29</v>
      </c>
      <c r="G27" s="143">
        <f ca="1">SUM(H15:I15)</f>
        <v>9959.0400000000009</v>
      </c>
      <c r="H27" s="42"/>
      <c r="I27" s="42"/>
      <c r="J27" s="42"/>
      <c r="K27" s="42"/>
      <c r="L27" s="42"/>
      <c r="M27" s="42"/>
    </row>
    <row r="28" spans="1:13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3" ht="15.6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 ht="15.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ht="15.6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</row>
    <row r="32" spans="1:13" ht="15.6" x14ac:dyDescent="0.3">
      <c r="A32" s="42"/>
      <c r="B32" s="42"/>
      <c r="C32" s="42"/>
      <c r="D32" s="134" t="s">
        <v>148</v>
      </c>
      <c r="E32" s="135" t="s">
        <v>47</v>
      </c>
      <c r="F32" s="135" t="s">
        <v>48</v>
      </c>
      <c r="G32" s="151" t="s">
        <v>147</v>
      </c>
      <c r="H32" s="42"/>
      <c r="I32" s="42"/>
      <c r="J32" s="42"/>
      <c r="K32" s="42"/>
      <c r="L32" s="42"/>
      <c r="M32" s="42"/>
    </row>
    <row r="33" spans="1:13" ht="15.6" x14ac:dyDescent="0.3">
      <c r="A33" s="42"/>
      <c r="B33" s="42"/>
      <c r="C33" s="42"/>
      <c r="D33" s="137"/>
      <c r="E33" s="138"/>
      <c r="F33" s="138"/>
      <c r="G33" s="152"/>
      <c r="H33" s="42"/>
      <c r="I33" s="42"/>
      <c r="J33" s="42"/>
      <c r="K33" s="42"/>
      <c r="L33" s="42"/>
      <c r="M33" s="42"/>
    </row>
    <row r="34" spans="1:13" ht="16.95" customHeight="1" x14ac:dyDescent="0.3">
      <c r="A34" s="42"/>
      <c r="B34" s="42"/>
      <c r="C34" s="42"/>
      <c r="D34" s="145" t="s">
        <v>49</v>
      </c>
      <c r="E34" s="149">
        <f ca="1">360000/G25</f>
        <v>28.91844997108155</v>
      </c>
      <c r="F34" s="149">
        <f ca="1">360000/G26</f>
        <v>38.557933294775403</v>
      </c>
      <c r="G34" s="146">
        <f ca="1">360000/G27</f>
        <v>36.148062463851936</v>
      </c>
      <c r="H34" s="42"/>
      <c r="I34" s="42"/>
      <c r="J34" s="42"/>
      <c r="K34" s="42"/>
      <c r="L34" s="42"/>
      <c r="M34" s="42"/>
    </row>
    <row r="35" spans="1:13" ht="16.95" customHeight="1" x14ac:dyDescent="0.3">
      <c r="A35" s="42"/>
      <c r="B35" s="42"/>
      <c r="C35" s="42"/>
      <c r="D35" s="145"/>
      <c r="E35" s="149"/>
      <c r="F35" s="149"/>
      <c r="G35" s="146"/>
      <c r="H35" s="42"/>
      <c r="I35" s="42"/>
      <c r="J35" s="42"/>
      <c r="K35" s="42"/>
      <c r="L35" s="42"/>
      <c r="M35" s="42"/>
    </row>
    <row r="36" spans="1:13" ht="16.95" customHeight="1" x14ac:dyDescent="0.3">
      <c r="A36" s="42"/>
      <c r="B36" s="42"/>
      <c r="C36" s="42"/>
      <c r="D36" s="145" t="s">
        <v>50</v>
      </c>
      <c r="E36" s="149">
        <f ca="1">((G19*100)/G25)</f>
        <v>100</v>
      </c>
      <c r="F36" s="149">
        <f ca="1">((G20*100)/G26)</f>
        <v>100</v>
      </c>
      <c r="G36" s="146">
        <f ca="1">((G21*100)/G27)</f>
        <v>100</v>
      </c>
      <c r="H36" s="42"/>
      <c r="I36" s="42"/>
      <c r="J36" s="42"/>
      <c r="K36" s="42"/>
      <c r="L36" s="42"/>
      <c r="M36" s="42"/>
    </row>
    <row r="37" spans="1:13" ht="16.95" customHeight="1" x14ac:dyDescent="0.3">
      <c r="A37" s="42"/>
      <c r="B37" s="42"/>
      <c r="C37" s="42"/>
      <c r="D37" s="145"/>
      <c r="E37" s="149"/>
      <c r="F37" s="149"/>
      <c r="G37" s="146"/>
      <c r="H37" s="42"/>
      <c r="I37" s="42"/>
      <c r="J37" s="42"/>
      <c r="K37" s="42"/>
      <c r="L37" s="42"/>
      <c r="M37" s="42"/>
    </row>
    <row r="38" spans="1:13" ht="16.95" customHeight="1" x14ac:dyDescent="0.3">
      <c r="A38" s="42"/>
      <c r="B38" s="42"/>
      <c r="C38" s="42"/>
      <c r="D38" s="145" t="s">
        <v>51</v>
      </c>
      <c r="E38" s="149">
        <f ca="1">100/E36</f>
        <v>1</v>
      </c>
      <c r="F38" s="149">
        <f ca="1">100/F36</f>
        <v>1</v>
      </c>
      <c r="G38" s="146">
        <f ca="1">100/G36</f>
        <v>1</v>
      </c>
      <c r="H38" s="42"/>
      <c r="I38" s="42"/>
      <c r="J38" s="42"/>
      <c r="K38" s="42"/>
      <c r="L38" s="42"/>
      <c r="M38" s="42"/>
    </row>
    <row r="39" spans="1:13" ht="16.95" customHeight="1" x14ac:dyDescent="0.3">
      <c r="A39" s="42"/>
      <c r="B39" s="42"/>
      <c r="C39" s="42"/>
      <c r="D39" s="145"/>
      <c r="E39" s="149"/>
      <c r="F39" s="149"/>
      <c r="G39" s="146"/>
      <c r="H39" s="42"/>
      <c r="I39" s="42"/>
      <c r="J39" s="42"/>
      <c r="K39" s="42"/>
      <c r="L39" s="42"/>
      <c r="M39" s="42"/>
    </row>
    <row r="40" spans="1:13" ht="16.95" customHeight="1" x14ac:dyDescent="0.3">
      <c r="A40" s="42"/>
      <c r="B40" s="42"/>
      <c r="C40" s="42"/>
      <c r="D40" s="145" t="s">
        <v>52</v>
      </c>
      <c r="E40" s="149">
        <f ca="1">(G22*100)/G25</f>
        <v>50.443416232889923</v>
      </c>
      <c r="F40" s="149">
        <f ca="1">(G23*100)/G26</f>
        <v>50.443416232889923</v>
      </c>
      <c r="G40" s="146">
        <f ca="1">+(G24*100)/G27</f>
        <v>50.443416232889909</v>
      </c>
      <c r="H40" s="42"/>
      <c r="I40" s="42"/>
      <c r="J40" s="42"/>
      <c r="K40" s="42"/>
      <c r="L40" s="42"/>
      <c r="M40" s="42"/>
    </row>
    <row r="41" spans="1:13" ht="16.95" customHeight="1" x14ac:dyDescent="0.3">
      <c r="A41" s="42"/>
      <c r="B41" s="42"/>
      <c r="C41" s="42"/>
      <c r="D41" s="145"/>
      <c r="E41" s="149"/>
      <c r="F41" s="149"/>
      <c r="G41" s="146"/>
      <c r="H41" s="42"/>
      <c r="I41" s="42"/>
      <c r="J41" s="42"/>
      <c r="K41" s="42"/>
      <c r="L41" s="42"/>
      <c r="M41" s="42"/>
    </row>
    <row r="42" spans="1:13" ht="16.95" customHeight="1" x14ac:dyDescent="0.3">
      <c r="A42" s="42"/>
      <c r="B42" s="42"/>
      <c r="C42" s="42"/>
      <c r="D42" s="145" t="s">
        <v>54</v>
      </c>
      <c r="E42" s="149" t="s">
        <v>53</v>
      </c>
      <c r="F42" s="149">
        <f ca="1">IFERROR(360000/G23,"-")</f>
        <v>76.437989680871397</v>
      </c>
      <c r="G42" s="146" t="s">
        <v>53</v>
      </c>
      <c r="H42" s="42"/>
      <c r="I42" s="42"/>
      <c r="J42" s="42"/>
      <c r="K42" s="42"/>
      <c r="L42" s="42"/>
      <c r="M42" s="42"/>
    </row>
    <row r="43" spans="1:13" ht="16.95" customHeight="1" x14ac:dyDescent="0.3">
      <c r="A43" s="42"/>
      <c r="B43" s="42"/>
      <c r="C43" s="42"/>
      <c r="D43" s="145"/>
      <c r="E43" s="149"/>
      <c r="F43" s="149"/>
      <c r="G43" s="146"/>
      <c r="H43" s="42"/>
      <c r="I43" s="42"/>
      <c r="J43" s="42"/>
      <c r="K43" s="42"/>
      <c r="L43" s="42"/>
      <c r="M43" s="42"/>
    </row>
    <row r="44" spans="1:13" ht="16.95" customHeight="1" x14ac:dyDescent="0.3">
      <c r="A44" s="42"/>
      <c r="B44" s="42"/>
      <c r="C44" s="42"/>
      <c r="D44" s="145" t="s">
        <v>57</v>
      </c>
      <c r="E44" s="149" t="s">
        <v>53</v>
      </c>
      <c r="F44" s="149">
        <f ca="1">(12*G26*100)/'Error de vuelta a 0'!L9</f>
        <v>51.227287275387489</v>
      </c>
      <c r="G44" s="146" t="s">
        <v>53</v>
      </c>
      <c r="H44" s="42"/>
      <c r="I44" s="42"/>
      <c r="J44" s="42"/>
      <c r="K44" s="42"/>
      <c r="L44" s="42"/>
      <c r="M44" s="42"/>
    </row>
    <row r="45" spans="1:13" ht="16.95" customHeight="1" x14ac:dyDescent="0.3">
      <c r="A45" s="42"/>
      <c r="B45" s="42"/>
      <c r="C45" s="42"/>
      <c r="D45" s="145"/>
      <c r="E45" s="149"/>
      <c r="F45" s="149"/>
      <c r="G45" s="146"/>
      <c r="H45" s="42"/>
      <c r="I45" s="42"/>
      <c r="J45" s="42"/>
      <c r="K45" s="42"/>
      <c r="L45" s="42"/>
      <c r="M45" s="42"/>
    </row>
    <row r="46" spans="1:13" ht="16.95" customHeight="1" x14ac:dyDescent="0.3">
      <c r="A46" s="42"/>
      <c r="B46" s="42"/>
      <c r="C46" s="42"/>
      <c r="D46" s="145" t="s">
        <v>56</v>
      </c>
      <c r="E46" s="149" t="s">
        <v>53</v>
      </c>
      <c r="F46" s="149">
        <f ca="1">(12*G26*100)/'Error de vuelta a 0'!L8</f>
        <v>51.227287275387489</v>
      </c>
      <c r="G46" s="146" t="s">
        <v>53</v>
      </c>
      <c r="H46" s="42"/>
      <c r="I46" s="42"/>
      <c r="J46" s="42"/>
      <c r="K46" s="42"/>
      <c r="L46" s="42"/>
      <c r="M46" s="42"/>
    </row>
    <row r="47" spans="1:13" ht="16.95" customHeight="1" x14ac:dyDescent="0.3">
      <c r="A47" s="42"/>
      <c r="B47" s="42"/>
      <c r="C47" s="42"/>
      <c r="D47" s="145"/>
      <c r="E47" s="149"/>
      <c r="F47" s="149"/>
      <c r="G47" s="146"/>
      <c r="H47" s="42"/>
      <c r="I47" s="42"/>
      <c r="J47" s="42"/>
      <c r="K47" s="42"/>
      <c r="L47" s="42"/>
      <c r="M47" s="42"/>
    </row>
    <row r="48" spans="1:13" ht="16.95" customHeight="1" x14ac:dyDescent="0.3">
      <c r="A48" s="42"/>
      <c r="B48" s="42"/>
      <c r="C48" s="42"/>
      <c r="D48" s="145" t="s">
        <v>55</v>
      </c>
      <c r="E48" s="149" t="s">
        <v>53</v>
      </c>
      <c r="F48" s="149">
        <f ca="1">(E34*100)/F34</f>
        <v>75</v>
      </c>
      <c r="G48" s="146" t="s">
        <v>53</v>
      </c>
      <c r="H48" s="42"/>
      <c r="I48" s="42"/>
      <c r="J48" s="42"/>
      <c r="K48" s="42"/>
      <c r="L48" s="42"/>
      <c r="M48" s="42"/>
    </row>
    <row r="49" spans="1:13" ht="16.95" customHeight="1" x14ac:dyDescent="0.3">
      <c r="A49" s="42"/>
      <c r="B49" s="42"/>
      <c r="C49" s="42"/>
      <c r="D49" s="147"/>
      <c r="E49" s="150"/>
      <c r="F49" s="150"/>
      <c r="G49" s="148"/>
      <c r="H49" s="42"/>
      <c r="I49" s="42"/>
      <c r="J49" s="42"/>
      <c r="K49" s="42"/>
      <c r="L49" s="42"/>
      <c r="M49" s="42"/>
    </row>
    <row r="50" spans="1:13" ht="15.6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3" ht="15.6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2" spans="1:13" ht="15.6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</row>
    <row r="53" spans="1:13" ht="15.6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</row>
  </sheetData>
  <mergeCells count="52">
    <mergeCell ref="D48:D49"/>
    <mergeCell ref="E48:E49"/>
    <mergeCell ref="F48:F49"/>
    <mergeCell ref="G48:G49"/>
    <mergeCell ref="D44:D45"/>
    <mergeCell ref="E44:E45"/>
    <mergeCell ref="F44:F45"/>
    <mergeCell ref="G44:G45"/>
    <mergeCell ref="D46:D47"/>
    <mergeCell ref="E46:E47"/>
    <mergeCell ref="F46:F47"/>
    <mergeCell ref="G46:G47"/>
    <mergeCell ref="D40:D41"/>
    <mergeCell ref="E40:E41"/>
    <mergeCell ref="F40:F41"/>
    <mergeCell ref="G40:G41"/>
    <mergeCell ref="D42:D43"/>
    <mergeCell ref="E42:E43"/>
    <mergeCell ref="F42:F43"/>
    <mergeCell ref="G42:G43"/>
    <mergeCell ref="D36:D37"/>
    <mergeCell ref="E36:E37"/>
    <mergeCell ref="F36:F37"/>
    <mergeCell ref="G36:G37"/>
    <mergeCell ref="D38:D39"/>
    <mergeCell ref="E38:E39"/>
    <mergeCell ref="F38:F39"/>
    <mergeCell ref="G38:G39"/>
    <mergeCell ref="D32:D33"/>
    <mergeCell ref="E32:E33"/>
    <mergeCell ref="F32:F33"/>
    <mergeCell ref="G32:G33"/>
    <mergeCell ref="D34:D35"/>
    <mergeCell ref="E34:E35"/>
    <mergeCell ref="F34:F35"/>
    <mergeCell ref="G34:G35"/>
    <mergeCell ref="B15:G15"/>
    <mergeCell ref="E19:E21"/>
    <mergeCell ref="E22:E24"/>
    <mergeCell ref="E25:E27"/>
    <mergeCell ref="B14:G14"/>
    <mergeCell ref="B13:G13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MAI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2022-09-15T17:46:10Z</dcterms:modified>
</cp:coreProperties>
</file>