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1715A47A-B848-4630-9F37-2FC618C3F9C4}" xr6:coauthVersionLast="47" xr6:coauthVersionMax="47" xr10:uidLastSave="{00000000-0000-0000-0000-000000000000}"/>
  <bookViews>
    <workbookView xWindow="-108" yWindow="-108" windowWidth="23256" windowHeight="12456" firstSheet="2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6" l="1"/>
  <c r="C23" i="6"/>
  <c r="K29" i="6" s="1"/>
  <c r="C24" i="6"/>
  <c r="N29" i="6" s="1"/>
  <c r="C25" i="6"/>
  <c r="K54" i="6" s="1"/>
  <c r="C21" i="6"/>
  <c r="K4" i="6" s="1"/>
  <c r="N4" i="6"/>
  <c r="F12" i="10"/>
  <c r="F11" i="10"/>
  <c r="K57" i="6"/>
  <c r="Q12" i="7" l="1"/>
  <c r="R12" i="7" s="1"/>
  <c r="E14" i="12" s="1"/>
  <c r="Q9" i="7"/>
  <c r="Q10" i="7"/>
  <c r="Q11" i="7"/>
  <c r="Q8" i="7"/>
  <c r="D12" i="7"/>
  <c r="D9" i="7"/>
  <c r="D10" i="7"/>
  <c r="D11" i="7"/>
  <c r="D8" i="7"/>
  <c r="B5" i="12" l="1"/>
  <c r="G9" i="12" s="1"/>
  <c r="B13" i="12"/>
  <c r="B14" i="12"/>
  <c r="B12" i="12"/>
  <c r="B11" i="12"/>
  <c r="B10" i="12"/>
  <c r="I14" i="12"/>
  <c r="I13" i="12"/>
  <c r="I10" i="12"/>
  <c r="F10" i="10" l="1"/>
  <c r="F9" i="10"/>
  <c r="F8" i="10"/>
  <c r="L57" i="6" l="1"/>
  <c r="C30" i="6"/>
  <c r="C35" i="6" s="1"/>
  <c r="C40" i="6" s="1"/>
  <c r="C45" i="6" s="1"/>
  <c r="C50" i="6" s="1"/>
  <c r="C55" i="6" s="1"/>
  <c r="C60" i="6" s="1"/>
  <c r="C65" i="6" s="1"/>
  <c r="C70" i="6" s="1"/>
  <c r="C75" i="6" s="1"/>
  <c r="C80" i="6" s="1"/>
  <c r="C85" i="6" s="1"/>
  <c r="C90" i="6" s="1"/>
  <c r="C95" i="6" s="1"/>
  <c r="C100" i="6" s="1"/>
  <c r="C105" i="6" s="1"/>
  <c r="C28" i="6"/>
  <c r="C33" i="6" s="1"/>
  <c r="C38" i="6" s="1"/>
  <c r="C43" i="6" s="1"/>
  <c r="C48" i="6" s="1"/>
  <c r="C53" i="6" s="1"/>
  <c r="C58" i="6" s="1"/>
  <c r="C63" i="6" s="1"/>
  <c r="C68" i="6" s="1"/>
  <c r="C73" i="6" s="1"/>
  <c r="C78" i="6" s="1"/>
  <c r="C83" i="6" s="1"/>
  <c r="C88" i="6" s="1"/>
  <c r="C93" i="6" s="1"/>
  <c r="C98" i="6" s="1"/>
  <c r="C103" i="6" s="1"/>
  <c r="C27" i="6"/>
  <c r="C32" i="6" s="1"/>
  <c r="C37" i="6" s="1"/>
  <c r="C42" i="6" s="1"/>
  <c r="C47" i="6" s="1"/>
  <c r="C52" i="6" s="1"/>
  <c r="C57" i="6" s="1"/>
  <c r="C62" i="6" s="1"/>
  <c r="C67" i="6" s="1"/>
  <c r="C72" i="6" s="1"/>
  <c r="C77" i="6" s="1"/>
  <c r="C82" i="6" s="1"/>
  <c r="C87" i="6" s="1"/>
  <c r="C92" i="6" s="1"/>
  <c r="C97" i="6" s="1"/>
  <c r="C102" i="6" s="1"/>
  <c r="C29" i="6"/>
  <c r="C34" i="6" s="1"/>
  <c r="C39" i="6" s="1"/>
  <c r="C44" i="6" s="1"/>
  <c r="C49" i="6" s="1"/>
  <c r="C54" i="6" s="1"/>
  <c r="C59" i="6" s="1"/>
  <c r="C64" i="6" s="1"/>
  <c r="C69" i="6" s="1"/>
  <c r="C74" i="6" s="1"/>
  <c r="C79" i="6" s="1"/>
  <c r="C84" i="6" s="1"/>
  <c r="C89" i="6" s="1"/>
  <c r="C94" i="6" s="1"/>
  <c r="C99" i="6" s="1"/>
  <c r="C104" i="6" s="1"/>
  <c r="C107" i="6" l="1"/>
  <c r="C109" i="6"/>
  <c r="C108" i="6"/>
  <c r="C110" i="6"/>
  <c r="Q11" i="1"/>
  <c r="C115" i="6" l="1"/>
  <c r="C112" i="6"/>
  <c r="C113" i="6"/>
  <c r="C114" i="6"/>
  <c r="G64" i="2"/>
  <c r="P30" i="2"/>
  <c r="G30" i="2"/>
  <c r="P2" i="2"/>
  <c r="G2" i="2"/>
  <c r="L4" i="1"/>
  <c r="Q9" i="1" s="1"/>
  <c r="L3" i="1"/>
  <c r="Q8" i="1" s="1"/>
  <c r="H16" i="6"/>
  <c r="K58" i="6" s="1"/>
  <c r="D2" i="13" l="1"/>
  <c r="E3" i="8"/>
  <c r="D70" i="13"/>
  <c r="E87" i="8"/>
  <c r="D104" i="13"/>
  <c r="E127" i="8"/>
  <c r="D36" i="13"/>
  <c r="E45" i="8"/>
  <c r="D138" i="13"/>
  <c r="E168" i="8"/>
  <c r="H17" i="6"/>
  <c r="K59" i="6" s="1"/>
  <c r="D70" i="2" s="1"/>
  <c r="N33" i="6"/>
  <c r="M35" i="2" s="1"/>
  <c r="N8" i="6"/>
  <c r="M7" i="2" s="1"/>
  <c r="K8" i="6"/>
  <c r="K33" i="6"/>
  <c r="D35" i="2" s="1"/>
  <c r="C118" i="6"/>
  <c r="C119" i="6"/>
  <c r="C117" i="6"/>
  <c r="C120" i="6"/>
  <c r="E68" i="2"/>
  <c r="N7" i="6"/>
  <c r="M6" i="2" s="1"/>
  <c r="N32" i="6"/>
  <c r="M34" i="2" s="1"/>
  <c r="D68" i="2"/>
  <c r="D69" i="2"/>
  <c r="B20" i="6"/>
  <c r="D5" i="1"/>
  <c r="E5" i="1"/>
  <c r="C5" i="1"/>
  <c r="C172" i="8" l="1"/>
  <c r="C141" i="13"/>
  <c r="B174" i="8"/>
  <c r="B143" i="13"/>
  <c r="B173" i="8"/>
  <c r="B142" i="13"/>
  <c r="B172" i="8"/>
  <c r="B141" i="13"/>
  <c r="B132" i="8"/>
  <c r="B108" i="13"/>
  <c r="B131" i="8"/>
  <c r="B107" i="13"/>
  <c r="B92" i="8"/>
  <c r="B74" i="13"/>
  <c r="B50" i="8"/>
  <c r="B40" i="13"/>
  <c r="B49" i="8"/>
  <c r="B39" i="13"/>
  <c r="H18" i="6"/>
  <c r="K60" i="6" s="1"/>
  <c r="K9" i="6"/>
  <c r="D8" i="2" s="1"/>
  <c r="N34" i="6"/>
  <c r="M36" i="2" s="1"/>
  <c r="K34" i="6"/>
  <c r="D36" i="2" s="1"/>
  <c r="N9" i="6"/>
  <c r="M8" i="2" s="1"/>
  <c r="C26" i="6"/>
  <c r="C31" i="6" s="1"/>
  <c r="C36" i="6" s="1"/>
  <c r="C41" i="6" s="1"/>
  <c r="C46" i="6" s="1"/>
  <c r="C51" i="6" s="1"/>
  <c r="C56" i="6" s="1"/>
  <c r="C61" i="6" s="1"/>
  <c r="C66" i="6" s="1"/>
  <c r="C71" i="6" s="1"/>
  <c r="C76" i="6" s="1"/>
  <c r="C81" i="6" s="1"/>
  <c r="C86" i="6" s="1"/>
  <c r="C91" i="6" s="1"/>
  <c r="C96" i="6" s="1"/>
  <c r="C101" i="6" s="1"/>
  <c r="L7" i="6"/>
  <c r="E6" i="2" s="1"/>
  <c r="L34" i="6"/>
  <c r="Q5" i="1"/>
  <c r="O7" i="6"/>
  <c r="N6" i="2" s="1"/>
  <c r="L32" i="6"/>
  <c r="E34" i="2" s="1"/>
  <c r="O32" i="6"/>
  <c r="N34" i="2" s="1"/>
  <c r="F68" i="2"/>
  <c r="K32" i="6"/>
  <c r="D34" i="2" s="1"/>
  <c r="B73" i="13" s="1"/>
  <c r="K7" i="6"/>
  <c r="D6" i="2" s="1"/>
  <c r="D7" i="2"/>
  <c r="R11" i="7"/>
  <c r="E13" i="12" s="1"/>
  <c r="R10" i="7"/>
  <c r="E12" i="12" s="1"/>
  <c r="R9" i="7"/>
  <c r="E11" i="12" s="1"/>
  <c r="R8" i="7"/>
  <c r="E10" i="12" s="1"/>
  <c r="D141" i="13" l="1"/>
  <c r="C131" i="8"/>
  <c r="C107" i="13"/>
  <c r="B133" i="8"/>
  <c r="B109" i="13"/>
  <c r="C91" i="8"/>
  <c r="C73" i="13"/>
  <c r="B93" i="8"/>
  <c r="B75" i="13"/>
  <c r="C49" i="8"/>
  <c r="C39" i="13"/>
  <c r="B51" i="8"/>
  <c r="B41" i="13"/>
  <c r="C7" i="8"/>
  <c r="C5" i="13"/>
  <c r="B8" i="8"/>
  <c r="B6" i="13"/>
  <c r="B9" i="8"/>
  <c r="B7" i="13"/>
  <c r="B7" i="8"/>
  <c r="B5" i="13"/>
  <c r="G68" i="2"/>
  <c r="H19" i="6"/>
  <c r="L11" i="6" s="1"/>
  <c r="E10" i="2" s="1"/>
  <c r="C9" i="13" s="1"/>
  <c r="N35" i="6"/>
  <c r="M37" i="2" s="1"/>
  <c r="K10" i="6"/>
  <c r="D9" i="2" s="1"/>
  <c r="K35" i="6"/>
  <c r="D37" i="2" s="1"/>
  <c r="N10" i="6"/>
  <c r="M9" i="2" s="1"/>
  <c r="D71" i="2"/>
  <c r="O10" i="6"/>
  <c r="O33" i="6"/>
  <c r="C106" i="6"/>
  <c r="O8" i="6"/>
  <c r="L8" i="6"/>
  <c r="B91" i="8"/>
  <c r="K61" i="6" l="1"/>
  <c r="D72" i="2" s="1"/>
  <c r="L61" i="6"/>
  <c r="B175" i="8"/>
  <c r="B144" i="13"/>
  <c r="B134" i="8"/>
  <c r="B110" i="13"/>
  <c r="B94" i="8"/>
  <c r="B76" i="13"/>
  <c r="B52" i="8"/>
  <c r="B42" i="13"/>
  <c r="B10" i="8"/>
  <c r="B8" i="13"/>
  <c r="H20" i="6"/>
  <c r="K62" i="6" s="1"/>
  <c r="K36" i="6"/>
  <c r="D38" i="2" s="1"/>
  <c r="N11" i="6"/>
  <c r="M10" i="2" s="1"/>
  <c r="B43" i="13" s="1"/>
  <c r="K11" i="6"/>
  <c r="D10" i="2" s="1"/>
  <c r="N36" i="6"/>
  <c r="M38" i="2" s="1"/>
  <c r="N35" i="2"/>
  <c r="C108" i="13" s="1"/>
  <c r="L33" i="6"/>
  <c r="E35" i="2" s="1"/>
  <c r="C74" i="13" s="1"/>
  <c r="C11" i="8"/>
  <c r="C111" i="6"/>
  <c r="N7" i="2"/>
  <c r="C40" i="13" s="1"/>
  <c r="E7" i="2"/>
  <c r="C6" i="13" s="1"/>
  <c r="E33" i="8"/>
  <c r="O34" i="2"/>
  <c r="O6" i="2"/>
  <c r="D39" i="13" s="1"/>
  <c r="F34" i="2"/>
  <c r="F6" i="2"/>
  <c r="D107" i="13" l="1"/>
  <c r="D73" i="13"/>
  <c r="D5" i="13"/>
  <c r="B176" i="8"/>
  <c r="B145" i="13"/>
  <c r="B135" i="8"/>
  <c r="B111" i="13"/>
  <c r="B95" i="8"/>
  <c r="B77" i="13"/>
  <c r="B53" i="8"/>
  <c r="B11" i="8"/>
  <c r="B9" i="13"/>
  <c r="L58" i="6"/>
  <c r="E69" i="2" s="1"/>
  <c r="C142" i="13" s="1"/>
  <c r="H21" i="6"/>
  <c r="K63" i="6" s="1"/>
  <c r="N37" i="6"/>
  <c r="M39" i="2" s="1"/>
  <c r="N12" i="6"/>
  <c r="M11" i="2" s="1"/>
  <c r="K37" i="6"/>
  <c r="D39" i="2" s="1"/>
  <c r="K12" i="6"/>
  <c r="D11" i="2" s="1"/>
  <c r="D73" i="2"/>
  <c r="B146" i="13" s="1"/>
  <c r="O37" i="6"/>
  <c r="F10" i="2"/>
  <c r="O35" i="2"/>
  <c r="C132" i="8"/>
  <c r="O9" i="6"/>
  <c r="N8" i="2" s="1"/>
  <c r="C41" i="13" s="1"/>
  <c r="E36" i="2"/>
  <c r="C75" i="13" s="1"/>
  <c r="L9" i="6"/>
  <c r="E8" i="2" s="1"/>
  <c r="C7" i="13" s="1"/>
  <c r="C116" i="6"/>
  <c r="C92" i="8"/>
  <c r="F35" i="2"/>
  <c r="L10" i="6"/>
  <c r="C8" i="8"/>
  <c r="F7" i="2"/>
  <c r="C50" i="8"/>
  <c r="O7" i="2"/>
  <c r="L59" i="6"/>
  <c r="P34" i="2"/>
  <c r="P6" i="2"/>
  <c r="G34" i="2"/>
  <c r="G6" i="2"/>
  <c r="P35" i="2" l="1"/>
  <c r="D108" i="13"/>
  <c r="B136" i="8"/>
  <c r="B112" i="13"/>
  <c r="G35" i="2"/>
  <c r="D74" i="13"/>
  <c r="B96" i="8"/>
  <c r="B78" i="13"/>
  <c r="P7" i="2"/>
  <c r="D40" i="13"/>
  <c r="B54" i="8"/>
  <c r="B44" i="13"/>
  <c r="G10" i="2"/>
  <c r="D9" i="13"/>
  <c r="G7" i="2"/>
  <c r="D6" i="13"/>
  <c r="B12" i="8"/>
  <c r="B10" i="13"/>
  <c r="C173" i="8"/>
  <c r="F69" i="2"/>
  <c r="H22" i="6"/>
  <c r="K64" i="6" s="1"/>
  <c r="K38" i="6"/>
  <c r="D40" i="2" s="1"/>
  <c r="N38" i="6"/>
  <c r="M40" i="2" s="1"/>
  <c r="N13" i="6"/>
  <c r="M12" i="2" s="1"/>
  <c r="K13" i="6"/>
  <c r="D12" i="2" s="1"/>
  <c r="D74" i="2"/>
  <c r="L38" i="6"/>
  <c r="B177" i="8"/>
  <c r="F36" i="2"/>
  <c r="C93" i="8"/>
  <c r="E70" i="2"/>
  <c r="C143" i="13" s="1"/>
  <c r="O34" i="6"/>
  <c r="N36" i="2" s="1"/>
  <c r="C109" i="13" s="1"/>
  <c r="L35" i="6"/>
  <c r="E37" i="2" s="1"/>
  <c r="C76" i="13" s="1"/>
  <c r="C9" i="8"/>
  <c r="F8" i="2"/>
  <c r="D7" i="13" s="1"/>
  <c r="C51" i="8"/>
  <c r="O8" i="2"/>
  <c r="D41" i="13" s="1"/>
  <c r="L60" i="6"/>
  <c r="O35" i="6"/>
  <c r="N9" i="2"/>
  <c r="C42" i="13" s="1"/>
  <c r="E9" i="2"/>
  <c r="C8" i="13" s="1"/>
  <c r="G5" i="1"/>
  <c r="D142" i="13" l="1"/>
  <c r="B178" i="8"/>
  <c r="B147" i="13"/>
  <c r="B137" i="8"/>
  <c r="B113" i="13"/>
  <c r="G36" i="2"/>
  <c r="D75" i="13"/>
  <c r="B97" i="8"/>
  <c r="B79" i="13"/>
  <c r="B55" i="8"/>
  <c r="B45" i="13"/>
  <c r="B13" i="8"/>
  <c r="B11" i="13"/>
  <c r="G69" i="2"/>
  <c r="H23" i="6"/>
  <c r="N14" i="6"/>
  <c r="M13" i="2" s="1"/>
  <c r="N39" i="6"/>
  <c r="M41" i="2" s="1"/>
  <c r="K14" i="6"/>
  <c r="D13" i="2" s="1"/>
  <c r="K39" i="6"/>
  <c r="D41" i="2" s="1"/>
  <c r="D75" i="2"/>
  <c r="O14" i="6"/>
  <c r="C174" i="8"/>
  <c r="F70" i="2"/>
  <c r="C133" i="8"/>
  <c r="O36" i="2"/>
  <c r="F37" i="2"/>
  <c r="D76" i="13" s="1"/>
  <c r="E71" i="2"/>
  <c r="C144" i="13" s="1"/>
  <c r="N37" i="2"/>
  <c r="C110" i="13" s="1"/>
  <c r="C94" i="8"/>
  <c r="L36" i="6"/>
  <c r="G8" i="2"/>
  <c r="C10" i="8"/>
  <c r="F9" i="2"/>
  <c r="C52" i="8"/>
  <c r="O9" i="2"/>
  <c r="P8" i="2"/>
  <c r="O11" i="6"/>
  <c r="N10" i="2" s="1"/>
  <c r="C43" i="13" s="1"/>
  <c r="O36" i="6"/>
  <c r="D109" i="13" l="1"/>
  <c r="K65" i="6"/>
  <c r="D76" i="2" s="1"/>
  <c r="L65" i="6"/>
  <c r="G70" i="2"/>
  <c r="D143" i="13"/>
  <c r="B179" i="8"/>
  <c r="B148" i="13"/>
  <c r="B138" i="8"/>
  <c r="B114" i="13"/>
  <c r="B98" i="8"/>
  <c r="B80" i="13"/>
  <c r="P9" i="2"/>
  <c r="D42" i="13"/>
  <c r="B56" i="8"/>
  <c r="B46" i="13"/>
  <c r="G9" i="2"/>
  <c r="D8" i="13"/>
  <c r="B14" i="8"/>
  <c r="B12" i="13"/>
  <c r="P36" i="2"/>
  <c r="H24" i="6"/>
  <c r="K66" i="6" s="1"/>
  <c r="K40" i="6"/>
  <c r="D42" i="2" s="1"/>
  <c r="N15" i="6"/>
  <c r="M14" i="2" s="1"/>
  <c r="N40" i="6"/>
  <c r="M42" i="2" s="1"/>
  <c r="K15" i="6"/>
  <c r="D14" i="2" s="1"/>
  <c r="L15" i="6"/>
  <c r="E72" i="2"/>
  <c r="C145" i="13" s="1"/>
  <c r="E38" i="2"/>
  <c r="C77" i="13" s="1"/>
  <c r="C175" i="8"/>
  <c r="G37" i="2"/>
  <c r="F71" i="2"/>
  <c r="D144" i="13" s="1"/>
  <c r="O37" i="2"/>
  <c r="D110" i="13" s="1"/>
  <c r="C134" i="8"/>
  <c r="N38" i="2"/>
  <c r="C111" i="13" s="1"/>
  <c r="C53" i="8"/>
  <c r="O10" i="2"/>
  <c r="O12" i="6"/>
  <c r="L12" i="6"/>
  <c r="E11" i="2" s="1"/>
  <c r="C10" i="13" s="1"/>
  <c r="B180" i="8" l="1"/>
  <c r="B149" i="13"/>
  <c r="B139" i="8"/>
  <c r="B115" i="13"/>
  <c r="B99" i="8"/>
  <c r="B81" i="13"/>
  <c r="P10" i="2"/>
  <c r="D43" i="13"/>
  <c r="B57" i="8"/>
  <c r="B47" i="13"/>
  <c r="B15" i="8"/>
  <c r="B13" i="13"/>
  <c r="H25" i="6"/>
  <c r="K67" i="6" s="1"/>
  <c r="K41" i="6"/>
  <c r="D43" i="2" s="1"/>
  <c r="K16" i="6"/>
  <c r="D15" i="2" s="1"/>
  <c r="N41" i="6"/>
  <c r="M43" i="2" s="1"/>
  <c r="N16" i="6"/>
  <c r="M15" i="2" s="1"/>
  <c r="D77" i="2"/>
  <c r="O41" i="6"/>
  <c r="L37" i="6"/>
  <c r="E39" i="2" s="1"/>
  <c r="C78" i="13" s="1"/>
  <c r="N39" i="2"/>
  <c r="C112" i="13" s="1"/>
  <c r="F72" i="2"/>
  <c r="C176" i="8"/>
  <c r="N11" i="2"/>
  <c r="C44" i="13" s="1"/>
  <c r="F38" i="2"/>
  <c r="C95" i="8"/>
  <c r="P37" i="2"/>
  <c r="G71" i="2"/>
  <c r="C135" i="8"/>
  <c r="O38" i="2"/>
  <c r="C12" i="8"/>
  <c r="F11" i="2"/>
  <c r="D10" i="13" s="1"/>
  <c r="O13" i="6"/>
  <c r="G72" i="2" l="1"/>
  <c r="D145" i="13"/>
  <c r="B181" i="8"/>
  <c r="B150" i="13"/>
  <c r="P38" i="2"/>
  <c r="D111" i="13"/>
  <c r="B140" i="8"/>
  <c r="B116" i="13"/>
  <c r="G38" i="2"/>
  <c r="D77" i="13"/>
  <c r="B100" i="8"/>
  <c r="B82" i="13"/>
  <c r="B58" i="8"/>
  <c r="B48" i="13"/>
  <c r="B16" i="8"/>
  <c r="B14" i="13"/>
  <c r="L62" i="6"/>
  <c r="E73" i="2" s="1"/>
  <c r="C146" i="13" s="1"/>
  <c r="H26" i="6"/>
  <c r="K68" i="6" s="1"/>
  <c r="K17" i="6"/>
  <c r="D16" i="2" s="1"/>
  <c r="N17" i="6"/>
  <c r="M16" i="2" s="1"/>
  <c r="N42" i="6"/>
  <c r="M44" i="2" s="1"/>
  <c r="K42" i="6"/>
  <c r="D44" i="2" s="1"/>
  <c r="D78" i="2"/>
  <c r="B151" i="13" s="1"/>
  <c r="L42" i="6"/>
  <c r="L13" i="6"/>
  <c r="E12" i="2" s="1"/>
  <c r="C11" i="13" s="1"/>
  <c r="F39" i="2"/>
  <c r="C136" i="8"/>
  <c r="O11" i="2"/>
  <c r="O39" i="2"/>
  <c r="C96" i="8"/>
  <c r="C54" i="8"/>
  <c r="E40" i="2"/>
  <c r="C79" i="13" s="1"/>
  <c r="N12" i="2"/>
  <c r="G11" i="2"/>
  <c r="L14" i="6"/>
  <c r="O38" i="6"/>
  <c r="N40" i="2" s="1"/>
  <c r="C113" i="13" s="1"/>
  <c r="P39" i="2" l="1"/>
  <c r="D112" i="13"/>
  <c r="B141" i="8"/>
  <c r="B117" i="13"/>
  <c r="G39" i="2"/>
  <c r="D78" i="13"/>
  <c r="B101" i="8"/>
  <c r="B83" i="13"/>
  <c r="P11" i="2"/>
  <c r="D44" i="13"/>
  <c r="O12" i="2"/>
  <c r="C45" i="13"/>
  <c r="B59" i="8"/>
  <c r="B49" i="13"/>
  <c r="B17" i="8"/>
  <c r="B15" i="13"/>
  <c r="L63" i="6"/>
  <c r="E74" i="2" s="1"/>
  <c r="C147" i="13" s="1"/>
  <c r="F73" i="2"/>
  <c r="D146" i="13" s="1"/>
  <c r="C177" i="8"/>
  <c r="B182" i="8"/>
  <c r="H27" i="6"/>
  <c r="K43" i="6"/>
  <c r="D45" i="2" s="1"/>
  <c r="K18" i="6"/>
  <c r="D17" i="2" s="1"/>
  <c r="N18" i="6"/>
  <c r="M17" i="2" s="1"/>
  <c r="B50" i="13" s="1"/>
  <c r="N43" i="6"/>
  <c r="M45" i="2" s="1"/>
  <c r="D79" i="2"/>
  <c r="O18" i="6"/>
  <c r="C137" i="8"/>
  <c r="O40" i="2"/>
  <c r="C13" i="8"/>
  <c r="F12" i="2"/>
  <c r="C55" i="8"/>
  <c r="E13" i="2"/>
  <c r="N13" i="2"/>
  <c r="C46" i="13" s="1"/>
  <c r="C97" i="8"/>
  <c r="F40" i="2"/>
  <c r="O39" i="6"/>
  <c r="N41" i="2" s="1"/>
  <c r="C114" i="13" s="1"/>
  <c r="L64" i="6"/>
  <c r="K69" i="6" l="1"/>
  <c r="D80" i="2" s="1"/>
  <c r="L69" i="6"/>
  <c r="B183" i="8"/>
  <c r="B152" i="13"/>
  <c r="P40" i="2"/>
  <c r="D113" i="13"/>
  <c r="B142" i="8"/>
  <c r="B118" i="13"/>
  <c r="G40" i="2"/>
  <c r="D79" i="13"/>
  <c r="B102" i="8"/>
  <c r="B84" i="13"/>
  <c r="P12" i="2"/>
  <c r="D45" i="13"/>
  <c r="B60" i="8"/>
  <c r="F13" i="2"/>
  <c r="D12" i="13" s="1"/>
  <c r="C12" i="13"/>
  <c r="G12" i="2"/>
  <c r="D11" i="13"/>
  <c r="B18" i="8"/>
  <c r="B16" i="13"/>
  <c r="G73" i="2"/>
  <c r="F74" i="2"/>
  <c r="C178" i="8"/>
  <c r="H28" i="6"/>
  <c r="K70" i="6" s="1"/>
  <c r="N44" i="6"/>
  <c r="M46" i="2" s="1"/>
  <c r="K44" i="6"/>
  <c r="D46" i="2" s="1"/>
  <c r="N19" i="6"/>
  <c r="M18" i="2" s="1"/>
  <c r="K19" i="6"/>
  <c r="D18" i="2" s="1"/>
  <c r="L19" i="6"/>
  <c r="E75" i="2"/>
  <c r="C148" i="13" s="1"/>
  <c r="L39" i="6"/>
  <c r="E41" i="2" s="1"/>
  <c r="C80" i="13" s="1"/>
  <c r="C14" i="8"/>
  <c r="O13" i="2"/>
  <c r="C56" i="8"/>
  <c r="E14" i="2"/>
  <c r="C138" i="8"/>
  <c r="O41" i="2"/>
  <c r="O40" i="6"/>
  <c r="G74" i="2" l="1"/>
  <c r="D147" i="13"/>
  <c r="B184" i="8"/>
  <c r="B153" i="13"/>
  <c r="P41" i="2"/>
  <c r="D114" i="13"/>
  <c r="B143" i="8"/>
  <c r="B119" i="13"/>
  <c r="B103" i="8"/>
  <c r="B85" i="13"/>
  <c r="G13" i="2"/>
  <c r="P13" i="2"/>
  <c r="D46" i="13"/>
  <c r="B61" i="8"/>
  <c r="B51" i="13"/>
  <c r="C15" i="8"/>
  <c r="C13" i="13"/>
  <c r="B19" i="8"/>
  <c r="B17" i="13"/>
  <c r="H29" i="6"/>
  <c r="K71" i="6" s="1"/>
  <c r="K20" i="6"/>
  <c r="D19" i="2" s="1"/>
  <c r="N20" i="6"/>
  <c r="M19" i="2" s="1"/>
  <c r="K45" i="6"/>
  <c r="D47" i="2" s="1"/>
  <c r="N45" i="6"/>
  <c r="M47" i="2" s="1"/>
  <c r="D81" i="2"/>
  <c r="O45" i="6"/>
  <c r="F75" i="2"/>
  <c r="C179" i="8"/>
  <c r="C98" i="8"/>
  <c r="F41" i="2"/>
  <c r="E76" i="2"/>
  <c r="C149" i="13" s="1"/>
  <c r="L40" i="6"/>
  <c r="E42" i="2" s="1"/>
  <c r="C81" i="13" s="1"/>
  <c r="N42" i="2"/>
  <c r="C115" i="13" s="1"/>
  <c r="O15" i="6"/>
  <c r="N14" i="2" s="1"/>
  <c r="C47" i="13" s="1"/>
  <c r="F14" i="2"/>
  <c r="O16" i="6"/>
  <c r="N15" i="2" s="1"/>
  <c r="C48" i="13" s="1"/>
  <c r="L16" i="6"/>
  <c r="E15" i="2" s="1"/>
  <c r="C14" i="13" s="1"/>
  <c r="G75" i="2" l="1"/>
  <c r="D148" i="13"/>
  <c r="B185" i="8"/>
  <c r="B154" i="13"/>
  <c r="B144" i="8"/>
  <c r="B120" i="13"/>
  <c r="G41" i="2"/>
  <c r="D80" i="13"/>
  <c r="B104" i="8"/>
  <c r="B86" i="13"/>
  <c r="B62" i="8"/>
  <c r="B52" i="13"/>
  <c r="G14" i="2"/>
  <c r="D13" i="13"/>
  <c r="B20" i="8"/>
  <c r="B18" i="13"/>
  <c r="H30" i="6"/>
  <c r="K72" i="6" s="1"/>
  <c r="N46" i="6"/>
  <c r="M48" i="2" s="1"/>
  <c r="K46" i="6"/>
  <c r="D48" i="2" s="1"/>
  <c r="K21" i="6"/>
  <c r="D20" i="2" s="1"/>
  <c r="N21" i="6"/>
  <c r="M20" i="2" s="1"/>
  <c r="D82" i="2"/>
  <c r="L46" i="6"/>
  <c r="F42" i="2"/>
  <c r="F76" i="2"/>
  <c r="O42" i="2"/>
  <c r="C139" i="8"/>
  <c r="C180" i="8"/>
  <c r="L41" i="6"/>
  <c r="E43" i="2" s="1"/>
  <c r="C82" i="13" s="1"/>
  <c r="C99" i="8"/>
  <c r="O14" i="2"/>
  <c r="C57" i="8"/>
  <c r="C16" i="8"/>
  <c r="F15" i="2"/>
  <c r="C58" i="8"/>
  <c r="N43" i="2"/>
  <c r="C116" i="13" s="1"/>
  <c r="O15" i="2"/>
  <c r="O17" i="6"/>
  <c r="G76" i="2" l="1"/>
  <c r="D149" i="13"/>
  <c r="B186" i="8"/>
  <c r="B155" i="13"/>
  <c r="P42" i="2"/>
  <c r="D115" i="13"/>
  <c r="B145" i="8"/>
  <c r="B121" i="13"/>
  <c r="G42" i="2"/>
  <c r="D81" i="13"/>
  <c r="B105" i="8"/>
  <c r="B87" i="13"/>
  <c r="P14" i="2"/>
  <c r="D47" i="13"/>
  <c r="P15" i="2"/>
  <c r="D48" i="13"/>
  <c r="B63" i="8"/>
  <c r="B53" i="13"/>
  <c r="G15" i="2"/>
  <c r="D14" i="13"/>
  <c r="B21" i="8"/>
  <c r="B19" i="13"/>
  <c r="L66" i="6"/>
  <c r="E77" i="2" s="1"/>
  <c r="C150" i="13" s="1"/>
  <c r="H31" i="6"/>
  <c r="K47" i="6"/>
  <c r="D49" i="2" s="1"/>
  <c r="K22" i="6"/>
  <c r="D21" i="2" s="1"/>
  <c r="N47" i="6"/>
  <c r="M49" i="2" s="1"/>
  <c r="N22" i="6"/>
  <c r="M21" i="2" s="1"/>
  <c r="D83" i="2"/>
  <c r="B156" i="13" s="1"/>
  <c r="O22" i="6"/>
  <c r="N16" i="2"/>
  <c r="C49" i="13" s="1"/>
  <c r="L17" i="6"/>
  <c r="E16" i="2" s="1"/>
  <c r="C15" i="13" s="1"/>
  <c r="F43" i="2"/>
  <c r="C140" i="8"/>
  <c r="E44" i="2"/>
  <c r="C83" i="13" s="1"/>
  <c r="C100" i="8"/>
  <c r="O43" i="2"/>
  <c r="L18" i="6"/>
  <c r="O42" i="6"/>
  <c r="N44" i="2" s="1"/>
  <c r="C117" i="13" s="1"/>
  <c r="K73" i="6" l="1"/>
  <c r="D84" i="2" s="1"/>
  <c r="L73" i="6"/>
  <c r="P43" i="2"/>
  <c r="D116" i="13"/>
  <c r="B146" i="8"/>
  <c r="B122" i="13"/>
  <c r="G43" i="2"/>
  <c r="D82" i="13"/>
  <c r="B106" i="8"/>
  <c r="B88" i="13"/>
  <c r="B64" i="8"/>
  <c r="B54" i="13"/>
  <c r="B22" i="8"/>
  <c r="B20" i="13"/>
  <c r="C181" i="8"/>
  <c r="L67" i="6"/>
  <c r="E78" i="2" s="1"/>
  <c r="F77" i="2"/>
  <c r="B187" i="8"/>
  <c r="H32" i="6"/>
  <c r="K48" i="6"/>
  <c r="D50" i="2" s="1"/>
  <c r="N23" i="6"/>
  <c r="M22" i="2" s="1"/>
  <c r="N48" i="6"/>
  <c r="M50" i="2" s="1"/>
  <c r="K23" i="6"/>
  <c r="D22" i="2" s="1"/>
  <c r="O48" i="6"/>
  <c r="O23" i="6"/>
  <c r="L48" i="6"/>
  <c r="L23" i="6"/>
  <c r="O16" i="2"/>
  <c r="C59" i="8"/>
  <c r="F16" i="2"/>
  <c r="C17" i="8"/>
  <c r="E17" i="2"/>
  <c r="C16" i="13" s="1"/>
  <c r="O44" i="2"/>
  <c r="C141" i="8"/>
  <c r="C101" i="8"/>
  <c r="F44" i="2"/>
  <c r="N17" i="2"/>
  <c r="O43" i="6"/>
  <c r="N45" i="2" s="1"/>
  <c r="C118" i="13" s="1"/>
  <c r="L43" i="6"/>
  <c r="E45" i="2" s="1"/>
  <c r="C84" i="13" s="1"/>
  <c r="K74" i="6" l="1"/>
  <c r="D85" i="2" s="1"/>
  <c r="L74" i="6"/>
  <c r="G77" i="2"/>
  <c r="D150" i="13"/>
  <c r="C182" i="8"/>
  <c r="C151" i="13"/>
  <c r="B188" i="8"/>
  <c r="B157" i="13"/>
  <c r="P44" i="2"/>
  <c r="D117" i="13"/>
  <c r="B147" i="8"/>
  <c r="B123" i="13"/>
  <c r="G44" i="2"/>
  <c r="D83" i="13"/>
  <c r="B107" i="8"/>
  <c r="B89" i="13"/>
  <c r="C60" i="8"/>
  <c r="C50" i="13"/>
  <c r="P16" i="2"/>
  <c r="D49" i="13"/>
  <c r="B65" i="8"/>
  <c r="B55" i="13"/>
  <c r="G16" i="2"/>
  <c r="D15" i="13"/>
  <c r="B23" i="8"/>
  <c r="B21" i="13"/>
  <c r="F78" i="2"/>
  <c r="L68" i="6"/>
  <c r="E79" i="2" s="1"/>
  <c r="C152" i="13" s="1"/>
  <c r="H33" i="6"/>
  <c r="K49" i="6"/>
  <c r="D51" i="2" s="1"/>
  <c r="K24" i="6"/>
  <c r="D23" i="2" s="1"/>
  <c r="N24" i="6"/>
  <c r="M23" i="2" s="1"/>
  <c r="N49" i="6"/>
  <c r="M51" i="2" s="1"/>
  <c r="O24" i="6"/>
  <c r="O49" i="6"/>
  <c r="L49" i="6"/>
  <c r="L24" i="6"/>
  <c r="C142" i="8"/>
  <c r="O45" i="2"/>
  <c r="C18" i="8"/>
  <c r="F17" i="2"/>
  <c r="E18" i="2"/>
  <c r="C17" i="13" s="1"/>
  <c r="O17" i="2"/>
  <c r="C102" i="8"/>
  <c r="F45" i="2"/>
  <c r="L44" i="6"/>
  <c r="E46" i="2" s="1"/>
  <c r="C85" i="13" s="1"/>
  <c r="O44" i="6"/>
  <c r="N46" i="2" s="1"/>
  <c r="K75" i="6" l="1"/>
  <c r="D86" i="2" s="1"/>
  <c r="L75" i="6"/>
  <c r="G78" i="2"/>
  <c r="D151" i="13"/>
  <c r="B189" i="8"/>
  <c r="B158" i="13"/>
  <c r="P45" i="2"/>
  <c r="D118" i="13"/>
  <c r="O46" i="2"/>
  <c r="C119" i="13"/>
  <c r="B148" i="8"/>
  <c r="B124" i="13"/>
  <c r="G45" i="2"/>
  <c r="D84" i="13"/>
  <c r="B108" i="8"/>
  <c r="B90" i="13"/>
  <c r="P17" i="2"/>
  <c r="D50" i="13"/>
  <c r="B66" i="8"/>
  <c r="B56" i="13"/>
  <c r="G17" i="2"/>
  <c r="D16" i="13"/>
  <c r="B24" i="8"/>
  <c r="B22" i="13"/>
  <c r="F79" i="2"/>
  <c r="C183" i="8"/>
  <c r="H34" i="6"/>
  <c r="K25" i="6"/>
  <c r="D24" i="2" s="1"/>
  <c r="N50" i="6"/>
  <c r="M52" i="2" s="1"/>
  <c r="K50" i="6"/>
  <c r="D52" i="2" s="1"/>
  <c r="N25" i="6"/>
  <c r="M24" i="2" s="1"/>
  <c r="O25" i="6"/>
  <c r="O50" i="6"/>
  <c r="L50" i="6"/>
  <c r="L25" i="6"/>
  <c r="F46" i="2"/>
  <c r="C103" i="8"/>
  <c r="E80" i="2"/>
  <c r="C153" i="13" s="1"/>
  <c r="O19" i="6"/>
  <c r="N18" i="2" s="1"/>
  <c r="F18" i="2"/>
  <c r="C19" i="8"/>
  <c r="C143" i="8"/>
  <c r="O20" i="6"/>
  <c r="N19" i="2" s="1"/>
  <c r="C52" i="13" s="1"/>
  <c r="K76" i="6" l="1"/>
  <c r="D87" i="2" s="1"/>
  <c r="L76" i="6"/>
  <c r="G79" i="2"/>
  <c r="D152" i="13"/>
  <c r="B190" i="8"/>
  <c r="B159" i="13"/>
  <c r="P46" i="2"/>
  <c r="D119" i="13"/>
  <c r="B149" i="8"/>
  <c r="B125" i="13"/>
  <c r="G46" i="2"/>
  <c r="D85" i="13"/>
  <c r="B109" i="8"/>
  <c r="B91" i="13"/>
  <c r="C61" i="8"/>
  <c r="C51" i="13"/>
  <c r="B67" i="8"/>
  <c r="B57" i="13"/>
  <c r="G18" i="2"/>
  <c r="D17" i="13"/>
  <c r="B25" i="8"/>
  <c r="B23" i="13"/>
  <c r="N51" i="6"/>
  <c r="M53" i="2" s="1"/>
  <c r="K26" i="6"/>
  <c r="D25" i="2" s="1"/>
  <c r="B24" i="13" s="1"/>
  <c r="K51" i="6"/>
  <c r="D53" i="2" s="1"/>
  <c r="N26" i="6"/>
  <c r="M25" i="2" s="1"/>
  <c r="O26" i="6"/>
  <c r="L51" i="6"/>
  <c r="O51" i="6"/>
  <c r="L26" i="6"/>
  <c r="E25" i="2" s="1"/>
  <c r="F80" i="2"/>
  <c r="D153" i="13" s="1"/>
  <c r="C184" i="8"/>
  <c r="N50" i="2"/>
  <c r="L45" i="6"/>
  <c r="E47" i="2" s="1"/>
  <c r="C86" i="13" s="1"/>
  <c r="O18" i="2"/>
  <c r="C62" i="8"/>
  <c r="O19" i="2"/>
  <c r="L20" i="6"/>
  <c r="E19" i="2" s="1"/>
  <c r="C18" i="13" s="1"/>
  <c r="N47" i="2"/>
  <c r="C120" i="13" s="1"/>
  <c r="L70" i="6"/>
  <c r="O21" i="6"/>
  <c r="N20" i="2" s="1"/>
  <c r="C53" i="13" s="1"/>
  <c r="B191" i="8" l="1"/>
  <c r="B160" i="13"/>
  <c r="C147" i="8"/>
  <c r="C123" i="13"/>
  <c r="B150" i="8"/>
  <c r="B126" i="13"/>
  <c r="B110" i="8"/>
  <c r="B92" i="13"/>
  <c r="P19" i="2"/>
  <c r="D52" i="13"/>
  <c r="P18" i="2"/>
  <c r="D51" i="13"/>
  <c r="B68" i="8"/>
  <c r="B58" i="13"/>
  <c r="C26" i="8"/>
  <c r="C24" i="13"/>
  <c r="G80" i="2"/>
  <c r="B26" i="8"/>
  <c r="F25" i="2"/>
  <c r="E48" i="2"/>
  <c r="C87" i="13" s="1"/>
  <c r="E81" i="2"/>
  <c r="C104" i="8"/>
  <c r="F47" i="2"/>
  <c r="O50" i="2"/>
  <c r="C63" i="8"/>
  <c r="O20" i="2"/>
  <c r="F19" i="2"/>
  <c r="C20" i="8"/>
  <c r="E51" i="2"/>
  <c r="L21" i="6"/>
  <c r="E20" i="2" s="1"/>
  <c r="C19" i="13" s="1"/>
  <c r="C144" i="8"/>
  <c r="O47" i="2"/>
  <c r="L47" i="6"/>
  <c r="O46" i="6"/>
  <c r="N48" i="2" s="1"/>
  <c r="L22" i="6"/>
  <c r="E21" i="2" s="1"/>
  <c r="C20" i="13" s="1"/>
  <c r="O47" i="6"/>
  <c r="D24" i="13" l="1"/>
  <c r="C185" i="8"/>
  <c r="C154" i="13"/>
  <c r="C145" i="8"/>
  <c r="C121" i="13"/>
  <c r="P47" i="2"/>
  <c r="D120" i="13"/>
  <c r="P50" i="2"/>
  <c r="D123" i="13"/>
  <c r="G47" i="2"/>
  <c r="D86" i="13"/>
  <c r="C108" i="8"/>
  <c r="C90" i="13"/>
  <c r="P20" i="2"/>
  <c r="D53" i="13"/>
  <c r="G19" i="2"/>
  <c r="D18" i="13"/>
  <c r="G25" i="2"/>
  <c r="L71" i="6"/>
  <c r="E82" i="2" s="1"/>
  <c r="C155" i="13" s="1"/>
  <c r="L72" i="6"/>
  <c r="E83" i="2" s="1"/>
  <c r="C156" i="13" s="1"/>
  <c r="C105" i="8"/>
  <c r="F48" i="2"/>
  <c r="F81" i="2"/>
  <c r="D154" i="13" s="1"/>
  <c r="F51" i="2"/>
  <c r="C21" i="8"/>
  <c r="F20" i="2"/>
  <c r="N22" i="2"/>
  <c r="C55" i="13" s="1"/>
  <c r="N21" i="2"/>
  <c r="C54" i="13" s="1"/>
  <c r="E49" i="2"/>
  <c r="O48" i="2"/>
  <c r="N49" i="2"/>
  <c r="C122" i="13" s="1"/>
  <c r="E22" i="2"/>
  <c r="C21" i="13" s="1"/>
  <c r="C22" i="8"/>
  <c r="F21" i="2"/>
  <c r="E50" i="2"/>
  <c r="C89" i="13" s="1"/>
  <c r="E84" i="2"/>
  <c r="C157" i="13" s="1"/>
  <c r="E122" i="6"/>
  <c r="E23" i="2" s="1"/>
  <c r="N24" i="2"/>
  <c r="C57" i="13" s="1"/>
  <c r="P48" i="2" l="1"/>
  <c r="D121" i="13"/>
  <c r="G51" i="2"/>
  <c r="D90" i="13"/>
  <c r="G48" i="2"/>
  <c r="D87" i="13"/>
  <c r="C106" i="8"/>
  <c r="C88" i="13"/>
  <c r="G21" i="2"/>
  <c r="D20" i="13"/>
  <c r="G20" i="2"/>
  <c r="D19" i="13"/>
  <c r="C24" i="8"/>
  <c r="C22" i="13"/>
  <c r="C187" i="8"/>
  <c r="F83" i="2"/>
  <c r="F82" i="2"/>
  <c r="C186" i="8"/>
  <c r="G81" i="2"/>
  <c r="C65" i="8"/>
  <c r="O22" i="2"/>
  <c r="O21" i="2"/>
  <c r="C64" i="8"/>
  <c r="F22" i="2"/>
  <c r="F49" i="2"/>
  <c r="O49" i="2"/>
  <c r="C146" i="8"/>
  <c r="C23" i="8"/>
  <c r="C107" i="8"/>
  <c r="F50" i="2"/>
  <c r="C188" i="8"/>
  <c r="F84" i="2"/>
  <c r="F23" i="2"/>
  <c r="C67" i="8"/>
  <c r="L12" i="1"/>
  <c r="Q13" i="1" s="1"/>
  <c r="E124" i="6"/>
  <c r="O24" i="2"/>
  <c r="G83" i="2" l="1"/>
  <c r="D156" i="13"/>
  <c r="G84" i="2"/>
  <c r="D157" i="13"/>
  <c r="G82" i="2"/>
  <c r="D155" i="13"/>
  <c r="P49" i="2"/>
  <c r="D122" i="13"/>
  <c r="G50" i="2"/>
  <c r="D89" i="13"/>
  <c r="G49" i="2"/>
  <c r="D88" i="13"/>
  <c r="P21" i="2"/>
  <c r="D54" i="13"/>
  <c r="P24" i="2"/>
  <c r="D57" i="13"/>
  <c r="P22" i="2"/>
  <c r="D55" i="13"/>
  <c r="G23" i="2"/>
  <c r="D22" i="13"/>
  <c r="G22" i="2"/>
  <c r="D21" i="13"/>
  <c r="N23" i="2"/>
  <c r="C56" i="13" s="1"/>
  <c r="E125" i="6"/>
  <c r="N51" i="2" s="1"/>
  <c r="C124" i="13" s="1"/>
  <c r="C148" i="8" l="1"/>
  <c r="O51" i="2"/>
  <c r="D124" i="13" s="1"/>
  <c r="C66" i="8"/>
  <c r="O23" i="2"/>
  <c r="D56" i="13" s="1"/>
  <c r="F145" i="6"/>
  <c r="E126" i="6" s="1"/>
  <c r="E85" i="2" s="1"/>
  <c r="C158" i="13" s="1"/>
  <c r="P51" i="2" l="1"/>
  <c r="P23" i="2"/>
  <c r="F85" i="2"/>
  <c r="C189" i="8"/>
  <c r="E86" i="2"/>
  <c r="C159" i="13" s="1"/>
  <c r="F146" i="6"/>
  <c r="E127" i="6" s="1"/>
  <c r="N53" i="2" s="1"/>
  <c r="C126" i="13" s="1"/>
  <c r="E53" i="2"/>
  <c r="C92" i="13" s="1"/>
  <c r="E87" i="2"/>
  <c r="C160" i="13" s="1"/>
  <c r="G85" i="2" l="1"/>
  <c r="D158" i="13"/>
  <c r="E163" i="13"/>
  <c r="O53" i="2"/>
  <c r="N25" i="2"/>
  <c r="N52" i="2"/>
  <c r="C125" i="13" s="1"/>
  <c r="E129" i="13" s="1"/>
  <c r="F147" i="6"/>
  <c r="E3" i="6" s="1"/>
  <c r="E4" i="6" s="1"/>
  <c r="E9" i="6" s="1"/>
  <c r="E4" i="1" s="1"/>
  <c r="E24" i="2"/>
  <c r="C23" i="13" s="1"/>
  <c r="E27" i="13" s="1"/>
  <c r="E52" i="2"/>
  <c r="C91" i="13" s="1"/>
  <c r="E95" i="13" s="1"/>
  <c r="F86" i="2"/>
  <c r="C190" i="8"/>
  <c r="C150" i="8"/>
  <c r="C110" i="8"/>
  <c r="F53" i="2"/>
  <c r="J69" i="2"/>
  <c r="C191" i="8"/>
  <c r="F87" i="2"/>
  <c r="D160" i="13" l="1"/>
  <c r="C194" i="8"/>
  <c r="D126" i="13"/>
  <c r="D92" i="13"/>
  <c r="C58" i="13"/>
  <c r="E61" i="13" s="1"/>
  <c r="G86" i="2"/>
  <c r="D159" i="13"/>
  <c r="P53" i="2"/>
  <c r="G53" i="2"/>
  <c r="G87" i="2"/>
  <c r="F88" i="2"/>
  <c r="S35" i="2"/>
  <c r="O52" i="2"/>
  <c r="C153" i="8" s="1"/>
  <c r="F24" i="2"/>
  <c r="C29" i="8" s="1"/>
  <c r="C149" i="8"/>
  <c r="C68" i="8"/>
  <c r="O25" i="2"/>
  <c r="S7" i="2"/>
  <c r="D3" i="6"/>
  <c r="D4" i="6" s="1"/>
  <c r="D9" i="6" s="1"/>
  <c r="D4" i="1" s="1"/>
  <c r="J7" i="2"/>
  <c r="C25" i="8"/>
  <c r="C109" i="8"/>
  <c r="F52" i="2"/>
  <c r="C113" i="8" s="1"/>
  <c r="J35" i="2"/>
  <c r="E165" i="13" l="1"/>
  <c r="D14" i="12" s="1"/>
  <c r="G88" i="2"/>
  <c r="J74" i="2" s="1"/>
  <c r="F89" i="2" s="1"/>
  <c r="M164" i="13"/>
  <c r="M163" i="13"/>
  <c r="H163" i="13"/>
  <c r="I141" i="13" s="1"/>
  <c r="D125" i="13"/>
  <c r="D91" i="13"/>
  <c r="C71" i="8"/>
  <c r="D58" i="13"/>
  <c r="D23" i="13"/>
  <c r="P52" i="2"/>
  <c r="P54" i="2" s="1"/>
  <c r="O54" i="2"/>
  <c r="G52" i="2"/>
  <c r="G54" i="2" s="1"/>
  <c r="F54" i="2"/>
  <c r="P25" i="2"/>
  <c r="P26" i="2" s="1"/>
  <c r="O26" i="2"/>
  <c r="G24" i="2"/>
  <c r="G26" i="2" s="1"/>
  <c r="F26" i="2"/>
  <c r="D187" i="8"/>
  <c r="H187" i="8" s="1"/>
  <c r="I187" i="8" s="1"/>
  <c r="J187" i="8" s="1" a="1"/>
  <c r="J187" i="8" s="1"/>
  <c r="E187" i="8" s="1"/>
  <c r="F187" i="8" s="1"/>
  <c r="K187" i="8" s="1"/>
  <c r="C3" i="6"/>
  <c r="C4" i="6" s="1"/>
  <c r="C9" i="6" s="1"/>
  <c r="H164" i="13" l="1"/>
  <c r="K140" i="13" s="1"/>
  <c r="I142" i="13" s="1"/>
  <c r="M129" i="13"/>
  <c r="H129" i="13"/>
  <c r="M130" i="13"/>
  <c r="E131" i="13"/>
  <c r="D13" i="12" s="1"/>
  <c r="H95" i="13"/>
  <c r="M95" i="13"/>
  <c r="M96" i="13"/>
  <c r="E97" i="13"/>
  <c r="D12" i="12" s="1"/>
  <c r="F12" i="12" s="1"/>
  <c r="E63" i="13"/>
  <c r="D11" i="12" s="1"/>
  <c r="F11" i="12" s="1"/>
  <c r="H61" i="13"/>
  <c r="M62" i="13"/>
  <c r="M61" i="13"/>
  <c r="M27" i="13"/>
  <c r="E29" i="13"/>
  <c r="D10" i="12" s="1"/>
  <c r="M28" i="13"/>
  <c r="H27" i="13"/>
  <c r="J12" i="2"/>
  <c r="F27" i="2" s="1"/>
  <c r="S40" i="2"/>
  <c r="O55" i="2" s="1"/>
  <c r="J40" i="2"/>
  <c r="F55" i="2" s="1"/>
  <c r="S12" i="2"/>
  <c r="O27" i="2" s="1"/>
  <c r="D176" i="8"/>
  <c r="H176" i="8" s="1"/>
  <c r="I176" i="8" s="1"/>
  <c r="J176" i="8" s="1" a="1"/>
  <c r="J176" i="8" s="1"/>
  <c r="E176" i="8" s="1"/>
  <c r="F176" i="8" s="1"/>
  <c r="K176" i="8" s="1"/>
  <c r="D188" i="8"/>
  <c r="H188" i="8" s="1"/>
  <c r="I188" i="8" s="1"/>
  <c r="J188" i="8" s="1" a="1"/>
  <c r="J188" i="8" s="1"/>
  <c r="E188" i="8" s="1"/>
  <c r="F188" i="8" s="1"/>
  <c r="K188" i="8" s="1"/>
  <c r="D189" i="8"/>
  <c r="H189" i="8" s="1"/>
  <c r="I189" i="8" s="1"/>
  <c r="J189" i="8" s="1" a="1"/>
  <c r="J189" i="8" s="1"/>
  <c r="E189" i="8" s="1"/>
  <c r="F189" i="8" s="1"/>
  <c r="K189" i="8" s="1"/>
  <c r="D183" i="8"/>
  <c r="H183" i="8" s="1"/>
  <c r="I183" i="8" s="1"/>
  <c r="J183" i="8" s="1" a="1"/>
  <c r="J183" i="8" s="1"/>
  <c r="E183" i="8" s="1"/>
  <c r="F183" i="8" s="1"/>
  <c r="K183" i="8" s="1"/>
  <c r="D184" i="8"/>
  <c r="H184" i="8" s="1"/>
  <c r="I184" i="8" s="1"/>
  <c r="J184" i="8" s="1" a="1"/>
  <c r="J184" i="8" s="1"/>
  <c r="E184" i="8" s="1"/>
  <c r="F184" i="8" s="1"/>
  <c r="K184" i="8" s="1"/>
  <c r="D174" i="8"/>
  <c r="H174" i="8" s="1"/>
  <c r="I174" i="8" s="1"/>
  <c r="J174" i="8" s="1" a="1"/>
  <c r="J174" i="8" s="1"/>
  <c r="E174" i="8" s="1"/>
  <c r="F174" i="8" s="1"/>
  <c r="K174" i="8" s="1"/>
  <c r="D180" i="8"/>
  <c r="H180" i="8" s="1"/>
  <c r="I180" i="8" s="1"/>
  <c r="J180" i="8" s="1" a="1"/>
  <c r="J180" i="8" s="1"/>
  <c r="E180" i="8" s="1"/>
  <c r="F180" i="8" s="1"/>
  <c r="K180" i="8" s="1"/>
  <c r="D175" i="8"/>
  <c r="H175" i="8" s="1"/>
  <c r="I175" i="8" s="1"/>
  <c r="J175" i="8" s="1" a="1"/>
  <c r="J175" i="8" s="1"/>
  <c r="E175" i="8" s="1"/>
  <c r="F175" i="8" s="1"/>
  <c r="K175" i="8" s="1"/>
  <c r="D178" i="8"/>
  <c r="H178" i="8" s="1"/>
  <c r="I178" i="8" s="1"/>
  <c r="J178" i="8" s="1" a="1"/>
  <c r="J178" i="8" s="1"/>
  <c r="E178" i="8" s="1"/>
  <c r="F178" i="8" s="1"/>
  <c r="K178" i="8" s="1"/>
  <c r="D182" i="8"/>
  <c r="H182" i="8" s="1"/>
  <c r="I182" i="8" s="1"/>
  <c r="J182" i="8" s="1" a="1"/>
  <c r="J182" i="8" s="1"/>
  <c r="E182" i="8" s="1"/>
  <c r="F182" i="8" s="1"/>
  <c r="K182" i="8" s="1"/>
  <c r="D173" i="8"/>
  <c r="H173" i="8" s="1"/>
  <c r="I173" i="8" s="1"/>
  <c r="J173" i="8" s="1" a="1"/>
  <c r="J173" i="8" s="1"/>
  <c r="E173" i="8" s="1"/>
  <c r="F173" i="8" s="1"/>
  <c r="K173" i="8" s="1"/>
  <c r="F14" i="12"/>
  <c r="H14" i="12" s="1"/>
  <c r="J14" i="12" s="1"/>
  <c r="L14" i="12" s="1"/>
  <c r="D172" i="8"/>
  <c r="H172" i="8" s="1"/>
  <c r="I172" i="8" s="1"/>
  <c r="J172" i="8" s="1" a="1"/>
  <c r="J172" i="8" s="1"/>
  <c r="E172" i="8" s="1"/>
  <c r="F172" i="8" s="1"/>
  <c r="K172" i="8" s="1"/>
  <c r="D186" i="8"/>
  <c r="H186" i="8" s="1"/>
  <c r="I186" i="8" s="1"/>
  <c r="J186" i="8" s="1" a="1"/>
  <c r="J186" i="8" s="1"/>
  <c r="E186" i="8" s="1"/>
  <c r="F186" i="8" s="1"/>
  <c r="K186" i="8" s="1"/>
  <c r="D177" i="8"/>
  <c r="H177" i="8" s="1"/>
  <c r="I177" i="8" s="1"/>
  <c r="J177" i="8" s="1" a="1"/>
  <c r="J177" i="8" s="1"/>
  <c r="E177" i="8" s="1"/>
  <c r="F177" i="8" s="1"/>
  <c r="K177" i="8" s="1"/>
  <c r="E199" i="8"/>
  <c r="D185" i="8"/>
  <c r="H185" i="8" s="1"/>
  <c r="I185" i="8" s="1"/>
  <c r="J185" i="8" s="1" a="1"/>
  <c r="J185" i="8" s="1"/>
  <c r="E185" i="8" s="1"/>
  <c r="F185" i="8" s="1"/>
  <c r="K185" i="8" s="1"/>
  <c r="D191" i="8"/>
  <c r="H191" i="8" s="1"/>
  <c r="I191" i="8" s="1"/>
  <c r="J191" i="8" s="1" a="1"/>
  <c r="J191" i="8" s="1"/>
  <c r="E191" i="8" s="1"/>
  <c r="F191" i="8" s="1"/>
  <c r="K191" i="8" s="1"/>
  <c r="D181" i="8"/>
  <c r="H181" i="8" s="1"/>
  <c r="I181" i="8" s="1"/>
  <c r="J181" i="8" s="1" a="1"/>
  <c r="J181" i="8" s="1"/>
  <c r="E181" i="8" s="1"/>
  <c r="F181" i="8" s="1"/>
  <c r="K181" i="8" s="1"/>
  <c r="D179" i="8"/>
  <c r="H179" i="8" s="1"/>
  <c r="I179" i="8" s="1"/>
  <c r="J179" i="8" s="1" a="1"/>
  <c r="J179" i="8" s="1"/>
  <c r="E179" i="8" s="1"/>
  <c r="F179" i="8" s="1"/>
  <c r="K179" i="8" s="1"/>
  <c r="D190" i="8"/>
  <c r="H190" i="8" s="1"/>
  <c r="I190" i="8" s="1"/>
  <c r="J190" i="8" s="1" a="1"/>
  <c r="J190" i="8" s="1"/>
  <c r="E190" i="8" s="1"/>
  <c r="F190" i="8" s="1"/>
  <c r="K190" i="8" s="1"/>
  <c r="D109" i="8"/>
  <c r="H109" i="8" s="1"/>
  <c r="I109" i="8" s="1"/>
  <c r="J109" i="8" s="1" a="1"/>
  <c r="J109" i="8" s="1"/>
  <c r="E109" i="8" s="1"/>
  <c r="F109" i="8" s="1"/>
  <c r="K109" i="8" s="1"/>
  <c r="C4" i="1"/>
  <c r="B121" i="6"/>
  <c r="I11" i="12" l="1"/>
  <c r="H11" i="12"/>
  <c r="I12" i="12"/>
  <c r="H12" i="12"/>
  <c r="I143" i="13"/>
  <c r="J143" i="13" s="1"/>
  <c r="H130" i="13"/>
  <c r="K106" i="13" s="1"/>
  <c r="I107" i="13"/>
  <c r="I73" i="13"/>
  <c r="H96" i="13"/>
  <c r="K72" i="13" s="1"/>
  <c r="I39" i="13"/>
  <c r="H62" i="13"/>
  <c r="K38" i="13" s="1"/>
  <c r="H28" i="13"/>
  <c r="K4" i="13" s="1"/>
  <c r="I5" i="13"/>
  <c r="D148" i="8"/>
  <c r="H148" i="8" s="1"/>
  <c r="I148" i="8" s="1"/>
  <c r="J148" i="8" s="1" a="1"/>
  <c r="J148" i="8" s="1"/>
  <c r="E148" i="8" s="1"/>
  <c r="F148" i="8" s="1"/>
  <c r="K148" i="8" s="1"/>
  <c r="F13" i="12"/>
  <c r="H13" i="12" s="1"/>
  <c r="J13" i="12" s="1"/>
  <c r="L13" i="12" s="1"/>
  <c r="D91" i="8"/>
  <c r="H91" i="8" s="1"/>
  <c r="I91" i="8" s="1"/>
  <c r="J91" i="8" s="1" a="1"/>
  <c r="J91" i="8" s="1"/>
  <c r="E91" i="8" s="1"/>
  <c r="F91" i="8" s="1"/>
  <c r="K91" i="8" s="1"/>
  <c r="F10" i="12"/>
  <c r="H10" i="12" s="1"/>
  <c r="J10" i="12" s="1"/>
  <c r="D7" i="8"/>
  <c r="H7" i="8" s="1"/>
  <c r="I7" i="8" s="1"/>
  <c r="J7" i="8" s="1" a="1"/>
  <c r="J7" i="8" s="1"/>
  <c r="E7" i="8" s="1"/>
  <c r="F7" i="8" s="1"/>
  <c r="K7" i="8" s="1"/>
  <c r="D100" i="8"/>
  <c r="H100" i="8" s="1"/>
  <c r="I100" i="8" s="1"/>
  <c r="J100" i="8" s="1" a="1"/>
  <c r="J100" i="8" s="1"/>
  <c r="E100" i="8" s="1"/>
  <c r="F100" i="8" s="1"/>
  <c r="K100" i="8" s="1"/>
  <c r="D95" i="8"/>
  <c r="H95" i="8" s="1"/>
  <c r="I95" i="8" s="1"/>
  <c r="J95" i="8" s="1" a="1"/>
  <c r="J95" i="8" s="1"/>
  <c r="E95" i="8" s="1"/>
  <c r="F95" i="8" s="1"/>
  <c r="K95" i="8" s="1"/>
  <c r="E118" i="8"/>
  <c r="D98" i="8"/>
  <c r="H98" i="8" s="1"/>
  <c r="I98" i="8" s="1"/>
  <c r="J98" i="8" s="1" a="1"/>
  <c r="J98" i="8" s="1"/>
  <c r="E98" i="8" s="1"/>
  <c r="F98" i="8" s="1"/>
  <c r="K98" i="8" s="1"/>
  <c r="D104" i="8"/>
  <c r="H104" i="8" s="1"/>
  <c r="I104" i="8" s="1"/>
  <c r="J104" i="8" s="1" a="1"/>
  <c r="J104" i="8" s="1"/>
  <c r="E104" i="8" s="1"/>
  <c r="F104" i="8" s="1"/>
  <c r="K104" i="8" s="1"/>
  <c r="D107" i="8"/>
  <c r="H107" i="8" s="1"/>
  <c r="I107" i="8" s="1"/>
  <c r="J107" i="8" s="1" a="1"/>
  <c r="J107" i="8" s="1"/>
  <c r="E107" i="8" s="1"/>
  <c r="F107" i="8" s="1"/>
  <c r="K107" i="8" s="1"/>
  <c r="D110" i="8"/>
  <c r="H110" i="8" s="1"/>
  <c r="I110" i="8" s="1"/>
  <c r="J110" i="8" s="1" a="1"/>
  <c r="J110" i="8" s="1"/>
  <c r="E110" i="8" s="1"/>
  <c r="F110" i="8" s="1"/>
  <c r="K110" i="8" s="1"/>
  <c r="D101" i="8"/>
  <c r="H101" i="8" s="1"/>
  <c r="I101" i="8" s="1"/>
  <c r="J101" i="8" s="1" a="1"/>
  <c r="J101" i="8" s="1"/>
  <c r="E101" i="8" s="1"/>
  <c r="F101" i="8" s="1"/>
  <c r="K101" i="8" s="1"/>
  <c r="D59" i="8"/>
  <c r="H59" i="8" s="1"/>
  <c r="I59" i="8" s="1"/>
  <c r="J59" i="8" s="1" a="1"/>
  <c r="J59" i="8" s="1"/>
  <c r="E59" i="8" s="1"/>
  <c r="F59" i="8" s="1"/>
  <c r="K59" i="8" s="1"/>
  <c r="D92" i="8"/>
  <c r="H92" i="8" s="1"/>
  <c r="I92" i="8" s="1"/>
  <c r="J92" i="8" s="1" a="1"/>
  <c r="J92" i="8" s="1"/>
  <c r="E92" i="8" s="1"/>
  <c r="F92" i="8" s="1"/>
  <c r="K92" i="8" s="1"/>
  <c r="D94" i="8"/>
  <c r="H94" i="8" s="1"/>
  <c r="I94" i="8" s="1"/>
  <c r="J94" i="8" s="1" a="1"/>
  <c r="J94" i="8" s="1"/>
  <c r="E94" i="8" s="1"/>
  <c r="F94" i="8" s="1"/>
  <c r="K94" i="8" s="1"/>
  <c r="D108" i="8"/>
  <c r="H108" i="8" s="1"/>
  <c r="I108" i="8" s="1"/>
  <c r="J108" i="8" s="1" a="1"/>
  <c r="J108" i="8" s="1"/>
  <c r="E108" i="8" s="1"/>
  <c r="F108" i="8" s="1"/>
  <c r="K108" i="8" s="1"/>
  <c r="D102" i="8"/>
  <c r="H102" i="8" s="1"/>
  <c r="I102" i="8" s="1"/>
  <c r="J102" i="8" s="1" a="1"/>
  <c r="J102" i="8" s="1"/>
  <c r="E102" i="8" s="1"/>
  <c r="F102" i="8" s="1"/>
  <c r="K102" i="8" s="1"/>
  <c r="D93" i="8"/>
  <c r="H93" i="8" s="1"/>
  <c r="I93" i="8" s="1"/>
  <c r="J93" i="8" s="1" a="1"/>
  <c r="J93" i="8" s="1"/>
  <c r="E93" i="8" s="1"/>
  <c r="F93" i="8" s="1"/>
  <c r="K93" i="8" s="1"/>
  <c r="D103" i="8"/>
  <c r="H103" i="8" s="1"/>
  <c r="I103" i="8" s="1"/>
  <c r="J103" i="8" s="1" a="1"/>
  <c r="J103" i="8" s="1"/>
  <c r="E103" i="8" s="1"/>
  <c r="F103" i="8" s="1"/>
  <c r="K103" i="8" s="1"/>
  <c r="D96" i="8"/>
  <c r="H96" i="8" s="1"/>
  <c r="I96" i="8" s="1"/>
  <c r="J96" i="8" s="1" a="1"/>
  <c r="J96" i="8" s="1"/>
  <c r="E96" i="8" s="1"/>
  <c r="F96" i="8" s="1"/>
  <c r="K96" i="8" s="1"/>
  <c r="D105" i="8"/>
  <c r="H105" i="8" s="1"/>
  <c r="I105" i="8" s="1"/>
  <c r="J105" i="8" s="1" a="1"/>
  <c r="J105" i="8" s="1"/>
  <c r="E105" i="8" s="1"/>
  <c r="F105" i="8" s="1"/>
  <c r="K105" i="8" s="1"/>
  <c r="K14" i="12"/>
  <c r="D97" i="8"/>
  <c r="H97" i="8" s="1"/>
  <c r="I97" i="8" s="1"/>
  <c r="J97" i="8" s="1" a="1"/>
  <c r="J97" i="8" s="1"/>
  <c r="E97" i="8" s="1"/>
  <c r="F97" i="8" s="1"/>
  <c r="K97" i="8" s="1"/>
  <c r="D106" i="8"/>
  <c r="H106" i="8" s="1"/>
  <c r="I106" i="8" s="1"/>
  <c r="J106" i="8" s="1" a="1"/>
  <c r="J106" i="8" s="1"/>
  <c r="E106" i="8" s="1"/>
  <c r="F106" i="8" s="1"/>
  <c r="K106" i="8" s="1"/>
  <c r="K192" i="8"/>
  <c r="E200" i="8" s="1"/>
  <c r="F192" i="8"/>
  <c r="D99" i="8"/>
  <c r="H99" i="8" s="1"/>
  <c r="I99" i="8" s="1"/>
  <c r="J99" i="8" s="1" a="1"/>
  <c r="J99" i="8" s="1"/>
  <c r="E99" i="8" s="1"/>
  <c r="F99" i="8" s="1"/>
  <c r="K99" i="8" s="1"/>
  <c r="J11" i="12"/>
  <c r="I15" i="12"/>
  <c r="D146" i="8"/>
  <c r="H146" i="8" s="1"/>
  <c r="I146" i="8" s="1"/>
  <c r="J146" i="8" s="1" a="1"/>
  <c r="J146" i="8" s="1"/>
  <c r="E146" i="8" s="1"/>
  <c r="F146" i="8" s="1"/>
  <c r="K146" i="8" s="1"/>
  <c r="D145" i="8"/>
  <c r="H145" i="8" s="1"/>
  <c r="I145" i="8" s="1"/>
  <c r="J145" i="8" s="1" a="1"/>
  <c r="J145" i="8" s="1"/>
  <c r="E145" i="8" s="1"/>
  <c r="F145" i="8" s="1"/>
  <c r="K145" i="8" s="1"/>
  <c r="E158" i="8"/>
  <c r="D137" i="8"/>
  <c r="H137" i="8" s="1"/>
  <c r="I137" i="8" s="1"/>
  <c r="J137" i="8" s="1" a="1"/>
  <c r="J137" i="8" s="1"/>
  <c r="E137" i="8" s="1"/>
  <c r="F137" i="8" s="1"/>
  <c r="K137" i="8" s="1"/>
  <c r="D138" i="8"/>
  <c r="H138" i="8" s="1"/>
  <c r="I138" i="8" s="1"/>
  <c r="J138" i="8" s="1" a="1"/>
  <c r="J138" i="8" s="1"/>
  <c r="E138" i="8" s="1"/>
  <c r="F138" i="8" s="1"/>
  <c r="K138" i="8" s="1"/>
  <c r="D143" i="8"/>
  <c r="H143" i="8" s="1"/>
  <c r="I143" i="8" s="1"/>
  <c r="J143" i="8" s="1" a="1"/>
  <c r="J143" i="8" s="1"/>
  <c r="E143" i="8" s="1"/>
  <c r="F143" i="8" s="1"/>
  <c r="K143" i="8" s="1"/>
  <c r="D139" i="8"/>
  <c r="H139" i="8" s="1"/>
  <c r="I139" i="8" s="1"/>
  <c r="J139" i="8" s="1" a="1"/>
  <c r="J139" i="8" s="1"/>
  <c r="E139" i="8" s="1"/>
  <c r="F139" i="8" s="1"/>
  <c r="K139" i="8" s="1"/>
  <c r="D131" i="8"/>
  <c r="H131" i="8" s="1"/>
  <c r="I131" i="8" s="1"/>
  <c r="J131" i="8" s="1" a="1"/>
  <c r="J131" i="8" s="1"/>
  <c r="E131" i="8" s="1"/>
  <c r="F131" i="8" s="1"/>
  <c r="K131" i="8" s="1"/>
  <c r="D142" i="8"/>
  <c r="H142" i="8" s="1"/>
  <c r="I142" i="8" s="1"/>
  <c r="J142" i="8" s="1" a="1"/>
  <c r="J142" i="8" s="1"/>
  <c r="E142" i="8" s="1"/>
  <c r="F142" i="8" s="1"/>
  <c r="K142" i="8" s="1"/>
  <c r="D141" i="8"/>
  <c r="H141" i="8" s="1"/>
  <c r="I141" i="8" s="1"/>
  <c r="J141" i="8" s="1" a="1"/>
  <c r="J141" i="8" s="1"/>
  <c r="E141" i="8" s="1"/>
  <c r="F141" i="8" s="1"/>
  <c r="K141" i="8" s="1"/>
  <c r="D135" i="8"/>
  <c r="H135" i="8" s="1"/>
  <c r="I135" i="8" s="1"/>
  <c r="J135" i="8" s="1" a="1"/>
  <c r="J135" i="8" s="1"/>
  <c r="E135" i="8" s="1"/>
  <c r="F135" i="8" s="1"/>
  <c r="K135" i="8" s="1"/>
  <c r="D136" i="8"/>
  <c r="H136" i="8" s="1"/>
  <c r="I136" i="8" s="1"/>
  <c r="J136" i="8" s="1" a="1"/>
  <c r="J136" i="8" s="1"/>
  <c r="E136" i="8" s="1"/>
  <c r="F136" i="8" s="1"/>
  <c r="K136" i="8" s="1"/>
  <c r="D132" i="8"/>
  <c r="H132" i="8" s="1"/>
  <c r="I132" i="8" s="1"/>
  <c r="J132" i="8" s="1" a="1"/>
  <c r="J132" i="8" s="1"/>
  <c r="E132" i="8" s="1"/>
  <c r="F132" i="8" s="1"/>
  <c r="K132" i="8" s="1"/>
  <c r="D134" i="8"/>
  <c r="H134" i="8" s="1"/>
  <c r="I134" i="8" s="1"/>
  <c r="J134" i="8" s="1" a="1"/>
  <c r="J134" i="8" s="1"/>
  <c r="E134" i="8" s="1"/>
  <c r="F134" i="8" s="1"/>
  <c r="K134" i="8" s="1"/>
  <c r="D150" i="8"/>
  <c r="H150" i="8" s="1"/>
  <c r="I150" i="8" s="1"/>
  <c r="J150" i="8" s="1" a="1"/>
  <c r="J150" i="8" s="1"/>
  <c r="E150" i="8" s="1"/>
  <c r="F150" i="8" s="1"/>
  <c r="K150" i="8" s="1"/>
  <c r="G4" i="1"/>
  <c r="G7" i="1" s="1"/>
  <c r="Q4" i="1"/>
  <c r="E201" i="8" l="1"/>
  <c r="E202" i="8"/>
  <c r="J12" i="12"/>
  <c r="K12" i="12" s="1"/>
  <c r="I144" i="13"/>
  <c r="J144" i="13" s="1"/>
  <c r="J142" i="13"/>
  <c r="H141" i="13" s="1"/>
  <c r="I108" i="13"/>
  <c r="I74" i="13"/>
  <c r="I40" i="13"/>
  <c r="G39" i="13"/>
  <c r="I6" i="13"/>
  <c r="G5" i="13"/>
  <c r="D140" i="8"/>
  <c r="H140" i="8" s="1"/>
  <c r="I140" i="8" s="1"/>
  <c r="J140" i="8" s="1" a="1"/>
  <c r="J140" i="8" s="1"/>
  <c r="E140" i="8" s="1"/>
  <c r="F140" i="8" s="1"/>
  <c r="K140" i="8" s="1"/>
  <c r="D133" i="8"/>
  <c r="H133" i="8" s="1"/>
  <c r="I133" i="8" s="1"/>
  <c r="J133" i="8" s="1" a="1"/>
  <c r="J133" i="8" s="1"/>
  <c r="E133" i="8" s="1"/>
  <c r="F133" i="8" s="1"/>
  <c r="K133" i="8" s="1"/>
  <c r="D144" i="8"/>
  <c r="H144" i="8" s="1"/>
  <c r="I144" i="8" s="1"/>
  <c r="J144" i="8" s="1" a="1"/>
  <c r="J144" i="8" s="1"/>
  <c r="E144" i="8" s="1"/>
  <c r="F144" i="8" s="1"/>
  <c r="K144" i="8" s="1"/>
  <c r="D149" i="8"/>
  <c r="H149" i="8" s="1"/>
  <c r="I149" i="8" s="1"/>
  <c r="J149" i="8" s="1" a="1"/>
  <c r="J149" i="8" s="1"/>
  <c r="E149" i="8" s="1"/>
  <c r="F149" i="8" s="1"/>
  <c r="K149" i="8" s="1"/>
  <c r="D147" i="8"/>
  <c r="H147" i="8" s="1"/>
  <c r="I147" i="8" s="1"/>
  <c r="J147" i="8" s="1" a="1"/>
  <c r="J147" i="8" s="1"/>
  <c r="E147" i="8" s="1"/>
  <c r="F147" i="8" s="1"/>
  <c r="K147" i="8" s="1"/>
  <c r="D26" i="8"/>
  <c r="H26" i="8" s="1"/>
  <c r="I26" i="8" s="1"/>
  <c r="J26" i="8" s="1" a="1"/>
  <c r="J26" i="8" s="1"/>
  <c r="E26" i="8" s="1"/>
  <c r="F26" i="8" s="1"/>
  <c r="K26" i="8" s="1"/>
  <c r="D13" i="8"/>
  <c r="H13" i="8" s="1"/>
  <c r="I13" i="8" s="1"/>
  <c r="J13" i="8" s="1" a="1"/>
  <c r="J13" i="8" s="1"/>
  <c r="E13" i="8" s="1"/>
  <c r="F13" i="8" s="1"/>
  <c r="K13" i="8" s="1"/>
  <c r="D56" i="8"/>
  <c r="H56" i="8" s="1"/>
  <c r="I56" i="8" s="1"/>
  <c r="J56" i="8" s="1" a="1"/>
  <c r="J56" i="8" s="1"/>
  <c r="E56" i="8" s="1"/>
  <c r="F56" i="8" s="1"/>
  <c r="K56" i="8" s="1"/>
  <c r="D57" i="8"/>
  <c r="H57" i="8" s="1"/>
  <c r="I57" i="8" s="1"/>
  <c r="J57" i="8" s="1" a="1"/>
  <c r="J57" i="8" s="1"/>
  <c r="E57" i="8" s="1"/>
  <c r="F57" i="8" s="1"/>
  <c r="K57" i="8" s="1"/>
  <c r="D52" i="8"/>
  <c r="H52" i="8" s="1"/>
  <c r="I52" i="8" s="1"/>
  <c r="J52" i="8" s="1" a="1"/>
  <c r="J52" i="8" s="1"/>
  <c r="E52" i="8" s="1"/>
  <c r="F52" i="8" s="1"/>
  <c r="K52" i="8" s="1"/>
  <c r="D68" i="8"/>
  <c r="H68" i="8" s="1"/>
  <c r="I68" i="8" s="1"/>
  <c r="J68" i="8" s="1" a="1"/>
  <c r="J68" i="8" s="1"/>
  <c r="E68" i="8" s="1"/>
  <c r="F68" i="8" s="1"/>
  <c r="K68" i="8" s="1"/>
  <c r="H15" i="12"/>
  <c r="G27" i="12" s="1"/>
  <c r="D24" i="8"/>
  <c r="H24" i="8" s="1"/>
  <c r="I24" i="8" s="1"/>
  <c r="J24" i="8" s="1" a="1"/>
  <c r="J24" i="8" s="1"/>
  <c r="E24" i="8" s="1"/>
  <c r="F24" i="8" s="1"/>
  <c r="K24" i="8" s="1"/>
  <c r="D20" i="8"/>
  <c r="H20" i="8" s="1"/>
  <c r="I20" i="8" s="1"/>
  <c r="J20" i="8" s="1" a="1"/>
  <c r="J20" i="8" s="1"/>
  <c r="E20" i="8" s="1"/>
  <c r="F20" i="8" s="1"/>
  <c r="K20" i="8" s="1"/>
  <c r="K13" i="12"/>
  <c r="D11" i="8"/>
  <c r="H11" i="8" s="1"/>
  <c r="I11" i="8" s="1"/>
  <c r="J11" i="8" s="1" a="1"/>
  <c r="J11" i="8" s="1"/>
  <c r="E11" i="8" s="1"/>
  <c r="F11" i="8" s="1"/>
  <c r="K11" i="8" s="1"/>
  <c r="D8" i="8"/>
  <c r="H8" i="8" s="1"/>
  <c r="I8" i="8" s="1"/>
  <c r="J8" i="8" s="1" a="1"/>
  <c r="J8" i="8" s="1"/>
  <c r="E8" i="8" s="1"/>
  <c r="F8" i="8" s="1"/>
  <c r="K8" i="8" s="1"/>
  <c r="E34" i="8"/>
  <c r="D64" i="8"/>
  <c r="H64" i="8" s="1"/>
  <c r="I64" i="8" s="1"/>
  <c r="J64" i="8" s="1" a="1"/>
  <c r="J64" i="8" s="1"/>
  <c r="E64" i="8" s="1"/>
  <c r="F64" i="8" s="1"/>
  <c r="K64" i="8" s="1"/>
  <c r="D51" i="8"/>
  <c r="H51" i="8" s="1"/>
  <c r="I51" i="8" s="1"/>
  <c r="J51" i="8" s="1" a="1"/>
  <c r="J51" i="8" s="1"/>
  <c r="E51" i="8" s="1"/>
  <c r="F51" i="8" s="1"/>
  <c r="K51" i="8" s="1"/>
  <c r="D54" i="8"/>
  <c r="H54" i="8" s="1"/>
  <c r="I54" i="8" s="1"/>
  <c r="J54" i="8" s="1" a="1"/>
  <c r="J54" i="8" s="1"/>
  <c r="E54" i="8" s="1"/>
  <c r="F54" i="8" s="1"/>
  <c r="K54" i="8" s="1"/>
  <c r="D63" i="8"/>
  <c r="H63" i="8" s="1"/>
  <c r="I63" i="8" s="1"/>
  <c r="J63" i="8" s="1" a="1"/>
  <c r="J63" i="8" s="1"/>
  <c r="E63" i="8" s="1"/>
  <c r="F63" i="8" s="1"/>
  <c r="K63" i="8" s="1"/>
  <c r="D50" i="8"/>
  <c r="H50" i="8" s="1"/>
  <c r="I50" i="8" s="1"/>
  <c r="J50" i="8" s="1" a="1"/>
  <c r="J50" i="8" s="1"/>
  <c r="E50" i="8" s="1"/>
  <c r="F50" i="8" s="1"/>
  <c r="K50" i="8" s="1"/>
  <c r="D60" i="8"/>
  <c r="H60" i="8" s="1"/>
  <c r="I60" i="8" s="1"/>
  <c r="J60" i="8" s="1" a="1"/>
  <c r="J60" i="8" s="1"/>
  <c r="E60" i="8" s="1"/>
  <c r="F60" i="8" s="1"/>
  <c r="K60" i="8" s="1"/>
  <c r="E76" i="8"/>
  <c r="D15" i="8"/>
  <c r="H15" i="8" s="1"/>
  <c r="I15" i="8" s="1"/>
  <c r="J15" i="8" s="1" a="1"/>
  <c r="J15" i="8" s="1"/>
  <c r="E15" i="8" s="1"/>
  <c r="F15" i="8" s="1"/>
  <c r="K15" i="8" s="1"/>
  <c r="D16" i="8"/>
  <c r="H16" i="8" s="1"/>
  <c r="I16" i="8" s="1"/>
  <c r="J16" i="8" s="1" a="1"/>
  <c r="J16" i="8" s="1"/>
  <c r="E16" i="8" s="1"/>
  <c r="F16" i="8" s="1"/>
  <c r="K16" i="8" s="1"/>
  <c r="D21" i="8"/>
  <c r="H21" i="8" s="1"/>
  <c r="I21" i="8" s="1"/>
  <c r="J21" i="8" s="1" a="1"/>
  <c r="J21" i="8" s="1"/>
  <c r="E21" i="8" s="1"/>
  <c r="F21" i="8" s="1"/>
  <c r="K21" i="8" s="1"/>
  <c r="D23" i="8"/>
  <c r="H23" i="8" s="1"/>
  <c r="I23" i="8" s="1"/>
  <c r="J23" i="8" s="1" a="1"/>
  <c r="J23" i="8" s="1"/>
  <c r="E23" i="8" s="1"/>
  <c r="F23" i="8" s="1"/>
  <c r="K23" i="8" s="1"/>
  <c r="D19" i="8"/>
  <c r="H19" i="8" s="1"/>
  <c r="I19" i="8" s="1"/>
  <c r="J19" i="8" s="1" a="1"/>
  <c r="J19" i="8" s="1"/>
  <c r="E19" i="8" s="1"/>
  <c r="F19" i="8" s="1"/>
  <c r="K19" i="8" s="1"/>
  <c r="D18" i="8"/>
  <c r="H18" i="8" s="1"/>
  <c r="I18" i="8" s="1"/>
  <c r="J18" i="8" s="1" a="1"/>
  <c r="J18" i="8" s="1"/>
  <c r="E18" i="8" s="1"/>
  <c r="F18" i="8" s="1"/>
  <c r="K18" i="8" s="1"/>
  <c r="D10" i="8"/>
  <c r="H10" i="8" s="1"/>
  <c r="I10" i="8" s="1"/>
  <c r="J10" i="8" s="1" a="1"/>
  <c r="J10" i="8" s="1"/>
  <c r="E10" i="8" s="1"/>
  <c r="F10" i="8" s="1"/>
  <c r="K10" i="8" s="1"/>
  <c r="D25" i="8"/>
  <c r="H25" i="8" s="1"/>
  <c r="I25" i="8" s="1"/>
  <c r="J25" i="8" s="1" a="1"/>
  <c r="J25" i="8" s="1"/>
  <c r="E25" i="8" s="1"/>
  <c r="F25" i="8" s="1"/>
  <c r="K25" i="8" s="1"/>
  <c r="D9" i="8"/>
  <c r="H9" i="8" s="1"/>
  <c r="I9" i="8" s="1"/>
  <c r="J9" i="8" s="1" a="1"/>
  <c r="J9" i="8" s="1"/>
  <c r="E9" i="8" s="1"/>
  <c r="F9" i="8" s="1"/>
  <c r="K9" i="8" s="1"/>
  <c r="D22" i="8"/>
  <c r="H22" i="8" s="1"/>
  <c r="I22" i="8" s="1"/>
  <c r="J22" i="8" s="1" a="1"/>
  <c r="J22" i="8" s="1"/>
  <c r="E22" i="8" s="1"/>
  <c r="F22" i="8" s="1"/>
  <c r="K22" i="8" s="1"/>
  <c r="D17" i="8"/>
  <c r="H17" i="8" s="1"/>
  <c r="I17" i="8" s="1"/>
  <c r="J17" i="8" s="1" a="1"/>
  <c r="J17" i="8" s="1"/>
  <c r="E17" i="8" s="1"/>
  <c r="F17" i="8" s="1"/>
  <c r="K17" i="8" s="1"/>
  <c r="D12" i="8"/>
  <c r="H12" i="8" s="1"/>
  <c r="I12" i="8" s="1"/>
  <c r="J12" i="8" s="1" a="1"/>
  <c r="J12" i="8" s="1"/>
  <c r="E12" i="8" s="1"/>
  <c r="F12" i="8" s="1"/>
  <c r="K12" i="8" s="1"/>
  <c r="D14" i="8"/>
  <c r="H14" i="8" s="1"/>
  <c r="I14" i="8" s="1"/>
  <c r="J14" i="8" s="1" a="1"/>
  <c r="J14" i="8" s="1"/>
  <c r="E14" i="8" s="1"/>
  <c r="F14" i="8" s="1"/>
  <c r="K14" i="8" s="1"/>
  <c r="D58" i="8"/>
  <c r="H58" i="8" s="1"/>
  <c r="I58" i="8" s="1"/>
  <c r="J58" i="8" s="1" a="1"/>
  <c r="J58" i="8" s="1"/>
  <c r="E58" i="8" s="1"/>
  <c r="F58" i="8" s="1"/>
  <c r="K58" i="8" s="1"/>
  <c r="D62" i="8"/>
  <c r="H62" i="8" s="1"/>
  <c r="I62" i="8" s="1"/>
  <c r="J62" i="8" s="1" a="1"/>
  <c r="J62" i="8" s="1"/>
  <c r="E62" i="8" s="1"/>
  <c r="F62" i="8" s="1"/>
  <c r="K62" i="8" s="1"/>
  <c r="D49" i="8"/>
  <c r="H49" i="8" s="1"/>
  <c r="I49" i="8" s="1"/>
  <c r="J49" i="8" s="1" a="1"/>
  <c r="J49" i="8" s="1"/>
  <c r="E49" i="8" s="1"/>
  <c r="F49" i="8" s="1"/>
  <c r="K49" i="8" s="1"/>
  <c r="D61" i="8"/>
  <c r="H61" i="8" s="1"/>
  <c r="I61" i="8" s="1"/>
  <c r="J61" i="8" s="1" a="1"/>
  <c r="J61" i="8" s="1"/>
  <c r="E61" i="8" s="1"/>
  <c r="F61" i="8" s="1"/>
  <c r="K61" i="8" s="1"/>
  <c r="D55" i="8"/>
  <c r="H55" i="8" s="1"/>
  <c r="I55" i="8" s="1"/>
  <c r="J55" i="8" s="1" a="1"/>
  <c r="J55" i="8" s="1"/>
  <c r="E55" i="8" s="1"/>
  <c r="F55" i="8" s="1"/>
  <c r="K55" i="8" s="1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67" i="8"/>
  <c r="H67" i="8" s="1"/>
  <c r="I67" i="8" s="1"/>
  <c r="J67" i="8" s="1" a="1"/>
  <c r="J67" i="8" s="1"/>
  <c r="E67" i="8" s="1"/>
  <c r="F67" i="8" s="1"/>
  <c r="K67" i="8" s="1"/>
  <c r="D65" i="8"/>
  <c r="H65" i="8" s="1"/>
  <c r="I65" i="8" s="1"/>
  <c r="J65" i="8" s="1" a="1"/>
  <c r="J65" i="8" s="1"/>
  <c r="E65" i="8" s="1"/>
  <c r="F65" i="8" s="1"/>
  <c r="K65" i="8" s="1"/>
  <c r="K111" i="8"/>
  <c r="E119" i="8" s="1"/>
  <c r="F111" i="8"/>
  <c r="L10" i="12"/>
  <c r="K10" i="12"/>
  <c r="I16" i="12"/>
  <c r="G25" i="12" s="1"/>
  <c r="F42" i="12" s="1"/>
  <c r="I17" i="12"/>
  <c r="G26" i="12" s="1"/>
  <c r="G24" i="12"/>
  <c r="K11" i="12"/>
  <c r="L11" i="12"/>
  <c r="Q6" i="1"/>
  <c r="G8" i="1"/>
  <c r="E120" i="8" l="1"/>
  <c r="E121" i="8"/>
  <c r="E34" i="12"/>
  <c r="E40" i="12"/>
  <c r="J15" i="12"/>
  <c r="L12" i="12"/>
  <c r="I145" i="13"/>
  <c r="J145" i="13" s="1"/>
  <c r="H142" i="13"/>
  <c r="F142" i="13" s="1"/>
  <c r="E142" i="13" s="1"/>
  <c r="F141" i="13"/>
  <c r="J108" i="13"/>
  <c r="H107" i="13" s="1"/>
  <c r="F107" i="13" s="1"/>
  <c r="E107" i="13" s="1"/>
  <c r="I109" i="13"/>
  <c r="J109" i="13" s="1"/>
  <c r="J74" i="13"/>
  <c r="H73" i="13" s="1"/>
  <c r="F73" i="13" s="1"/>
  <c r="E73" i="13" s="1"/>
  <c r="I75" i="13"/>
  <c r="J75" i="13" s="1"/>
  <c r="J40" i="13"/>
  <c r="H39" i="13" s="1"/>
  <c r="F39" i="13" s="1"/>
  <c r="E39" i="13" s="1"/>
  <c r="G40" i="13"/>
  <c r="I41" i="13"/>
  <c r="J6" i="13"/>
  <c r="H5" i="13" s="1"/>
  <c r="F5" i="13" s="1"/>
  <c r="E5" i="13" s="1"/>
  <c r="I7" i="13"/>
  <c r="G6" i="13"/>
  <c r="K151" i="8"/>
  <c r="E159" i="8" s="1"/>
  <c r="F151" i="8"/>
  <c r="H16" i="12"/>
  <c r="G22" i="12" s="1"/>
  <c r="H17" i="12"/>
  <c r="G23" i="12" s="1"/>
  <c r="G21" i="12"/>
  <c r="E36" i="12" s="1"/>
  <c r="E38" i="12" s="1"/>
  <c r="F27" i="8"/>
  <c r="K27" i="8"/>
  <c r="E35" i="8" s="1"/>
  <c r="F69" i="8"/>
  <c r="K69" i="8"/>
  <c r="E77" i="8" s="1"/>
  <c r="K16" i="12"/>
  <c r="L13" i="1"/>
  <c r="Q7" i="1"/>
  <c r="L8" i="1"/>
  <c r="E161" i="8" l="1"/>
  <c r="E78" i="8"/>
  <c r="E79" i="8"/>
  <c r="E36" i="8"/>
  <c r="E37" i="8"/>
  <c r="H108" i="13"/>
  <c r="F108" i="13" s="1"/>
  <c r="E108" i="13" s="1"/>
  <c r="L17" i="12"/>
  <c r="G29" i="12"/>
  <c r="G40" i="12" s="1"/>
  <c r="I146" i="13"/>
  <c r="J146" i="13" s="1"/>
  <c r="H143" i="13"/>
  <c r="E141" i="13"/>
  <c r="I110" i="13"/>
  <c r="J110" i="13" s="1"/>
  <c r="H109" i="13" s="1"/>
  <c r="F109" i="13" s="1"/>
  <c r="E109" i="13" s="1"/>
  <c r="H74" i="13"/>
  <c r="F74" i="13" s="1"/>
  <c r="E74" i="13" s="1"/>
  <c r="I76" i="13"/>
  <c r="J76" i="13" s="1"/>
  <c r="H75" i="13" s="1"/>
  <c r="F75" i="13" s="1"/>
  <c r="E75" i="13" s="1"/>
  <c r="J41" i="13"/>
  <c r="H40" i="13" s="1"/>
  <c r="F40" i="13" s="1"/>
  <c r="E40" i="13" s="1"/>
  <c r="G41" i="13"/>
  <c r="I42" i="13"/>
  <c r="J7" i="13"/>
  <c r="H6" i="13" s="1"/>
  <c r="F6" i="13" s="1"/>
  <c r="E6" i="13" s="1"/>
  <c r="G7" i="13"/>
  <c r="I8" i="13"/>
  <c r="E160" i="8"/>
  <c r="G28" i="12"/>
  <c r="L9" i="1"/>
  <c r="Q10" i="1"/>
  <c r="Q14" i="1"/>
  <c r="L15" i="1"/>
  <c r="F34" i="12" l="1"/>
  <c r="F48" i="12" s="1"/>
  <c r="F40" i="12"/>
  <c r="G34" i="12"/>
  <c r="G36" i="12"/>
  <c r="G38" i="12" s="1"/>
  <c r="F143" i="13"/>
  <c r="I111" i="13"/>
  <c r="J111" i="13" s="1"/>
  <c r="H110" i="13" s="1"/>
  <c r="F110" i="13" s="1"/>
  <c r="E110" i="13" s="1"/>
  <c r="I77" i="13"/>
  <c r="J42" i="13"/>
  <c r="H41" i="13" s="1"/>
  <c r="F41" i="13" s="1"/>
  <c r="E41" i="13" s="1"/>
  <c r="G42" i="13"/>
  <c r="I43" i="13"/>
  <c r="J8" i="13"/>
  <c r="H7" i="13" s="1"/>
  <c r="F7" i="13" s="1"/>
  <c r="E7" i="13" s="1"/>
  <c r="I9" i="13"/>
  <c r="J9" i="13" s="1"/>
  <c r="G8" i="13"/>
  <c r="F36" i="12"/>
  <c r="F38" i="12" s="1"/>
  <c r="F46" i="12"/>
  <c r="I17" i="1"/>
  <c r="Q15" i="1"/>
  <c r="Q12" i="1"/>
  <c r="F44" i="12"/>
  <c r="H144" i="13" l="1"/>
  <c r="F144" i="13" s="1"/>
  <c r="E144" i="13" s="1"/>
  <c r="H8" i="13"/>
  <c r="F8" i="13" s="1"/>
  <c r="E8" i="13" s="1"/>
  <c r="H145" i="13"/>
  <c r="E143" i="13"/>
  <c r="I112" i="13"/>
  <c r="J112" i="13" s="1"/>
  <c r="H111" i="13" s="1"/>
  <c r="F111" i="13" s="1"/>
  <c r="E111" i="13" s="1"/>
  <c r="J77" i="13"/>
  <c r="H76" i="13" s="1"/>
  <c r="F76" i="13" s="1"/>
  <c r="E76" i="13" s="1"/>
  <c r="I78" i="13"/>
  <c r="J43" i="13"/>
  <c r="H42" i="13" s="1"/>
  <c r="F42" i="13" s="1"/>
  <c r="E42" i="13" s="1"/>
  <c r="I10" i="13"/>
  <c r="G9" i="13"/>
  <c r="F145" i="13" l="1"/>
  <c r="E145" i="13" s="1"/>
  <c r="I113" i="13"/>
  <c r="J113" i="13" s="1"/>
  <c r="H112" i="13" s="1"/>
  <c r="F112" i="13" s="1"/>
  <c r="E112" i="13" s="1"/>
  <c r="J78" i="13"/>
  <c r="H77" i="13" s="1"/>
  <c r="F77" i="13" s="1"/>
  <c r="E77" i="13" s="1"/>
  <c r="J10" i="13"/>
  <c r="H9" i="13" s="1"/>
  <c r="F9" i="13" s="1"/>
  <c r="E9" i="13" s="1"/>
  <c r="O144" i="13"/>
  <c r="O141" i="13"/>
  <c r="F146" i="13"/>
  <c r="H78" i="13"/>
  <c r="E43" i="13"/>
  <c r="O40" i="13"/>
  <c r="O43" i="13"/>
  <c r="O45" i="13"/>
  <c r="N47" i="13"/>
  <c r="N149" i="13"/>
  <c r="O147" i="13"/>
  <c r="O145" i="13"/>
  <c r="O142" i="13"/>
  <c r="E146" i="13"/>
  <c r="H146" i="13"/>
  <c r="N13" i="13"/>
  <c r="O11" i="13"/>
  <c r="O9" i="13"/>
  <c r="O6" i="13"/>
  <c r="E10" i="13"/>
  <c r="E78" i="13"/>
  <c r="O74" i="13"/>
  <c r="O77" i="13"/>
  <c r="O79" i="13"/>
  <c r="N81" i="13"/>
  <c r="H113" i="13"/>
  <c r="H10" i="13"/>
  <c r="N115" i="13"/>
  <c r="E113" i="13"/>
  <c r="O108" i="13"/>
  <c r="O111" i="13"/>
  <c r="O113" i="13"/>
  <c r="F43" i="13"/>
  <c r="O39" i="13"/>
  <c r="O42" i="13"/>
  <c r="O76" i="13"/>
  <c r="O73" i="13"/>
  <c r="F78" i="13"/>
  <c r="H43" i="13"/>
  <c r="O110" i="13"/>
  <c r="O107" i="13"/>
  <c r="F113" i="13"/>
  <c r="F10" i="13"/>
  <c r="O5" i="13"/>
  <c r="O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<sst xmlns="http://schemas.openxmlformats.org/spreadsheetml/2006/main" count="454" uniqueCount="154">
  <si>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</si>
  <si>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</si>
  <si>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</si>
  <si>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</si>
  <si>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</si>
  <si>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</si>
  <si>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</si>
  <si>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</si>
  <si>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</si>
  <si>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</si>
  <si>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</si>
  <si>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</si>
  <si>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</si>
  <si>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</si>
  <si>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</si>
  <si>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</si>
  <si>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</si>
  <si>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</si>
  <si>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</si>
  <si>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</si>
  <si>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</si>
  <si>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</si>
  <si>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</si>
  <si>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</si>
  <si>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</si>
  <si>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</si>
  <si>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</si>
  <si>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</si>
  <si>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</si>
  <si>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</si>
  <si>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</si>
  <si>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</si>
  <si>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</si>
  <si>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</si>
  <si>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</si>
  <si>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</si>
  <si>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</si>
  <si>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</si>
  <si>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</si>
  <si>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</si>
  <si>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</si>
  <si>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</si>
  <si>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</si>
  <si>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</si>
  <si>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</si>
  <si>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</si>
  <si>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</si>
  <si>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</si>
  <si>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</si>
  <si>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</si>
  <si>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</si>
  <si>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Capacidad de Atención ("n" máq.)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</si>
  <si>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</si>
  <si>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</si>
  <si>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</si>
  <si>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</si>
  <si>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</si>
  <si>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</si>
  <si>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</si>
  <si>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</si>
  <si>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</si>
  <si>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</si>
  <si>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</si>
  <si>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</si>
  <si>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</si>
  <si>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</si>
  <si>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</si>
  <si>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</si>
  <si>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</si>
  <si>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</si>
  <si>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</si>
  <si>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</si>
  <si>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</si>
  <si>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</si>
  <si>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</si>
  <si>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</si>
  <si>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</si>
  <si>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</si>
  <si>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</si>
  <si>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</si>
  <si>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</si>
  <si>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</si>
  <si>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</si>
  <si>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</si>
  <si>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</si>
  <si>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</si>
  <si>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</si>
  <si>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</si>
  <si>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</si>
  <si>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</si>
  <si>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</si>
  <si>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</si>
  <si>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</si>
  <si>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</si>
  <si>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</si>
  <si>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</si>
  <si>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</si>
  <si>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</si>
  <si>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</si>
  <si>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</si>
  <si>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</si>
  <si>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</si>
  <si>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</si>
  <si>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</si>
  <si>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</si>
  <si>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</si>
  <si>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</si>
  <si>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</si>
  <si>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</si>
  <si>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P</t>
  </si>
  <si>
    <t>C</t>
  </si>
  <si>
    <t>Q</t>
  </si>
  <si>
    <t>Doblar Pantalon</t>
  </si>
  <si>
    <t>Dejar a un lado de mesa</t>
  </si>
  <si>
    <t>Doblar Chaqueta</t>
  </si>
  <si>
    <t>Embolsado de Chaqueta</t>
  </si>
  <si>
    <t>Embolsado de Pantalon</t>
  </si>
  <si>
    <t>Embolsado Pantalon</t>
  </si>
  <si>
    <t>Colocar Pijama embolsada en caja</t>
  </si>
  <si>
    <t>Colocar sticker y dejar en la caja</t>
  </si>
  <si>
    <t>Doblado y Embolsado</t>
  </si>
  <si>
    <t>Embolsar Chaqueta</t>
  </si>
  <si>
    <t>J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</si>
  <si>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</si>
  <si>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</si>
  <si>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</si>
  <si>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</si>
  <si>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</si>
  <si>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</si>
  <si>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</si>
  <si>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</si>
  <si>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</si>
  <si>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</si>
  <si>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</si>
  <si>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</si>
  <si>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TIPO</t>
  </si>
  <si>
    <t>III</t>
  </si>
  <si>
    <t>IIII</t>
  </si>
  <si>
    <t>IIIIII</t>
  </si>
  <si>
    <t>IIIIIII</t>
  </si>
  <si>
    <t>IIIII</t>
  </si>
  <si>
    <t>IIIIIIII</t>
  </si>
  <si>
    <t>II</t>
  </si>
  <si>
    <t>N° de Elementos en Operación Abrir Rollo de Tela</t>
  </si>
  <si>
    <t>Observaciones</t>
  </si>
  <si>
    <t>NP</t>
  </si>
  <si>
    <t>F</t>
  </si>
  <si>
    <t>CA</t>
  </si>
  <si>
    <t>CI</t>
  </si>
  <si>
    <t>R</t>
  </si>
  <si>
    <t>TM</t>
  </si>
  <si>
    <t>M</t>
  </si>
  <si>
    <t>Ritmo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</si>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</sst>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\ ???/???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1" fontId="5" fillId="2" borderId="18" xfId="0" applyNumberFormat="1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0" fontId="5" fillId="0" borderId="9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10" fontId="5" fillId="0" borderId="10" xfId="0" applyNumberFormat="1" applyFont="1" applyBorder="1" applyAlignment="1">
      <alignment horizontal="center" vertical="center" wrapText="1"/>
    </xf>
    <xf numFmtId="10" fontId="5" fillId="0" borderId="19" xfId="0" applyNumberFormat="1" applyFont="1" applyBorder="1" applyAlignment="1">
      <alignment horizontal="center" vertical="center" wrapText="1"/>
    </xf>
    <xf numFmtId="10" fontId="5" fillId="0" borderId="18" xfId="0" applyNumberFormat="1" applyFont="1" applyBorder="1" applyAlignment="1">
      <alignment horizontal="center" vertical="center" wrapText="1"/>
    </xf>
    <xf numFmtId="10" fontId="5" fillId="0" borderId="11" xfId="0" applyNumberFormat="1" applyFont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39" fontId="5" fillId="0" borderId="18" xfId="0" applyNumberFormat="1" applyFont="1" applyBorder="1" applyAlignment="1">
      <alignment horizontal="center" vertical="center" wrapText="1"/>
    </xf>
    <xf numFmtId="39" fontId="5" fillId="0" borderId="11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2" fontId="5" fillId="2" borderId="9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39" fontId="5" fillId="2" borderId="0" xfId="0" applyNumberFormat="1" applyFont="1" applyFill="1" applyAlignment="1">
      <alignment horizontal="center" vertical="center" wrapText="1"/>
    </xf>
    <xf numFmtId="165" fontId="5" fillId="2" borderId="0" xfId="0" quotePrefix="1" applyNumberFormat="1" applyFont="1" applyFill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2" fontId="5" fillId="2" borderId="8" xfId="0" applyNumberFormat="1" applyFont="1" applyFill="1" applyBorder="1" applyAlignment="1">
      <alignment horizontal="center" vertical="center" wrapText="1"/>
    </xf>
    <xf numFmtId="2" fontId="5" fillId="2" borderId="7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/>
    </xf>
    <xf numFmtId="2" fontId="5" fillId="2" borderId="18" xfId="0" applyNumberFormat="1" applyFont="1" applyFill="1" applyBorder="1" applyAlignment="1">
      <alignment horizontal="center" vertical="center"/>
    </xf>
    <xf numFmtId="2" fontId="5" fillId="2" borderId="11" xfId="0" applyNumberFormat="1" applyFont="1" applyFill="1" applyBorder="1" applyAlignment="1">
      <alignment horizontal="center" vertical="center"/>
    </xf>
    <xf numFmtId="2" fontId="5" fillId="2" borderId="19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5" fillId="2" borderId="18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5" fillId="2" borderId="10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L16"/>
  <sheetViews>
    <sheetView workbookViewId="0">
      <selection activeCell="D21" sqref="D21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2" s="36" customFormat="1" x14ac:dyDescent="0.3"/>
    <row r="2" spans="1:12" ht="15.6" x14ac:dyDescent="0.3">
      <c r="B2" s="26" t="s">
        <v>100</v>
      </c>
      <c r="C2" s="36"/>
      <c r="D2" s="39" t="s">
        <v>58</v>
      </c>
      <c r="E2" s="39" t="s">
        <v>135</v>
      </c>
      <c r="F2" s="39" t="s">
        <v>59</v>
      </c>
      <c r="G2" s="39" t="s">
        <v>60</v>
      </c>
      <c r="H2" s="39" t="s">
        <v>61</v>
      </c>
      <c r="I2" s="36"/>
      <c r="J2" s="36"/>
      <c r="K2" s="36"/>
      <c r="L2" s="36"/>
    </row>
    <row r="3" spans="1:12" ht="31.2" customHeight="1" x14ac:dyDescent="0.3">
      <c r="B3" s="26" t="s">
        <v>120</v>
      </c>
      <c r="C3" s="36"/>
      <c r="D3" s="40" t="s">
        <v>112</v>
      </c>
      <c r="E3" s="40" t="s">
        <v>36</v>
      </c>
      <c r="F3" s="40" t="s">
        <v>109</v>
      </c>
      <c r="G3" s="40" t="s">
        <v>112</v>
      </c>
      <c r="H3" s="40" t="s">
        <v>113</v>
      </c>
      <c r="I3" s="36"/>
      <c r="J3" s="36"/>
      <c r="K3" s="36"/>
    </row>
    <row r="4" spans="1:12" ht="31.2" customHeight="1" x14ac:dyDescent="0.3">
      <c r="A4" t="s">
        <v>101</v>
      </c>
      <c r="C4" s="36"/>
      <c r="D4" s="40" t="s">
        <v>114</v>
      </c>
      <c r="E4" s="40" t="s">
        <v>36</v>
      </c>
      <c r="F4" s="40" t="s">
        <v>110</v>
      </c>
      <c r="G4" s="40" t="s">
        <v>113</v>
      </c>
      <c r="H4" s="40" t="s">
        <v>114</v>
      </c>
      <c r="I4" s="36"/>
      <c r="J4" s="36"/>
      <c r="K4" s="36"/>
    </row>
    <row r="5" spans="1:12" ht="31.2" customHeight="1" x14ac:dyDescent="0.3">
      <c r="C5" s="36"/>
      <c r="D5" s="40" t="s">
        <v>115</v>
      </c>
      <c r="E5" s="40" t="s">
        <v>36</v>
      </c>
      <c r="F5" s="40" t="s">
        <v>111</v>
      </c>
      <c r="G5" s="40" t="s">
        <v>114</v>
      </c>
      <c r="H5" s="40" t="s">
        <v>121</v>
      </c>
      <c r="I5" s="36"/>
      <c r="J5" s="36"/>
      <c r="K5" s="36"/>
    </row>
    <row r="6" spans="1:12" ht="31.2" customHeight="1" x14ac:dyDescent="0.3">
      <c r="C6" s="36"/>
      <c r="D6" s="40" t="s">
        <v>116</v>
      </c>
      <c r="E6" s="40" t="s">
        <v>36</v>
      </c>
      <c r="F6" s="40" t="s">
        <v>87</v>
      </c>
      <c r="G6" s="40" t="s">
        <v>121</v>
      </c>
      <c r="H6" s="40" t="s">
        <v>117</v>
      </c>
      <c r="I6" s="36"/>
      <c r="J6" s="36"/>
      <c r="K6" s="36"/>
    </row>
    <row r="7" spans="1:12" ht="31.2" customHeight="1" x14ac:dyDescent="0.3">
      <c r="C7" s="36"/>
      <c r="D7" s="40" t="s">
        <v>118</v>
      </c>
      <c r="E7" s="40" t="s">
        <v>36</v>
      </c>
      <c r="F7" s="40" t="s">
        <v>122</v>
      </c>
      <c r="G7" s="40" t="s">
        <v>117</v>
      </c>
      <c r="H7" s="40" t="s">
        <v>119</v>
      </c>
      <c r="I7" s="36"/>
      <c r="J7" s="36"/>
      <c r="K7" s="36"/>
    </row>
    <row r="8" spans="1:12" ht="31.2" customHeight="1" x14ac:dyDescent="0.3">
      <c r="C8" s="36"/>
      <c r="D8" s="37"/>
      <c r="E8" s="37"/>
      <c r="F8" s="38" t="str">
        <f t="shared" ref="F8:F10" si="0">+MID(D8,1,1)</f>
        <v/>
      </c>
      <c r="G8" s="37"/>
      <c r="H8" s="37"/>
      <c r="I8" s="36"/>
      <c r="J8" s="36"/>
      <c r="K8" s="36"/>
    </row>
    <row r="9" spans="1:12" ht="31.2" customHeight="1" x14ac:dyDescent="0.3">
      <c r="B9" s="29"/>
      <c r="C9" s="36"/>
      <c r="D9" s="37"/>
      <c r="E9" s="37"/>
      <c r="F9" s="38" t="str">
        <f t="shared" si="0"/>
        <v/>
      </c>
      <c r="G9" s="37"/>
      <c r="H9" s="37"/>
      <c r="I9" s="36"/>
      <c r="J9" s="36"/>
      <c r="K9" s="36"/>
    </row>
    <row r="10" spans="1:12" ht="31.2" customHeight="1" x14ac:dyDescent="0.3">
      <c r="B10" s="29"/>
      <c r="D10" s="37"/>
      <c r="E10" s="37"/>
      <c r="F10" s="38" t="str">
        <f t="shared" si="0"/>
        <v/>
      </c>
      <c r="G10" s="37"/>
      <c r="H10" s="37"/>
      <c r="I10" s="36"/>
      <c r="J10" s="36"/>
      <c r="K10" s="36"/>
    </row>
    <row r="11" spans="1:12" ht="31.2" customHeight="1" x14ac:dyDescent="0.3">
      <c r="B11" s="29"/>
      <c r="D11" s="27"/>
      <c r="E11" s="27"/>
      <c r="F11" s="28" t="str">
        <f t="shared" ref="F11:F12" si="1">+MID(D11,1,1)</f>
        <v/>
      </c>
      <c r="G11" s="27"/>
      <c r="H11" s="27"/>
    </row>
    <row r="12" spans="1:12" ht="15.6" x14ac:dyDescent="0.3">
      <c r="B12" s="29"/>
      <c r="D12" s="27"/>
      <c r="E12" s="27"/>
      <c r="F12" s="28" t="str">
        <f t="shared" si="1"/>
        <v/>
      </c>
      <c r="G12" s="27"/>
      <c r="H12" s="27"/>
    </row>
    <row r="13" spans="1:12" ht="15.6" x14ac:dyDescent="0.3">
      <c r="B13" s="29"/>
      <c r="D13" s="27"/>
      <c r="E13" s="27"/>
      <c r="F13" s="28"/>
      <c r="G13" s="27"/>
      <c r="H13" s="27"/>
    </row>
    <row r="14" spans="1:12" ht="15.6" customHeight="1" x14ac:dyDescent="0.3">
      <c r="D14" s="27"/>
      <c r="E14" s="27"/>
      <c r="G14" s="27"/>
      <c r="H14" s="111"/>
      <c r="I14" s="111"/>
      <c r="J14" s="111"/>
    </row>
    <row r="15" spans="1:12" ht="15.6" x14ac:dyDescent="0.3">
      <c r="D15" s="27"/>
      <c r="E15" s="27"/>
      <c r="G15" s="27"/>
      <c r="H15" s="27"/>
    </row>
    <row r="16" spans="1:12" ht="15.6" x14ac:dyDescent="0.3">
      <c r="D16" s="27"/>
      <c r="E16" s="27"/>
      <c r="F16" s="28"/>
      <c r="G16" s="27"/>
      <c r="H16" s="27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O172"/>
  <sheetViews>
    <sheetView showGridLines="0" topLeftCell="A18" workbookViewId="0">
      <pane ySplit="2" topLeftCell="A111" activePane="bottomLeft" state="frozen"/>
      <selection activeCell="A18" sqref="A18"/>
      <selection pane="bottomLeft" activeCell="M126" sqref="M126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5" max="5" width="9.88671875" bestFit="1" customWidth="1"/>
    <col min="6" max="6" width="14.33203125" bestFit="1" customWidth="1"/>
  </cols>
  <sheetData>
    <row r="3" spans="2:15" x14ac:dyDescent="0.3">
      <c r="C3" s="1">
        <f>+C10+F145+IF(D3&gt;=60,1,0)</f>
        <v>10</v>
      </c>
      <c r="D3" s="1">
        <f>+D10+F146+IF(E3&gt;=60,1,0)</f>
        <v>86</v>
      </c>
      <c r="E3" s="25">
        <f>+E10+F147</f>
        <v>65</v>
      </c>
    </row>
    <row r="4" spans="2:15" x14ac:dyDescent="0.3">
      <c r="C4" s="23">
        <f>+C3</f>
        <v>10</v>
      </c>
      <c r="D4" s="23">
        <f>+IF(D3&gt;=60,D3-60,D3)</f>
        <v>26</v>
      </c>
      <c r="E4" s="24">
        <f>+IF(E3&gt;=60,E3-60,E3)</f>
        <v>5</v>
      </c>
      <c r="F4" s="16"/>
      <c r="G4" s="16"/>
      <c r="H4" s="16"/>
      <c r="K4" s="112" t="str">
        <f>+CONCATENATE("Elemento ",C21)</f>
        <v>Elemento P</v>
      </c>
      <c r="L4" s="113"/>
      <c r="N4" s="112" t="str">
        <f>+CONCATENATE("Elemento ",C22)</f>
        <v>Elemento C</v>
      </c>
      <c r="O4" s="113"/>
    </row>
    <row r="5" spans="2:15" x14ac:dyDescent="0.3">
      <c r="C5" s="16"/>
      <c r="D5" s="16"/>
      <c r="E5" s="22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1" t="s">
        <v>18</v>
      </c>
      <c r="L6" s="31" t="s">
        <v>19</v>
      </c>
      <c r="N6" s="31" t="s">
        <v>18</v>
      </c>
      <c r="O6" s="31" t="s">
        <v>19</v>
      </c>
    </row>
    <row r="7" spans="2:15" x14ac:dyDescent="0.3">
      <c r="C7" s="18"/>
      <c r="D7" s="16"/>
      <c r="E7" s="16"/>
      <c r="F7" s="16"/>
      <c r="K7" s="3">
        <f ca="1">+OFFSET(D21,H15,0)</f>
        <v>90</v>
      </c>
      <c r="L7" s="3">
        <f ca="1">+OFFSET(E21,H15,0)</f>
        <v>4192</v>
      </c>
      <c r="N7" s="3">
        <f ca="1">+OFFSET(D22,H15,0)</f>
        <v>95</v>
      </c>
      <c r="O7" s="3">
        <f ca="1">+OFFSET(E22,H15,0)</f>
        <v>7721</v>
      </c>
    </row>
    <row r="8" spans="2:15" x14ac:dyDescent="0.3">
      <c r="C8" s="31" t="s">
        <v>0</v>
      </c>
      <c r="D8" s="31" t="s">
        <v>1</v>
      </c>
      <c r="E8" s="31" t="s">
        <v>2</v>
      </c>
      <c r="K8" s="3">
        <f t="shared" ref="K8:K26" ca="1" si="0">+OFFSET(D22,H16,0)</f>
        <v>100</v>
      </c>
      <c r="L8" s="3">
        <f t="shared" ref="L8:L26" ca="1" si="1">+OFFSET(E22,H16,0)</f>
        <v>4144</v>
      </c>
      <c r="N8" s="3">
        <f t="shared" ref="N8:N26" ca="1" si="2">+OFFSET(D23,H16,0)</f>
        <v>100</v>
      </c>
      <c r="O8" s="3">
        <f t="shared" ref="O8:O26" ca="1" si="3">+OFFSET(E23,H16,0)</f>
        <v>7703</v>
      </c>
    </row>
    <row r="9" spans="2:15" x14ac:dyDescent="0.3">
      <c r="B9" s="32" t="s">
        <v>3</v>
      </c>
      <c r="C9" s="30">
        <f>+C4</f>
        <v>10</v>
      </c>
      <c r="D9" s="30">
        <f>+D4</f>
        <v>26</v>
      </c>
      <c r="E9" s="30">
        <f>+E4</f>
        <v>5</v>
      </c>
      <c r="G9" s="16"/>
      <c r="H9" s="16"/>
      <c r="K9" s="3">
        <f t="shared" ca="1" si="0"/>
        <v>95</v>
      </c>
      <c r="L9" s="3">
        <f t="shared" ca="1" si="1"/>
        <v>4286</v>
      </c>
      <c r="N9" s="3">
        <f t="shared" ca="1" si="2"/>
        <v>95</v>
      </c>
      <c r="O9" s="3">
        <f t="shared" ca="1" si="3"/>
        <v>7726</v>
      </c>
    </row>
    <row r="10" spans="2:15" x14ac:dyDescent="0.3">
      <c r="B10" s="32" t="s">
        <v>6</v>
      </c>
      <c r="C10" s="30">
        <v>9</v>
      </c>
      <c r="D10" s="30">
        <v>26</v>
      </c>
      <c r="E10" s="30">
        <v>5</v>
      </c>
      <c r="G10" s="16"/>
      <c r="H10" s="16"/>
      <c r="K10" s="3">
        <f t="shared" ca="1" si="0"/>
        <v>90</v>
      </c>
      <c r="L10" s="3">
        <f t="shared" ca="1" si="1"/>
        <v>4217</v>
      </c>
      <c r="N10" s="3">
        <f t="shared" ca="1" si="2"/>
        <v>95</v>
      </c>
      <c r="O10" s="3">
        <f t="shared" ca="1" si="3"/>
        <v>7621</v>
      </c>
    </row>
    <row r="11" spans="2:15" x14ac:dyDescent="0.3">
      <c r="G11" s="16"/>
      <c r="H11" s="16"/>
      <c r="K11" s="3">
        <f t="shared" ca="1" si="0"/>
        <v>105</v>
      </c>
      <c r="L11" s="3">
        <f t="shared" ca="1" si="1"/>
        <v>4268</v>
      </c>
      <c r="N11" s="3">
        <f t="shared" ca="1" si="2"/>
        <v>90</v>
      </c>
      <c r="O11" s="3">
        <f t="shared" ca="1" si="3"/>
        <v>7794</v>
      </c>
    </row>
    <row r="12" spans="2:15" x14ac:dyDescent="0.3">
      <c r="B12" s="1"/>
      <c r="G12" s="16"/>
      <c r="H12" s="16"/>
      <c r="K12" s="3">
        <f t="shared" ca="1" si="0"/>
        <v>95</v>
      </c>
      <c r="L12" s="3">
        <f t="shared" ca="1" si="1"/>
        <v>4255</v>
      </c>
      <c r="N12" s="3">
        <f t="shared" ca="1" si="2"/>
        <v>90</v>
      </c>
      <c r="O12" s="3">
        <f t="shared" ca="1" si="3"/>
        <v>7678</v>
      </c>
    </row>
    <row r="13" spans="2:15" x14ac:dyDescent="0.3">
      <c r="B13" s="1"/>
      <c r="G13" s="16"/>
      <c r="H13" s="16"/>
      <c r="K13" s="3">
        <f t="shared" ca="1" si="0"/>
        <v>95</v>
      </c>
      <c r="L13" s="3">
        <f t="shared" ca="1" si="1"/>
        <v>4167</v>
      </c>
      <c r="N13" s="3">
        <f t="shared" ca="1" si="2"/>
        <v>100</v>
      </c>
      <c r="O13" s="3">
        <f t="shared" ca="1" si="3"/>
        <v>7759</v>
      </c>
    </row>
    <row r="14" spans="2:15" x14ac:dyDescent="0.3">
      <c r="B14" s="1"/>
      <c r="K14" s="3">
        <f t="shared" ca="1" si="0"/>
        <v>90</v>
      </c>
      <c r="L14" s="3">
        <f t="shared" ca="1" si="1"/>
        <v>4231</v>
      </c>
      <c r="N14" s="3">
        <f t="shared" ca="1" si="2"/>
        <v>95</v>
      </c>
      <c r="O14" s="3">
        <f t="shared" ca="1" si="3"/>
        <v>7793</v>
      </c>
    </row>
    <row r="15" spans="2:15" x14ac:dyDescent="0.3">
      <c r="B15" s="1"/>
      <c r="C15" s="115" t="s">
        <v>143</v>
      </c>
      <c r="D15" s="115"/>
      <c r="E15" s="115"/>
      <c r="F15" s="116"/>
      <c r="G15" s="19">
        <v>5</v>
      </c>
      <c r="H15" s="14">
        <v>0</v>
      </c>
      <c r="K15" s="3">
        <f t="shared" ca="1" si="0"/>
        <v>95</v>
      </c>
      <c r="L15" s="3">
        <f t="shared" ca="1" si="1"/>
        <v>4177</v>
      </c>
      <c r="N15" s="3">
        <f t="shared" ca="1" si="2"/>
        <v>100</v>
      </c>
      <c r="O15" s="3">
        <f t="shared" ca="1" si="3"/>
        <v>7613</v>
      </c>
    </row>
    <row r="16" spans="2:15" x14ac:dyDescent="0.3">
      <c r="B16" s="1"/>
      <c r="H16" s="14">
        <f>+H15+$G$15-1</f>
        <v>4</v>
      </c>
      <c r="K16" s="3">
        <f t="shared" ca="1" si="0"/>
        <v>100</v>
      </c>
      <c r="L16" s="3">
        <f t="shared" ca="1" si="1"/>
        <v>4173</v>
      </c>
      <c r="N16" s="3">
        <f t="shared" ca="1" si="2"/>
        <v>90</v>
      </c>
      <c r="O16" s="3">
        <f t="shared" ca="1" si="3"/>
        <v>7752</v>
      </c>
    </row>
    <row r="17" spans="1:15" x14ac:dyDescent="0.3">
      <c r="C17" s="16"/>
      <c r="H17" s="14">
        <f t="shared" ref="H17:H34" si="4">+H16+$G$15-1</f>
        <v>8</v>
      </c>
      <c r="K17" s="3">
        <f t="shared" ca="1" si="0"/>
        <v>105</v>
      </c>
      <c r="L17" s="3">
        <f t="shared" ca="1" si="1"/>
        <v>4274</v>
      </c>
      <c r="N17" s="3">
        <f t="shared" ca="1" si="2"/>
        <v>100</v>
      </c>
      <c r="O17" s="3">
        <f t="shared" ca="1" si="3"/>
        <v>7699</v>
      </c>
    </row>
    <row r="18" spans="1:15" ht="15.6" x14ac:dyDescent="0.3">
      <c r="A18" s="44"/>
      <c r="B18" s="44"/>
      <c r="C18" s="44"/>
      <c r="D18" s="44"/>
      <c r="E18" s="44"/>
      <c r="F18" s="44"/>
      <c r="G18" s="44"/>
      <c r="H18" s="14">
        <f t="shared" si="4"/>
        <v>12</v>
      </c>
      <c r="K18" s="3">
        <f t="shared" ca="1" si="0"/>
        <v>95</v>
      </c>
      <c r="L18" s="3">
        <f t="shared" ca="1" si="1"/>
        <v>4262</v>
      </c>
      <c r="N18" s="3">
        <f t="shared" ca="1" si="2"/>
        <v>100</v>
      </c>
      <c r="O18" s="3">
        <f t="shared" ca="1" si="3"/>
        <v>7796</v>
      </c>
    </row>
    <row r="19" spans="1:15" ht="15.6" x14ac:dyDescent="0.3">
      <c r="A19" s="44"/>
      <c r="B19" s="41"/>
      <c r="C19" s="39" t="s">
        <v>28</v>
      </c>
      <c r="D19" s="39" t="s">
        <v>18</v>
      </c>
      <c r="E19" s="39" t="s">
        <v>19</v>
      </c>
      <c r="F19" s="44"/>
      <c r="G19" s="44"/>
      <c r="H19" s="14">
        <f t="shared" si="4"/>
        <v>16</v>
      </c>
      <c r="K19" s="3">
        <f t="shared" ca="1" si="0"/>
        <v>90</v>
      </c>
      <c r="L19" s="3">
        <f t="shared" ca="1" si="1"/>
        <v>4277</v>
      </c>
      <c r="N19" s="3">
        <f t="shared" ca="1" si="2"/>
        <v>95</v>
      </c>
      <c r="O19" s="3">
        <f t="shared" ca="1" si="3"/>
        <v>7622</v>
      </c>
    </row>
    <row r="20" spans="1:15" ht="15.6" x14ac:dyDescent="0.3">
      <c r="A20" s="44"/>
      <c r="B20" s="42" t="str">
        <f>+CONCATENATE("E = ",C10,"h",D10,"'",E10,"''")</f>
        <v>E = 9h26'5''</v>
      </c>
      <c r="C20" s="41" t="s">
        <v>11</v>
      </c>
      <c r="D20" s="41" t="s">
        <v>53</v>
      </c>
      <c r="E20" s="41">
        <v>3171</v>
      </c>
      <c r="F20" s="44"/>
      <c r="G20" s="44"/>
      <c r="H20" s="14">
        <f t="shared" si="4"/>
        <v>20</v>
      </c>
      <c r="K20" s="3">
        <f t="shared" ca="1" si="0"/>
        <v>100</v>
      </c>
      <c r="L20" s="3">
        <f t="shared" ca="1" si="1"/>
        <v>4159</v>
      </c>
      <c r="N20" s="3">
        <f t="shared" ca="1" si="2"/>
        <v>105</v>
      </c>
      <c r="O20" s="3">
        <f t="shared" ca="1" si="3"/>
        <v>7680</v>
      </c>
    </row>
    <row r="21" spans="1:15" ht="15.6" x14ac:dyDescent="0.3">
      <c r="A21" s="44"/>
      <c r="B21" s="114" t="s">
        <v>62</v>
      </c>
      <c r="C21" s="41" t="str">
        <f>+'Elementos de la operación'!F3</f>
        <v>P</v>
      </c>
      <c r="D21" s="41">
        <v>90</v>
      </c>
      <c r="E21" s="41">
        <v>4192</v>
      </c>
      <c r="F21" s="44"/>
      <c r="G21" s="44"/>
      <c r="H21" s="14">
        <f t="shared" si="4"/>
        <v>24</v>
      </c>
      <c r="K21" s="3">
        <f t="shared" ca="1" si="0"/>
        <v>90</v>
      </c>
      <c r="L21" s="3">
        <f t="shared" ca="1" si="1"/>
        <v>4103</v>
      </c>
      <c r="N21" s="3">
        <f t="shared" ca="1" si="2"/>
        <v>95</v>
      </c>
      <c r="O21" s="3">
        <f t="shared" ca="1" si="3"/>
        <v>7639</v>
      </c>
    </row>
    <row r="22" spans="1:15" ht="15.6" x14ac:dyDescent="0.3">
      <c r="A22" s="44"/>
      <c r="B22" s="114"/>
      <c r="C22" s="41" t="str">
        <f>+'Elementos de la operación'!F4</f>
        <v>C</v>
      </c>
      <c r="D22" s="41">
        <v>95</v>
      </c>
      <c r="E22" s="41">
        <v>7721</v>
      </c>
      <c r="F22" s="44"/>
      <c r="G22" s="44"/>
      <c r="H22" s="14">
        <f t="shared" si="4"/>
        <v>28</v>
      </c>
      <c r="K22" s="3">
        <f t="shared" ca="1" si="0"/>
        <v>85</v>
      </c>
      <c r="L22" s="3">
        <f t="shared" ca="1" si="1"/>
        <v>4296</v>
      </c>
      <c r="N22" s="3">
        <f t="shared" ca="1" si="2"/>
        <v>100</v>
      </c>
      <c r="O22" s="3">
        <f t="shared" ca="1" si="3"/>
        <v>7800</v>
      </c>
    </row>
    <row r="23" spans="1:15" ht="15.6" x14ac:dyDescent="0.3">
      <c r="A23" s="44"/>
      <c r="B23" s="114"/>
      <c r="C23" s="41" t="str">
        <f>+'Elementos de la operación'!F5</f>
        <v>Q</v>
      </c>
      <c r="D23" s="41">
        <v>90</v>
      </c>
      <c r="E23" s="41">
        <v>2143</v>
      </c>
      <c r="F23" s="44"/>
      <c r="G23" s="44"/>
      <c r="H23" s="14">
        <f t="shared" si="4"/>
        <v>32</v>
      </c>
      <c r="K23" s="3">
        <f t="shared" ca="1" si="0"/>
        <v>105</v>
      </c>
      <c r="L23" s="3">
        <f t="shared" ca="1" si="1"/>
        <v>4259</v>
      </c>
      <c r="N23" s="3">
        <f t="shared" ca="1" si="2"/>
        <v>105</v>
      </c>
      <c r="O23" s="3">
        <f t="shared" ca="1" si="3"/>
        <v>7682</v>
      </c>
    </row>
    <row r="24" spans="1:15" ht="15.6" x14ac:dyDescent="0.3">
      <c r="A24" s="44"/>
      <c r="B24" s="114"/>
      <c r="C24" s="41" t="str">
        <f>+'Elementos de la operación'!F6</f>
        <v>T</v>
      </c>
      <c r="D24" s="41">
        <v>90</v>
      </c>
      <c r="E24" s="41">
        <v>1306</v>
      </c>
      <c r="F24" s="44"/>
      <c r="G24" s="44"/>
      <c r="H24" s="14">
        <f t="shared" si="4"/>
        <v>36</v>
      </c>
      <c r="K24" s="3">
        <f t="shared" ca="1" si="0"/>
        <v>95</v>
      </c>
      <c r="L24" s="3">
        <f t="shared" ca="1" si="1"/>
        <v>4176</v>
      </c>
      <c r="N24" s="3">
        <f t="shared" ca="1" si="2"/>
        <v>100</v>
      </c>
      <c r="O24" s="3">
        <f t="shared" ca="1" si="3"/>
        <v>7616</v>
      </c>
    </row>
    <row r="25" spans="1:15" ht="15.6" x14ac:dyDescent="0.3">
      <c r="A25" s="44"/>
      <c r="B25" s="114"/>
      <c r="C25" s="41" t="str">
        <f>+'Elementos de la operación'!F7</f>
        <v>J</v>
      </c>
      <c r="D25" s="41">
        <v>95</v>
      </c>
      <c r="E25" s="41">
        <v>2350</v>
      </c>
      <c r="F25" s="44"/>
      <c r="G25" s="44"/>
      <c r="H25" s="14">
        <f t="shared" si="4"/>
        <v>40</v>
      </c>
      <c r="K25" s="3">
        <f t="shared" ca="1" si="0"/>
        <v>90</v>
      </c>
      <c r="L25" s="3">
        <f t="shared" ca="1" si="1"/>
        <v>4117</v>
      </c>
      <c r="N25" s="3">
        <f t="shared" ca="1" si="2"/>
        <v>105</v>
      </c>
      <c r="O25" s="3">
        <f t="shared" ca="1" si="3"/>
        <v>7609</v>
      </c>
    </row>
    <row r="26" spans="1:15" ht="15.6" x14ac:dyDescent="0.3">
      <c r="A26" s="44"/>
      <c r="B26" s="114" t="s">
        <v>63</v>
      </c>
      <c r="C26" s="41" t="str">
        <f>+C21</f>
        <v>P</v>
      </c>
      <c r="D26" s="41">
        <v>100</v>
      </c>
      <c r="E26" s="41">
        <v>4144</v>
      </c>
      <c r="F26" s="44"/>
      <c r="G26" s="44"/>
      <c r="H26" s="14">
        <f t="shared" si="4"/>
        <v>44</v>
      </c>
      <c r="K26" s="3">
        <f t="shared" ca="1" si="0"/>
        <v>100</v>
      </c>
      <c r="L26" s="3">
        <f t="shared" ca="1" si="1"/>
        <v>4151</v>
      </c>
      <c r="N26" s="3">
        <f t="shared" ca="1" si="2"/>
        <v>95</v>
      </c>
      <c r="O26" s="3">
        <f t="shared" ca="1" si="3"/>
        <v>7681</v>
      </c>
    </row>
    <row r="27" spans="1:15" ht="15.6" x14ac:dyDescent="0.3">
      <c r="A27" s="44"/>
      <c r="B27" s="114"/>
      <c r="C27" s="41" t="str">
        <f t="shared" ref="C27:C90" si="5">+C22</f>
        <v>C</v>
      </c>
      <c r="D27" s="41">
        <v>100</v>
      </c>
      <c r="E27" s="41">
        <v>7703</v>
      </c>
      <c r="F27" s="44"/>
      <c r="G27" s="44"/>
      <c r="H27" s="14">
        <f t="shared" si="4"/>
        <v>48</v>
      </c>
    </row>
    <row r="28" spans="1:15" ht="15.6" x14ac:dyDescent="0.3">
      <c r="A28" s="44"/>
      <c r="B28" s="114"/>
      <c r="C28" s="41" t="str">
        <f t="shared" si="5"/>
        <v>Q</v>
      </c>
      <c r="D28" s="41">
        <v>85</v>
      </c>
      <c r="E28" s="41">
        <v>2280</v>
      </c>
      <c r="F28" s="44"/>
      <c r="G28" s="44"/>
      <c r="H28" s="14">
        <f t="shared" si="4"/>
        <v>52</v>
      </c>
    </row>
    <row r="29" spans="1:15" ht="15.6" x14ac:dyDescent="0.3">
      <c r="A29" s="44"/>
      <c r="B29" s="114"/>
      <c r="C29" s="41" t="str">
        <f t="shared" si="5"/>
        <v>T</v>
      </c>
      <c r="D29" s="41">
        <v>100</v>
      </c>
      <c r="E29" s="41">
        <v>1359</v>
      </c>
      <c r="F29" s="44"/>
      <c r="G29" s="44"/>
      <c r="H29" s="14">
        <f t="shared" si="4"/>
        <v>56</v>
      </c>
      <c r="K29" s="112" t="str">
        <f>+CONCATENATE("Elemento ",C23)</f>
        <v>Elemento Q</v>
      </c>
      <c r="L29" s="113"/>
      <c r="N29" s="112" t="str">
        <f>+CONCATENATE("Elemento ",C24)</f>
        <v>Elemento T</v>
      </c>
      <c r="O29" s="113"/>
    </row>
    <row r="30" spans="1:15" ht="15.6" x14ac:dyDescent="0.3">
      <c r="A30" s="44"/>
      <c r="B30" s="114"/>
      <c r="C30" s="41" t="str">
        <f t="shared" si="5"/>
        <v>J</v>
      </c>
      <c r="D30" s="41">
        <v>95</v>
      </c>
      <c r="E30" s="41">
        <v>2382</v>
      </c>
      <c r="F30" s="44"/>
      <c r="G30" s="44"/>
      <c r="H30" s="14">
        <f t="shared" si="4"/>
        <v>60</v>
      </c>
    </row>
    <row r="31" spans="1:15" ht="15.6" x14ac:dyDescent="0.3">
      <c r="A31" s="44"/>
      <c r="B31" s="114" t="s">
        <v>64</v>
      </c>
      <c r="C31" s="41" t="str">
        <f t="shared" si="5"/>
        <v>P</v>
      </c>
      <c r="D31" s="41">
        <v>95</v>
      </c>
      <c r="E31" s="41">
        <v>4286</v>
      </c>
      <c r="F31" s="44"/>
      <c r="G31" s="44"/>
      <c r="H31" s="14">
        <f t="shared" si="4"/>
        <v>64</v>
      </c>
      <c r="K31" s="31" t="s">
        <v>18</v>
      </c>
      <c r="L31" s="31" t="s">
        <v>19</v>
      </c>
      <c r="N31" s="31" t="s">
        <v>18</v>
      </c>
      <c r="O31" s="31" t="s">
        <v>19</v>
      </c>
    </row>
    <row r="32" spans="1:15" ht="15.6" x14ac:dyDescent="0.3">
      <c r="A32" s="44"/>
      <c r="B32" s="114"/>
      <c r="C32" s="41" t="str">
        <f t="shared" si="5"/>
        <v>C</v>
      </c>
      <c r="D32" s="41">
        <v>95</v>
      </c>
      <c r="E32" s="41">
        <v>7726</v>
      </c>
      <c r="F32" s="44"/>
      <c r="G32" s="44"/>
      <c r="H32" s="14">
        <f t="shared" si="4"/>
        <v>68</v>
      </c>
      <c r="K32" s="3">
        <f ca="1">+OFFSET(D23,H15,0)</f>
        <v>90</v>
      </c>
      <c r="L32" s="3">
        <f ca="1">+OFFSET(E23,H15,0)</f>
        <v>2143</v>
      </c>
      <c r="N32" s="3">
        <f ca="1">+OFFSET(D24,H15,0)</f>
        <v>90</v>
      </c>
      <c r="O32" s="3">
        <f ca="1">+OFFSET(E24,H15,0)</f>
        <v>1306</v>
      </c>
    </row>
    <row r="33" spans="1:15" ht="15.6" x14ac:dyDescent="0.3">
      <c r="A33" s="44"/>
      <c r="B33" s="114"/>
      <c r="C33" s="41" t="str">
        <f t="shared" si="5"/>
        <v>Q</v>
      </c>
      <c r="D33" s="41">
        <v>100</v>
      </c>
      <c r="E33" s="41">
        <v>2025</v>
      </c>
      <c r="F33" s="44"/>
      <c r="G33" s="44"/>
      <c r="H33" s="14">
        <f t="shared" si="4"/>
        <v>72</v>
      </c>
      <c r="K33" s="3">
        <f t="shared" ref="K33:K51" ca="1" si="6">+OFFSET(D24,H16,0)</f>
        <v>85</v>
      </c>
      <c r="L33" s="3">
        <f t="shared" ref="L33:L51" ca="1" si="7">+OFFSET(E24,H16,0)</f>
        <v>2280</v>
      </c>
      <c r="N33" s="3">
        <f t="shared" ref="N33:N51" ca="1" si="8">+OFFSET(D25,H16,0)</f>
        <v>100</v>
      </c>
      <c r="O33" s="3">
        <f t="shared" ref="O33:O51" ca="1" si="9">+OFFSET(E25,H16,0)</f>
        <v>1359</v>
      </c>
    </row>
    <row r="34" spans="1:15" ht="15.6" x14ac:dyDescent="0.3">
      <c r="A34" s="44"/>
      <c r="B34" s="114"/>
      <c r="C34" s="41" t="str">
        <f t="shared" si="5"/>
        <v>T</v>
      </c>
      <c r="D34" s="41">
        <v>105</v>
      </c>
      <c r="E34" s="41">
        <v>1429</v>
      </c>
      <c r="F34" s="44"/>
      <c r="G34" s="44"/>
      <c r="H34" s="14">
        <f t="shared" si="4"/>
        <v>76</v>
      </c>
      <c r="K34" s="3">
        <f t="shared" ca="1" si="6"/>
        <v>100</v>
      </c>
      <c r="L34" s="3">
        <f t="shared" ca="1" si="7"/>
        <v>2025</v>
      </c>
      <c r="N34" s="3">
        <f t="shared" ca="1" si="8"/>
        <v>105</v>
      </c>
      <c r="O34" s="3">
        <f t="shared" ca="1" si="9"/>
        <v>1429</v>
      </c>
    </row>
    <row r="35" spans="1:15" ht="15.6" x14ac:dyDescent="0.3">
      <c r="A35" s="44"/>
      <c r="B35" s="114"/>
      <c r="C35" s="41" t="str">
        <f t="shared" si="5"/>
        <v>J</v>
      </c>
      <c r="D35" s="41">
        <v>100</v>
      </c>
      <c r="E35" s="41">
        <v>2301</v>
      </c>
      <c r="F35" s="44"/>
      <c r="G35" s="44"/>
      <c r="K35" s="3">
        <f t="shared" ca="1" si="6"/>
        <v>90</v>
      </c>
      <c r="L35" s="3">
        <f t="shared" ca="1" si="7"/>
        <v>2017</v>
      </c>
      <c r="N35" s="3">
        <f t="shared" ca="1" si="8"/>
        <v>100</v>
      </c>
      <c r="O35" s="3">
        <f t="shared" ca="1" si="9"/>
        <v>1318</v>
      </c>
    </row>
    <row r="36" spans="1:15" ht="15.6" x14ac:dyDescent="0.3">
      <c r="A36" s="44"/>
      <c r="B36" s="114" t="s">
        <v>65</v>
      </c>
      <c r="C36" s="41" t="str">
        <f t="shared" si="5"/>
        <v>P</v>
      </c>
      <c r="D36" s="41">
        <v>90</v>
      </c>
      <c r="E36" s="41">
        <v>4217</v>
      </c>
      <c r="F36" s="44"/>
      <c r="G36" s="44"/>
      <c r="K36" s="3">
        <f t="shared" ca="1" si="6"/>
        <v>100</v>
      </c>
      <c r="L36" s="3">
        <f t="shared" ca="1" si="7"/>
        <v>2177</v>
      </c>
      <c r="N36" s="3">
        <f t="shared" ca="1" si="8"/>
        <v>100</v>
      </c>
      <c r="O36" s="3">
        <f t="shared" ca="1" si="9"/>
        <v>1364</v>
      </c>
    </row>
    <row r="37" spans="1:15" ht="15.6" x14ac:dyDescent="0.3">
      <c r="A37" s="44"/>
      <c r="B37" s="114"/>
      <c r="C37" s="41" t="str">
        <f t="shared" si="5"/>
        <v>C</v>
      </c>
      <c r="D37" s="41">
        <v>95</v>
      </c>
      <c r="E37" s="41">
        <v>7621</v>
      </c>
      <c r="F37" s="44"/>
      <c r="G37" s="44"/>
      <c r="K37" s="3">
        <f t="shared" ca="1" si="6"/>
        <v>95</v>
      </c>
      <c r="L37" s="3">
        <f t="shared" ca="1" si="7"/>
        <v>2039</v>
      </c>
      <c r="N37" s="3">
        <f t="shared" ca="1" si="8"/>
        <v>90</v>
      </c>
      <c r="O37" s="3">
        <f t="shared" ca="1" si="9"/>
        <v>1476</v>
      </c>
    </row>
    <row r="38" spans="1:15" ht="15.6" x14ac:dyDescent="0.3">
      <c r="A38" s="44"/>
      <c r="B38" s="114"/>
      <c r="C38" s="41" t="str">
        <f t="shared" si="5"/>
        <v>Q</v>
      </c>
      <c r="D38" s="41">
        <v>90</v>
      </c>
      <c r="E38" s="41">
        <v>2017</v>
      </c>
      <c r="F38" s="44"/>
      <c r="G38" s="44"/>
      <c r="K38" s="3">
        <f t="shared" ca="1" si="6"/>
        <v>100</v>
      </c>
      <c r="L38" s="3">
        <f t="shared" ca="1" si="7"/>
        <v>2201</v>
      </c>
      <c r="N38" s="3">
        <f t="shared" ca="1" si="8"/>
        <v>95</v>
      </c>
      <c r="O38" s="3">
        <f t="shared" ca="1" si="9"/>
        <v>1434</v>
      </c>
    </row>
    <row r="39" spans="1:15" ht="15.6" x14ac:dyDescent="0.3">
      <c r="A39" s="44"/>
      <c r="B39" s="114"/>
      <c r="C39" s="41" t="str">
        <f t="shared" si="5"/>
        <v>T</v>
      </c>
      <c r="D39" s="41">
        <v>100</v>
      </c>
      <c r="E39" s="41">
        <v>1318</v>
      </c>
      <c r="F39" s="44"/>
      <c r="G39" s="44"/>
      <c r="K39" s="3">
        <f t="shared" ca="1" si="6"/>
        <v>95</v>
      </c>
      <c r="L39" s="3">
        <f t="shared" ca="1" si="7"/>
        <v>2292</v>
      </c>
      <c r="N39" s="3">
        <f t="shared" ca="1" si="8"/>
        <v>105</v>
      </c>
      <c r="O39" s="3">
        <f t="shared" ca="1" si="9"/>
        <v>1207</v>
      </c>
    </row>
    <row r="40" spans="1:15" ht="15.6" x14ac:dyDescent="0.3">
      <c r="A40" s="44"/>
      <c r="B40" s="114"/>
      <c r="C40" s="41" t="str">
        <f t="shared" si="5"/>
        <v>J</v>
      </c>
      <c r="D40" s="41">
        <v>100</v>
      </c>
      <c r="E40" s="41">
        <v>2257</v>
      </c>
      <c r="F40" s="44"/>
      <c r="G40" s="44"/>
      <c r="K40" s="3">
        <f t="shared" ca="1" si="6"/>
        <v>95</v>
      </c>
      <c r="L40" s="3">
        <f t="shared" ca="1" si="7"/>
        <v>2125</v>
      </c>
      <c r="N40" s="3">
        <f t="shared" ca="1" si="8"/>
        <v>90</v>
      </c>
      <c r="O40" s="3">
        <f t="shared" ca="1" si="9"/>
        <v>1332</v>
      </c>
    </row>
    <row r="41" spans="1:15" ht="15.6" x14ac:dyDescent="0.3">
      <c r="A41" s="44"/>
      <c r="B41" s="114" t="s">
        <v>66</v>
      </c>
      <c r="C41" s="41" t="str">
        <f t="shared" si="5"/>
        <v>P</v>
      </c>
      <c r="D41" s="41">
        <v>105</v>
      </c>
      <c r="E41" s="41">
        <v>4268</v>
      </c>
      <c r="F41" s="44"/>
      <c r="G41" s="44"/>
      <c r="K41" s="3">
        <f t="shared" ca="1" si="6"/>
        <v>90</v>
      </c>
      <c r="L41" s="3">
        <f t="shared" ca="1" si="7"/>
        <v>2193</v>
      </c>
      <c r="N41" s="3">
        <f t="shared" ca="1" si="8"/>
        <v>90</v>
      </c>
      <c r="O41" s="3">
        <f t="shared" ca="1" si="9"/>
        <v>1458</v>
      </c>
    </row>
    <row r="42" spans="1:15" ht="15.6" x14ac:dyDescent="0.3">
      <c r="A42" s="44"/>
      <c r="B42" s="114"/>
      <c r="C42" s="41" t="str">
        <f t="shared" si="5"/>
        <v>C</v>
      </c>
      <c r="D42" s="41">
        <v>90</v>
      </c>
      <c r="E42" s="41">
        <v>7794</v>
      </c>
      <c r="F42" s="44"/>
      <c r="G42" s="44"/>
      <c r="K42" s="3">
        <f t="shared" ca="1" si="6"/>
        <v>90</v>
      </c>
      <c r="L42" s="3">
        <f t="shared" ca="1" si="7"/>
        <v>2259</v>
      </c>
      <c r="N42" s="3">
        <f t="shared" ca="1" si="8"/>
        <v>105</v>
      </c>
      <c r="O42" s="3">
        <f t="shared" ca="1" si="9"/>
        <v>1239</v>
      </c>
    </row>
    <row r="43" spans="1:15" ht="15.6" x14ac:dyDescent="0.3">
      <c r="A43" s="44"/>
      <c r="B43" s="114"/>
      <c r="C43" s="41" t="str">
        <f t="shared" si="5"/>
        <v>Q</v>
      </c>
      <c r="D43" s="41">
        <v>100</v>
      </c>
      <c r="E43" s="41">
        <v>2177</v>
      </c>
      <c r="F43" s="44"/>
      <c r="G43" s="44"/>
      <c r="K43" s="3">
        <f t="shared" ca="1" si="6"/>
        <v>100</v>
      </c>
      <c r="L43" s="3">
        <f t="shared" ca="1" si="7"/>
        <v>2057</v>
      </c>
      <c r="N43" s="3">
        <f t="shared" ca="1" si="8"/>
        <v>95</v>
      </c>
      <c r="O43" s="3">
        <f t="shared" ca="1" si="9"/>
        <v>1386</v>
      </c>
    </row>
    <row r="44" spans="1:15" ht="15.6" x14ac:dyDescent="0.3">
      <c r="A44" s="44"/>
      <c r="B44" s="114"/>
      <c r="C44" s="41" t="str">
        <f t="shared" si="5"/>
        <v>T</v>
      </c>
      <c r="D44" s="41">
        <v>100</v>
      </c>
      <c r="E44" s="41">
        <v>1364</v>
      </c>
      <c r="F44" s="44"/>
      <c r="G44" s="44"/>
      <c r="K44" s="3">
        <f t="shared" ca="1" si="6"/>
        <v>100</v>
      </c>
      <c r="L44" s="3">
        <f t="shared" ca="1" si="7"/>
        <v>2203</v>
      </c>
      <c r="N44" s="3">
        <f t="shared" ca="1" si="8"/>
        <v>105</v>
      </c>
      <c r="O44" s="3">
        <f t="shared" ca="1" si="9"/>
        <v>1348</v>
      </c>
    </row>
    <row r="45" spans="1:15" ht="15.6" x14ac:dyDescent="0.3">
      <c r="A45" s="44"/>
      <c r="B45" s="114"/>
      <c r="C45" s="41" t="str">
        <f t="shared" si="5"/>
        <v>J</v>
      </c>
      <c r="D45" s="41">
        <v>95</v>
      </c>
      <c r="E45" s="41">
        <v>2254</v>
      </c>
      <c r="F45" s="44"/>
      <c r="G45" s="44"/>
      <c r="K45" s="3">
        <f t="shared" ca="1" si="6"/>
        <v>100</v>
      </c>
      <c r="L45" s="3">
        <f t="shared" ca="1" si="7"/>
        <v>2187</v>
      </c>
      <c r="N45" s="3">
        <f t="shared" ca="1" si="8"/>
        <v>100</v>
      </c>
      <c r="O45" s="3">
        <f t="shared" ca="1" si="9"/>
        <v>1290</v>
      </c>
    </row>
    <row r="46" spans="1:15" ht="15.6" x14ac:dyDescent="0.3">
      <c r="A46" s="44"/>
      <c r="B46" s="114" t="s">
        <v>67</v>
      </c>
      <c r="C46" s="41" t="str">
        <f t="shared" si="5"/>
        <v>P</v>
      </c>
      <c r="D46" s="41">
        <v>95</v>
      </c>
      <c r="E46" s="41">
        <v>4255</v>
      </c>
      <c r="F46" s="44"/>
      <c r="G46" s="44"/>
      <c r="K46" s="3">
        <f t="shared" ca="1" si="6"/>
        <v>105</v>
      </c>
      <c r="L46" s="3">
        <f t="shared" ca="1" si="7"/>
        <v>2084</v>
      </c>
      <c r="N46" s="3">
        <f t="shared" ca="1" si="8"/>
        <v>85</v>
      </c>
      <c r="O46" s="3">
        <f t="shared" ca="1" si="9"/>
        <v>1392</v>
      </c>
    </row>
    <row r="47" spans="1:15" ht="15.6" x14ac:dyDescent="0.3">
      <c r="A47" s="44"/>
      <c r="B47" s="114"/>
      <c r="C47" s="41" t="str">
        <f t="shared" si="5"/>
        <v>C</v>
      </c>
      <c r="D47" s="41">
        <v>90</v>
      </c>
      <c r="E47" s="41">
        <v>7678</v>
      </c>
      <c r="F47" s="44"/>
      <c r="G47" s="44"/>
      <c r="K47" s="3">
        <f t="shared" ca="1" si="6"/>
        <v>90</v>
      </c>
      <c r="L47" s="3">
        <f t="shared" ca="1" si="7"/>
        <v>2194</v>
      </c>
      <c r="N47" s="3">
        <f t="shared" ca="1" si="8"/>
        <v>95</v>
      </c>
      <c r="O47" s="3">
        <f t="shared" ca="1" si="9"/>
        <v>1337</v>
      </c>
    </row>
    <row r="48" spans="1:15" ht="15.6" x14ac:dyDescent="0.3">
      <c r="A48" s="44"/>
      <c r="B48" s="114"/>
      <c r="C48" s="41" t="str">
        <f t="shared" si="5"/>
        <v>Q</v>
      </c>
      <c r="D48" s="41">
        <v>95</v>
      </c>
      <c r="E48" s="41">
        <v>2039</v>
      </c>
      <c r="F48" s="44"/>
      <c r="G48" s="44"/>
      <c r="K48" s="3">
        <f t="shared" ca="1" si="6"/>
        <v>95</v>
      </c>
      <c r="L48" s="3">
        <f t="shared" ca="1" si="7"/>
        <v>2245</v>
      </c>
      <c r="N48" s="3">
        <f t="shared" ca="1" si="8"/>
        <v>105</v>
      </c>
      <c r="O48" s="3">
        <f t="shared" ca="1" si="9"/>
        <v>1259</v>
      </c>
    </row>
    <row r="49" spans="1:15" ht="15.6" x14ac:dyDescent="0.3">
      <c r="A49" s="44"/>
      <c r="B49" s="114"/>
      <c r="C49" s="41" t="str">
        <f t="shared" si="5"/>
        <v>T</v>
      </c>
      <c r="D49" s="41">
        <v>90</v>
      </c>
      <c r="E49" s="41">
        <v>1476</v>
      </c>
      <c r="F49" s="44"/>
      <c r="G49" s="44"/>
      <c r="K49" s="3">
        <f t="shared" ca="1" si="6"/>
        <v>105</v>
      </c>
      <c r="L49" s="3">
        <f t="shared" ca="1" si="7"/>
        <v>2002</v>
      </c>
      <c r="N49" s="3">
        <f t="shared" ca="1" si="8"/>
        <v>85</v>
      </c>
      <c r="O49" s="3">
        <f t="shared" ca="1" si="9"/>
        <v>1449</v>
      </c>
    </row>
    <row r="50" spans="1:15" ht="15.6" x14ac:dyDescent="0.3">
      <c r="A50" s="44"/>
      <c r="B50" s="114"/>
      <c r="C50" s="41" t="str">
        <f t="shared" si="5"/>
        <v>J</v>
      </c>
      <c r="D50" s="41">
        <v>95</v>
      </c>
      <c r="E50" s="41">
        <v>2328</v>
      </c>
      <c r="F50" s="44"/>
      <c r="G50" s="44"/>
      <c r="K50" s="3">
        <f t="shared" ca="1" si="6"/>
        <v>90</v>
      </c>
      <c r="L50" s="3">
        <f t="shared" ca="1" si="7"/>
        <v>2255</v>
      </c>
      <c r="N50" s="3">
        <f t="shared" ca="1" si="8"/>
        <v>105</v>
      </c>
      <c r="O50" s="3">
        <f t="shared" ca="1" si="9"/>
        <v>1227</v>
      </c>
    </row>
    <row r="51" spans="1:15" ht="15.6" x14ac:dyDescent="0.3">
      <c r="A51" s="44"/>
      <c r="B51" s="114" t="s">
        <v>68</v>
      </c>
      <c r="C51" s="41" t="str">
        <f t="shared" si="5"/>
        <v>P</v>
      </c>
      <c r="D51" s="41">
        <v>95</v>
      </c>
      <c r="E51" s="41">
        <v>4167</v>
      </c>
      <c r="F51" s="44"/>
      <c r="G51" s="44"/>
      <c r="K51" s="3">
        <f t="shared" ca="1" si="6"/>
        <v>100</v>
      </c>
      <c r="L51" s="3">
        <f t="shared" ca="1" si="7"/>
        <v>2068</v>
      </c>
      <c r="N51" s="3">
        <f t="shared" ca="1" si="8"/>
        <v>105</v>
      </c>
      <c r="O51" s="3">
        <f t="shared" ca="1" si="9"/>
        <v>1339</v>
      </c>
    </row>
    <row r="52" spans="1:15" ht="15.6" x14ac:dyDescent="0.3">
      <c r="A52" s="44"/>
      <c r="B52" s="114"/>
      <c r="C52" s="41" t="str">
        <f t="shared" si="5"/>
        <v>C</v>
      </c>
      <c r="D52" s="41">
        <v>100</v>
      </c>
      <c r="E52" s="41">
        <v>7759</v>
      </c>
      <c r="F52" s="44"/>
      <c r="G52" s="44"/>
    </row>
    <row r="53" spans="1:15" ht="15.6" x14ac:dyDescent="0.3">
      <c r="A53" s="44"/>
      <c r="B53" s="114"/>
      <c r="C53" s="41" t="str">
        <f t="shared" si="5"/>
        <v>Q</v>
      </c>
      <c r="D53" s="41">
        <v>100</v>
      </c>
      <c r="E53" s="41">
        <v>2201</v>
      </c>
      <c r="F53" s="44"/>
      <c r="G53" s="44"/>
    </row>
    <row r="54" spans="1:15" ht="15.6" x14ac:dyDescent="0.3">
      <c r="A54" s="44"/>
      <c r="B54" s="114"/>
      <c r="C54" s="41" t="str">
        <f t="shared" si="5"/>
        <v>T</v>
      </c>
      <c r="D54" s="41">
        <v>95</v>
      </c>
      <c r="E54" s="41">
        <v>1434</v>
      </c>
      <c r="F54" s="44"/>
      <c r="G54" s="44"/>
      <c r="K54" s="112" t="str">
        <f>+CONCATENATE("Elemento ",C25)</f>
        <v>Elemento J</v>
      </c>
      <c r="L54" s="113"/>
    </row>
    <row r="55" spans="1:15" ht="15.6" x14ac:dyDescent="0.3">
      <c r="A55" s="44"/>
      <c r="B55" s="114"/>
      <c r="C55" s="41" t="str">
        <f t="shared" si="5"/>
        <v>J</v>
      </c>
      <c r="D55" s="41">
        <v>100</v>
      </c>
      <c r="E55" s="41">
        <v>2354</v>
      </c>
      <c r="F55" s="44"/>
      <c r="G55" s="44"/>
    </row>
    <row r="56" spans="1:15" ht="15.6" x14ac:dyDescent="0.3">
      <c r="A56" s="44"/>
      <c r="B56" s="114" t="s">
        <v>69</v>
      </c>
      <c r="C56" s="41" t="str">
        <f t="shared" si="5"/>
        <v>P</v>
      </c>
      <c r="D56" s="41">
        <v>90</v>
      </c>
      <c r="E56" s="41">
        <v>4231</v>
      </c>
      <c r="F56" s="44"/>
      <c r="G56" s="44"/>
      <c r="K56" s="31" t="s">
        <v>18</v>
      </c>
      <c r="L56" s="31" t="s">
        <v>19</v>
      </c>
    </row>
    <row r="57" spans="1:15" ht="15.6" x14ac:dyDescent="0.3">
      <c r="A57" s="44"/>
      <c r="B57" s="114"/>
      <c r="C57" s="41" t="str">
        <f t="shared" si="5"/>
        <v>C</v>
      </c>
      <c r="D57" s="41">
        <v>95</v>
      </c>
      <c r="E57" s="41">
        <v>7793</v>
      </c>
      <c r="F57" s="44"/>
      <c r="G57" s="44"/>
      <c r="K57" s="3">
        <f ca="1">+OFFSET(D25,H15,0)</f>
        <v>95</v>
      </c>
      <c r="L57" s="3">
        <f ca="1">+OFFSET(E25,H15,0)</f>
        <v>2350</v>
      </c>
    </row>
    <row r="58" spans="1:15" ht="15.6" x14ac:dyDescent="0.3">
      <c r="A58" s="44"/>
      <c r="B58" s="114"/>
      <c r="C58" s="41" t="str">
        <f t="shared" si="5"/>
        <v>Q</v>
      </c>
      <c r="D58" s="41">
        <v>95</v>
      </c>
      <c r="E58" s="41">
        <v>2292</v>
      </c>
      <c r="F58" s="44"/>
      <c r="G58" s="44"/>
      <c r="K58" s="3">
        <f t="shared" ref="K58:K76" ca="1" si="10">+OFFSET(D26,H16,0)</f>
        <v>95</v>
      </c>
      <c r="L58" s="3">
        <f t="shared" ref="L58:L76" ca="1" si="11">+OFFSET(E26,H16,0)</f>
        <v>2382</v>
      </c>
    </row>
    <row r="59" spans="1:15" ht="15.6" x14ac:dyDescent="0.3">
      <c r="A59" s="44"/>
      <c r="B59" s="114"/>
      <c r="C59" s="41" t="str">
        <f t="shared" si="5"/>
        <v>T</v>
      </c>
      <c r="D59" s="41">
        <v>105</v>
      </c>
      <c r="E59" s="41">
        <v>1207</v>
      </c>
      <c r="F59" s="44"/>
      <c r="G59" s="44"/>
      <c r="K59" s="3">
        <f t="shared" ca="1" si="10"/>
        <v>100</v>
      </c>
      <c r="L59" s="3">
        <f t="shared" ca="1" si="11"/>
        <v>2301</v>
      </c>
    </row>
    <row r="60" spans="1:15" ht="15.6" x14ac:dyDescent="0.3">
      <c r="A60" s="44"/>
      <c r="B60" s="114"/>
      <c r="C60" s="41" t="str">
        <f t="shared" si="5"/>
        <v>J</v>
      </c>
      <c r="D60" s="41">
        <v>85</v>
      </c>
      <c r="E60" s="41">
        <v>2372</v>
      </c>
      <c r="F60" s="44"/>
      <c r="G60" s="44"/>
      <c r="K60" s="3">
        <f t="shared" ca="1" si="10"/>
        <v>100</v>
      </c>
      <c r="L60" s="3">
        <f t="shared" ca="1" si="11"/>
        <v>2257</v>
      </c>
    </row>
    <row r="61" spans="1:15" ht="15.6" x14ac:dyDescent="0.3">
      <c r="A61" s="44"/>
      <c r="B61" s="114" t="s">
        <v>70</v>
      </c>
      <c r="C61" s="41" t="str">
        <f t="shared" si="5"/>
        <v>P</v>
      </c>
      <c r="D61" s="41">
        <v>95</v>
      </c>
      <c r="E61" s="41">
        <v>4177</v>
      </c>
      <c r="F61" s="44"/>
      <c r="G61" s="44"/>
      <c r="K61" s="3">
        <f t="shared" ca="1" si="10"/>
        <v>95</v>
      </c>
      <c r="L61" s="3">
        <f t="shared" ca="1" si="11"/>
        <v>2254</v>
      </c>
    </row>
    <row r="62" spans="1:15" ht="15.6" x14ac:dyDescent="0.3">
      <c r="A62" s="44"/>
      <c r="B62" s="114"/>
      <c r="C62" s="41" t="str">
        <f t="shared" si="5"/>
        <v>C</v>
      </c>
      <c r="D62" s="41">
        <v>100</v>
      </c>
      <c r="E62" s="41">
        <v>7613</v>
      </c>
      <c r="F62" s="44"/>
      <c r="G62" s="44"/>
      <c r="K62" s="3">
        <f t="shared" ca="1" si="10"/>
        <v>95</v>
      </c>
      <c r="L62" s="3">
        <f t="shared" ca="1" si="11"/>
        <v>2328</v>
      </c>
    </row>
    <row r="63" spans="1:15" ht="15.6" x14ac:dyDescent="0.3">
      <c r="A63" s="44"/>
      <c r="B63" s="114"/>
      <c r="C63" s="41" t="str">
        <f t="shared" si="5"/>
        <v>Q</v>
      </c>
      <c r="D63" s="41">
        <v>95</v>
      </c>
      <c r="E63" s="41">
        <v>2125</v>
      </c>
      <c r="F63" s="44"/>
      <c r="G63" s="44"/>
      <c r="K63" s="3">
        <f t="shared" ca="1" si="10"/>
        <v>100</v>
      </c>
      <c r="L63" s="3">
        <f t="shared" ca="1" si="11"/>
        <v>2354</v>
      </c>
    </row>
    <row r="64" spans="1:15" ht="15.6" x14ac:dyDescent="0.3">
      <c r="A64" s="44"/>
      <c r="B64" s="114"/>
      <c r="C64" s="41" t="str">
        <f t="shared" si="5"/>
        <v>T</v>
      </c>
      <c r="D64" s="41">
        <v>90</v>
      </c>
      <c r="E64" s="41">
        <v>1332</v>
      </c>
      <c r="F64" s="44"/>
      <c r="G64" s="44"/>
      <c r="K64" s="3">
        <f t="shared" ca="1" si="10"/>
        <v>85</v>
      </c>
      <c r="L64" s="3">
        <f t="shared" ca="1" si="11"/>
        <v>2372</v>
      </c>
    </row>
    <row r="65" spans="1:12" ht="15.6" x14ac:dyDescent="0.3">
      <c r="A65" s="44"/>
      <c r="B65" s="114"/>
      <c r="C65" s="41" t="str">
        <f t="shared" si="5"/>
        <v>J</v>
      </c>
      <c r="D65" s="41">
        <v>90</v>
      </c>
      <c r="E65" s="41">
        <v>2310</v>
      </c>
      <c r="F65" s="44"/>
      <c r="G65" s="44"/>
      <c r="K65" s="3">
        <f t="shared" ca="1" si="10"/>
        <v>90</v>
      </c>
      <c r="L65" s="3">
        <f t="shared" ca="1" si="11"/>
        <v>2310</v>
      </c>
    </row>
    <row r="66" spans="1:12" ht="15.6" x14ac:dyDescent="0.3">
      <c r="A66" s="44"/>
      <c r="B66" s="114" t="s">
        <v>71</v>
      </c>
      <c r="C66" s="41" t="str">
        <f t="shared" si="5"/>
        <v>P</v>
      </c>
      <c r="D66" s="41">
        <v>100</v>
      </c>
      <c r="E66" s="41">
        <v>4173</v>
      </c>
      <c r="F66" s="44"/>
      <c r="G66" s="44"/>
      <c r="K66" s="3">
        <f t="shared" ca="1" si="10"/>
        <v>95</v>
      </c>
      <c r="L66" s="3">
        <f t="shared" ca="1" si="11"/>
        <v>2263</v>
      </c>
    </row>
    <row r="67" spans="1:12" ht="15.6" x14ac:dyDescent="0.3">
      <c r="A67" s="44"/>
      <c r="B67" s="114"/>
      <c r="C67" s="41" t="str">
        <f t="shared" si="5"/>
        <v>C</v>
      </c>
      <c r="D67" s="41">
        <v>90</v>
      </c>
      <c r="E67" s="41">
        <v>7752</v>
      </c>
      <c r="F67" s="44"/>
      <c r="G67" s="44"/>
      <c r="K67" s="3">
        <f t="shared" ca="1" si="10"/>
        <v>90</v>
      </c>
      <c r="L67" s="3">
        <f t="shared" ca="1" si="11"/>
        <v>2368</v>
      </c>
    </row>
    <row r="68" spans="1:12" ht="15.6" x14ac:dyDescent="0.3">
      <c r="A68" s="44"/>
      <c r="B68" s="114"/>
      <c r="C68" s="41" t="str">
        <f t="shared" si="5"/>
        <v>Q</v>
      </c>
      <c r="D68" s="41">
        <v>90</v>
      </c>
      <c r="E68" s="41">
        <v>2193</v>
      </c>
      <c r="F68" s="44"/>
      <c r="G68" s="44"/>
      <c r="K68" s="3">
        <f t="shared" ca="1" si="10"/>
        <v>100</v>
      </c>
      <c r="L68" s="3">
        <f t="shared" ca="1" si="11"/>
        <v>2248</v>
      </c>
    </row>
    <row r="69" spans="1:12" ht="15.6" x14ac:dyDescent="0.3">
      <c r="A69" s="44"/>
      <c r="B69" s="114"/>
      <c r="C69" s="41" t="str">
        <f t="shared" si="5"/>
        <v>T</v>
      </c>
      <c r="D69" s="41">
        <v>90</v>
      </c>
      <c r="E69" s="41">
        <v>1458</v>
      </c>
      <c r="F69" s="44"/>
      <c r="G69" s="44"/>
      <c r="K69" s="3">
        <f t="shared" ca="1" si="10"/>
        <v>85</v>
      </c>
      <c r="L69" s="3">
        <f t="shared" ca="1" si="11"/>
        <v>2284</v>
      </c>
    </row>
    <row r="70" spans="1:12" ht="15.6" x14ac:dyDescent="0.3">
      <c r="A70" s="44"/>
      <c r="B70" s="114"/>
      <c r="C70" s="41" t="str">
        <f t="shared" si="5"/>
        <v>J</v>
      </c>
      <c r="D70" s="41">
        <v>95</v>
      </c>
      <c r="E70" s="41">
        <v>2263</v>
      </c>
      <c r="F70" s="44"/>
      <c r="G70" s="44"/>
      <c r="K70" s="3">
        <f t="shared" ca="1" si="10"/>
        <v>85</v>
      </c>
      <c r="L70" s="3">
        <f t="shared" ca="1" si="11"/>
        <v>2329</v>
      </c>
    </row>
    <row r="71" spans="1:12" ht="15.6" x14ac:dyDescent="0.3">
      <c r="A71" s="44"/>
      <c r="B71" s="114" t="s">
        <v>72</v>
      </c>
      <c r="C71" s="41" t="str">
        <f t="shared" si="5"/>
        <v>P</v>
      </c>
      <c r="D71" s="41">
        <v>105</v>
      </c>
      <c r="E71" s="41">
        <v>4274</v>
      </c>
      <c r="F71" s="44"/>
      <c r="G71" s="44"/>
      <c r="K71" s="3">
        <f t="shared" ca="1" si="10"/>
        <v>100</v>
      </c>
      <c r="L71" s="3">
        <f t="shared" ca="1" si="11"/>
        <v>2209</v>
      </c>
    </row>
    <row r="72" spans="1:12" ht="15.6" x14ac:dyDescent="0.3">
      <c r="A72" s="44"/>
      <c r="B72" s="114"/>
      <c r="C72" s="41" t="str">
        <f t="shared" si="5"/>
        <v>C</v>
      </c>
      <c r="D72" s="41">
        <v>100</v>
      </c>
      <c r="E72" s="41">
        <v>7699</v>
      </c>
      <c r="F72" s="44"/>
      <c r="G72" s="44"/>
      <c r="K72" s="3">
        <f t="shared" ca="1" si="10"/>
        <v>95</v>
      </c>
      <c r="L72" s="3">
        <f t="shared" ca="1" si="11"/>
        <v>2251</v>
      </c>
    </row>
    <row r="73" spans="1:12" ht="15.6" x14ac:dyDescent="0.3">
      <c r="A73" s="44"/>
      <c r="B73" s="114"/>
      <c r="C73" s="41" t="str">
        <f t="shared" si="5"/>
        <v>Q</v>
      </c>
      <c r="D73" s="41">
        <v>90</v>
      </c>
      <c r="E73" s="41">
        <v>2259</v>
      </c>
      <c r="F73" s="44"/>
      <c r="G73" s="44"/>
      <c r="K73" s="3">
        <f t="shared" ca="1" si="10"/>
        <v>90</v>
      </c>
      <c r="L73" s="3">
        <f t="shared" ca="1" si="11"/>
        <v>2352</v>
      </c>
    </row>
    <row r="74" spans="1:12" ht="15.6" x14ac:dyDescent="0.3">
      <c r="A74" s="44"/>
      <c r="B74" s="114"/>
      <c r="C74" s="41" t="str">
        <f t="shared" si="5"/>
        <v>T</v>
      </c>
      <c r="D74" s="41">
        <v>105</v>
      </c>
      <c r="E74" s="41">
        <v>1239</v>
      </c>
      <c r="F74" s="44"/>
      <c r="G74" s="44"/>
      <c r="K74" s="3">
        <f t="shared" ca="1" si="10"/>
        <v>95</v>
      </c>
      <c r="L74" s="3">
        <f t="shared" ca="1" si="11"/>
        <v>2268</v>
      </c>
    </row>
    <row r="75" spans="1:12" ht="15.6" x14ac:dyDescent="0.3">
      <c r="A75" s="44"/>
      <c r="B75" s="114"/>
      <c r="C75" s="41" t="str">
        <f t="shared" si="5"/>
        <v>J</v>
      </c>
      <c r="D75" s="41">
        <v>90</v>
      </c>
      <c r="E75" s="41">
        <v>2368</v>
      </c>
      <c r="F75" s="44"/>
      <c r="G75" s="44"/>
      <c r="K75" s="3">
        <f t="shared" ca="1" si="10"/>
        <v>90</v>
      </c>
      <c r="L75" s="3">
        <f t="shared" ca="1" si="11"/>
        <v>2336</v>
      </c>
    </row>
    <row r="76" spans="1:12" ht="15.6" x14ac:dyDescent="0.3">
      <c r="A76" s="44"/>
      <c r="B76" s="114" t="s">
        <v>73</v>
      </c>
      <c r="C76" s="41" t="str">
        <f t="shared" si="5"/>
        <v>P</v>
      </c>
      <c r="D76" s="41">
        <v>95</v>
      </c>
      <c r="E76" s="41">
        <v>4262</v>
      </c>
      <c r="F76" s="44"/>
      <c r="G76" s="44"/>
      <c r="K76" s="3">
        <f t="shared" ca="1" si="10"/>
        <v>95</v>
      </c>
      <c r="L76" s="3">
        <f t="shared" ca="1" si="11"/>
        <v>2307</v>
      </c>
    </row>
    <row r="77" spans="1:12" ht="15.6" x14ac:dyDescent="0.3">
      <c r="A77" s="44"/>
      <c r="B77" s="114"/>
      <c r="C77" s="41" t="str">
        <f t="shared" si="5"/>
        <v>C</v>
      </c>
      <c r="D77" s="41">
        <v>100</v>
      </c>
      <c r="E77" s="41">
        <v>7796</v>
      </c>
      <c r="F77" s="44"/>
      <c r="G77" s="44"/>
    </row>
    <row r="78" spans="1:12" ht="15.6" x14ac:dyDescent="0.3">
      <c r="A78" s="44"/>
      <c r="B78" s="114"/>
      <c r="C78" s="41" t="str">
        <f t="shared" si="5"/>
        <v>Q</v>
      </c>
      <c r="D78" s="41">
        <v>100</v>
      </c>
      <c r="E78" s="41">
        <v>2057</v>
      </c>
      <c r="F78" s="44"/>
      <c r="G78" s="44"/>
    </row>
    <row r="79" spans="1:12" ht="15.6" x14ac:dyDescent="0.3">
      <c r="A79" s="44"/>
      <c r="B79" s="114"/>
      <c r="C79" s="41" t="str">
        <f t="shared" si="5"/>
        <v>T</v>
      </c>
      <c r="D79" s="41">
        <v>95</v>
      </c>
      <c r="E79" s="41">
        <v>1386</v>
      </c>
      <c r="F79" s="44"/>
      <c r="G79" s="44"/>
    </row>
    <row r="80" spans="1:12" ht="15.6" x14ac:dyDescent="0.3">
      <c r="A80" s="44"/>
      <c r="B80" s="114"/>
      <c r="C80" s="41" t="str">
        <f t="shared" si="5"/>
        <v>J</v>
      </c>
      <c r="D80" s="41">
        <v>100</v>
      </c>
      <c r="E80" s="41">
        <v>2248</v>
      </c>
      <c r="F80" s="44"/>
      <c r="G80" s="44"/>
    </row>
    <row r="81" spans="1:7" ht="15.6" x14ac:dyDescent="0.3">
      <c r="A81" s="44"/>
      <c r="B81" s="114" t="s">
        <v>74</v>
      </c>
      <c r="C81" s="41" t="str">
        <f t="shared" si="5"/>
        <v>P</v>
      </c>
      <c r="D81" s="41">
        <v>90</v>
      </c>
      <c r="E81" s="41">
        <v>4277</v>
      </c>
      <c r="F81" s="44"/>
      <c r="G81" s="44"/>
    </row>
    <row r="82" spans="1:7" ht="15.6" x14ac:dyDescent="0.3">
      <c r="A82" s="44"/>
      <c r="B82" s="114"/>
      <c r="C82" s="41" t="str">
        <f t="shared" si="5"/>
        <v>C</v>
      </c>
      <c r="D82" s="41">
        <v>95</v>
      </c>
      <c r="E82" s="41">
        <v>7622</v>
      </c>
      <c r="F82" s="44"/>
      <c r="G82" s="44"/>
    </row>
    <row r="83" spans="1:7" ht="15.6" x14ac:dyDescent="0.3">
      <c r="A83" s="44"/>
      <c r="B83" s="114"/>
      <c r="C83" s="41" t="str">
        <f t="shared" si="5"/>
        <v>Q</v>
      </c>
      <c r="D83" s="41">
        <v>100</v>
      </c>
      <c r="E83" s="41">
        <v>2203</v>
      </c>
      <c r="F83" s="44"/>
      <c r="G83" s="44"/>
    </row>
    <row r="84" spans="1:7" ht="15.6" x14ac:dyDescent="0.3">
      <c r="A84" s="44"/>
      <c r="B84" s="114"/>
      <c r="C84" s="41" t="str">
        <f t="shared" si="5"/>
        <v>T</v>
      </c>
      <c r="D84" s="41">
        <v>105</v>
      </c>
      <c r="E84" s="41">
        <v>1348</v>
      </c>
      <c r="F84" s="44"/>
      <c r="G84" s="44"/>
    </row>
    <row r="85" spans="1:7" ht="15.6" x14ac:dyDescent="0.3">
      <c r="A85" s="44"/>
      <c r="B85" s="114"/>
      <c r="C85" s="41" t="str">
        <f t="shared" si="5"/>
        <v>J</v>
      </c>
      <c r="D85" s="41">
        <v>85</v>
      </c>
      <c r="E85" s="41">
        <v>2284</v>
      </c>
      <c r="F85" s="44"/>
      <c r="G85" s="44"/>
    </row>
    <row r="86" spans="1:7" ht="15.6" x14ac:dyDescent="0.3">
      <c r="A86" s="44"/>
      <c r="B86" s="114" t="s">
        <v>75</v>
      </c>
      <c r="C86" s="41" t="str">
        <f t="shared" si="5"/>
        <v>P</v>
      </c>
      <c r="D86" s="41">
        <v>100</v>
      </c>
      <c r="E86" s="41">
        <v>4159</v>
      </c>
      <c r="F86" s="44"/>
      <c r="G86" s="44"/>
    </row>
    <row r="87" spans="1:7" ht="15.6" x14ac:dyDescent="0.3">
      <c r="A87" s="44"/>
      <c r="B87" s="114"/>
      <c r="C87" s="41" t="str">
        <f t="shared" si="5"/>
        <v>C</v>
      </c>
      <c r="D87" s="41">
        <v>105</v>
      </c>
      <c r="E87" s="41">
        <v>7680</v>
      </c>
      <c r="F87" s="44"/>
      <c r="G87" s="44"/>
    </row>
    <row r="88" spans="1:7" ht="15.6" x14ac:dyDescent="0.3">
      <c r="A88" s="44"/>
      <c r="B88" s="114"/>
      <c r="C88" s="41" t="str">
        <f t="shared" si="5"/>
        <v>Q</v>
      </c>
      <c r="D88" s="41">
        <v>100</v>
      </c>
      <c r="E88" s="41">
        <v>2187</v>
      </c>
      <c r="F88" s="44"/>
      <c r="G88" s="44"/>
    </row>
    <row r="89" spans="1:7" ht="15.6" x14ac:dyDescent="0.3">
      <c r="A89" s="44"/>
      <c r="B89" s="114"/>
      <c r="C89" s="41" t="str">
        <f t="shared" si="5"/>
        <v>T</v>
      </c>
      <c r="D89" s="41">
        <v>100</v>
      </c>
      <c r="E89" s="41">
        <v>1290</v>
      </c>
      <c r="F89" s="44"/>
      <c r="G89" s="44"/>
    </row>
    <row r="90" spans="1:7" ht="15.6" x14ac:dyDescent="0.3">
      <c r="A90" s="44"/>
      <c r="B90" s="114"/>
      <c r="C90" s="41" t="str">
        <f t="shared" si="5"/>
        <v>J</v>
      </c>
      <c r="D90" s="41">
        <v>85</v>
      </c>
      <c r="E90" s="41">
        <v>2329</v>
      </c>
      <c r="F90" s="44"/>
      <c r="G90" s="44"/>
    </row>
    <row r="91" spans="1:7" ht="15.6" x14ac:dyDescent="0.3">
      <c r="A91" s="44"/>
      <c r="B91" s="114" t="s">
        <v>76</v>
      </c>
      <c r="C91" s="41" t="str">
        <f t="shared" ref="C91:C120" si="12">+C86</f>
        <v>P</v>
      </c>
      <c r="D91" s="41">
        <v>90</v>
      </c>
      <c r="E91" s="41">
        <v>4103</v>
      </c>
      <c r="F91" s="44"/>
      <c r="G91" s="44"/>
    </row>
    <row r="92" spans="1:7" ht="15.6" x14ac:dyDescent="0.3">
      <c r="A92" s="44"/>
      <c r="B92" s="114"/>
      <c r="C92" s="41" t="str">
        <f t="shared" si="12"/>
        <v>C</v>
      </c>
      <c r="D92" s="41">
        <v>95</v>
      </c>
      <c r="E92" s="41">
        <v>7639</v>
      </c>
      <c r="F92" s="44"/>
      <c r="G92" s="44"/>
    </row>
    <row r="93" spans="1:7" ht="15.6" x14ac:dyDescent="0.3">
      <c r="A93" s="44"/>
      <c r="B93" s="114"/>
      <c r="C93" s="41" t="str">
        <f t="shared" si="12"/>
        <v>Q</v>
      </c>
      <c r="D93" s="41">
        <v>105</v>
      </c>
      <c r="E93" s="41">
        <v>2084</v>
      </c>
      <c r="F93" s="44"/>
      <c r="G93" s="44"/>
    </row>
    <row r="94" spans="1:7" ht="15.6" x14ac:dyDescent="0.3">
      <c r="A94" s="44"/>
      <c r="B94" s="114"/>
      <c r="C94" s="41" t="str">
        <f t="shared" si="12"/>
        <v>T</v>
      </c>
      <c r="D94" s="41">
        <v>85</v>
      </c>
      <c r="E94" s="41">
        <v>1392</v>
      </c>
      <c r="F94" s="44"/>
      <c r="G94" s="44"/>
    </row>
    <row r="95" spans="1:7" ht="15.6" x14ac:dyDescent="0.3">
      <c r="A95" s="44"/>
      <c r="B95" s="114"/>
      <c r="C95" s="41" t="str">
        <f t="shared" si="12"/>
        <v>J</v>
      </c>
      <c r="D95" s="41">
        <v>100</v>
      </c>
      <c r="E95" s="41">
        <v>2209</v>
      </c>
      <c r="F95" s="44"/>
      <c r="G95" s="44"/>
    </row>
    <row r="96" spans="1:7" ht="15.6" x14ac:dyDescent="0.3">
      <c r="A96" s="44"/>
      <c r="B96" s="114" t="s">
        <v>77</v>
      </c>
      <c r="C96" s="41" t="str">
        <f t="shared" si="12"/>
        <v>P</v>
      </c>
      <c r="D96" s="41">
        <v>85</v>
      </c>
      <c r="E96" s="41">
        <v>4296</v>
      </c>
      <c r="F96" s="44"/>
      <c r="G96" s="44"/>
    </row>
    <row r="97" spans="1:7" ht="15.6" x14ac:dyDescent="0.3">
      <c r="A97" s="44"/>
      <c r="B97" s="114"/>
      <c r="C97" s="41" t="str">
        <f t="shared" si="12"/>
        <v>C</v>
      </c>
      <c r="D97" s="41">
        <v>100</v>
      </c>
      <c r="E97" s="41">
        <v>7800</v>
      </c>
      <c r="F97" s="44"/>
      <c r="G97" s="44"/>
    </row>
    <row r="98" spans="1:7" ht="15.6" x14ac:dyDescent="0.3">
      <c r="A98" s="44"/>
      <c r="B98" s="114"/>
      <c r="C98" s="41" t="str">
        <f t="shared" si="12"/>
        <v>Q</v>
      </c>
      <c r="D98" s="41">
        <v>90</v>
      </c>
      <c r="E98" s="41">
        <v>2194</v>
      </c>
      <c r="F98" s="44"/>
      <c r="G98" s="44"/>
    </row>
    <row r="99" spans="1:7" ht="15.6" x14ac:dyDescent="0.3">
      <c r="A99" s="44"/>
      <c r="B99" s="114"/>
      <c r="C99" s="41" t="str">
        <f t="shared" si="12"/>
        <v>T</v>
      </c>
      <c r="D99" s="41">
        <v>95</v>
      </c>
      <c r="E99" s="41">
        <v>1337</v>
      </c>
      <c r="F99" s="44"/>
      <c r="G99" s="44"/>
    </row>
    <row r="100" spans="1:7" ht="15.6" x14ac:dyDescent="0.3">
      <c r="A100" s="44"/>
      <c r="B100" s="114"/>
      <c r="C100" s="41" t="str">
        <f t="shared" si="12"/>
        <v>J</v>
      </c>
      <c r="D100" s="41">
        <v>95</v>
      </c>
      <c r="E100" s="41">
        <v>2251</v>
      </c>
      <c r="F100" s="44"/>
      <c r="G100" s="44"/>
    </row>
    <row r="101" spans="1:7" ht="15.6" x14ac:dyDescent="0.3">
      <c r="A101" s="44"/>
      <c r="B101" s="114" t="s">
        <v>78</v>
      </c>
      <c r="C101" s="41" t="str">
        <f t="shared" si="12"/>
        <v>P</v>
      </c>
      <c r="D101" s="41">
        <v>105</v>
      </c>
      <c r="E101" s="41">
        <v>4259</v>
      </c>
      <c r="F101" s="44"/>
      <c r="G101" s="44"/>
    </row>
    <row r="102" spans="1:7" ht="15.6" x14ac:dyDescent="0.3">
      <c r="A102" s="44"/>
      <c r="B102" s="114"/>
      <c r="C102" s="41" t="str">
        <f t="shared" si="12"/>
        <v>C</v>
      </c>
      <c r="D102" s="41">
        <v>105</v>
      </c>
      <c r="E102" s="41">
        <v>7682</v>
      </c>
      <c r="F102" s="44"/>
      <c r="G102" s="44"/>
    </row>
    <row r="103" spans="1:7" ht="15.6" x14ac:dyDescent="0.3">
      <c r="A103" s="44"/>
      <c r="B103" s="114"/>
      <c r="C103" s="41" t="str">
        <f t="shared" si="12"/>
        <v>Q</v>
      </c>
      <c r="D103" s="41">
        <v>95</v>
      </c>
      <c r="E103" s="41">
        <v>2245</v>
      </c>
      <c r="F103" s="44"/>
      <c r="G103" s="44"/>
    </row>
    <row r="104" spans="1:7" ht="15.6" x14ac:dyDescent="0.3">
      <c r="A104" s="44"/>
      <c r="B104" s="114"/>
      <c r="C104" s="41" t="str">
        <f t="shared" si="12"/>
        <v>T</v>
      </c>
      <c r="D104" s="41">
        <v>105</v>
      </c>
      <c r="E104" s="41">
        <v>1259</v>
      </c>
      <c r="F104" s="44"/>
      <c r="G104" s="44"/>
    </row>
    <row r="105" spans="1:7" ht="15.6" x14ac:dyDescent="0.3">
      <c r="A105" s="44"/>
      <c r="B105" s="114"/>
      <c r="C105" s="41" t="str">
        <f t="shared" si="12"/>
        <v>J</v>
      </c>
      <c r="D105" s="41">
        <v>90</v>
      </c>
      <c r="E105" s="41">
        <v>2352</v>
      </c>
      <c r="F105" s="44"/>
      <c r="G105" s="44"/>
    </row>
    <row r="106" spans="1:7" ht="15.6" x14ac:dyDescent="0.3">
      <c r="A106" s="44"/>
      <c r="B106" s="114" t="s">
        <v>79</v>
      </c>
      <c r="C106" s="41" t="str">
        <f t="shared" si="12"/>
        <v>P</v>
      </c>
      <c r="D106" s="41">
        <v>95</v>
      </c>
      <c r="E106" s="41">
        <v>4176</v>
      </c>
      <c r="F106" s="44"/>
      <c r="G106" s="44"/>
    </row>
    <row r="107" spans="1:7" ht="15.6" x14ac:dyDescent="0.3">
      <c r="A107" s="44"/>
      <c r="B107" s="114"/>
      <c r="C107" s="41" t="str">
        <f t="shared" si="12"/>
        <v>C</v>
      </c>
      <c r="D107" s="41">
        <v>100</v>
      </c>
      <c r="E107" s="41">
        <v>7616</v>
      </c>
      <c r="F107" s="44"/>
      <c r="G107" s="44"/>
    </row>
    <row r="108" spans="1:7" ht="15.6" x14ac:dyDescent="0.3">
      <c r="A108" s="44"/>
      <c r="B108" s="114"/>
      <c r="C108" s="41" t="str">
        <f t="shared" si="12"/>
        <v>Q</v>
      </c>
      <c r="D108" s="41">
        <v>105</v>
      </c>
      <c r="E108" s="41">
        <v>2002</v>
      </c>
      <c r="F108" s="44"/>
      <c r="G108" s="44"/>
    </row>
    <row r="109" spans="1:7" ht="15.6" x14ac:dyDescent="0.3">
      <c r="A109" s="44"/>
      <c r="B109" s="114"/>
      <c r="C109" s="41" t="str">
        <f t="shared" si="12"/>
        <v>T</v>
      </c>
      <c r="D109" s="41">
        <v>85</v>
      </c>
      <c r="E109" s="41">
        <v>1449</v>
      </c>
      <c r="F109" s="44"/>
      <c r="G109" s="44"/>
    </row>
    <row r="110" spans="1:7" ht="15.6" x14ac:dyDescent="0.3">
      <c r="A110" s="44"/>
      <c r="B110" s="114"/>
      <c r="C110" s="41" t="str">
        <f t="shared" si="12"/>
        <v>J</v>
      </c>
      <c r="D110" s="41">
        <v>95</v>
      </c>
      <c r="E110" s="41">
        <v>2268</v>
      </c>
      <c r="F110" s="44"/>
      <c r="G110" s="44"/>
    </row>
    <row r="111" spans="1:7" ht="15.6" x14ac:dyDescent="0.3">
      <c r="A111" s="44"/>
      <c r="B111" s="114" t="s">
        <v>80</v>
      </c>
      <c r="C111" s="41" t="str">
        <f t="shared" si="12"/>
        <v>P</v>
      </c>
      <c r="D111" s="41">
        <v>90</v>
      </c>
      <c r="E111" s="41">
        <v>4117</v>
      </c>
      <c r="F111" s="44"/>
      <c r="G111" s="44"/>
    </row>
    <row r="112" spans="1:7" ht="15.6" x14ac:dyDescent="0.3">
      <c r="A112" s="44"/>
      <c r="B112" s="114"/>
      <c r="C112" s="41" t="str">
        <f t="shared" si="12"/>
        <v>C</v>
      </c>
      <c r="D112" s="41">
        <v>105</v>
      </c>
      <c r="E112" s="41">
        <v>7609</v>
      </c>
      <c r="F112" s="44"/>
      <c r="G112" s="44"/>
    </row>
    <row r="113" spans="1:7" ht="15.6" x14ac:dyDescent="0.3">
      <c r="A113" s="44"/>
      <c r="B113" s="114"/>
      <c r="C113" s="41" t="str">
        <f t="shared" si="12"/>
        <v>Q</v>
      </c>
      <c r="D113" s="41">
        <v>90</v>
      </c>
      <c r="E113" s="41">
        <v>2255</v>
      </c>
      <c r="F113" s="44"/>
      <c r="G113" s="44"/>
    </row>
    <row r="114" spans="1:7" ht="15.6" x14ac:dyDescent="0.3">
      <c r="A114" s="44"/>
      <c r="B114" s="114"/>
      <c r="C114" s="41" t="str">
        <f t="shared" si="12"/>
        <v>T</v>
      </c>
      <c r="D114" s="41">
        <v>105</v>
      </c>
      <c r="E114" s="41">
        <v>1227</v>
      </c>
      <c r="F114" s="44"/>
      <c r="G114" s="44"/>
    </row>
    <row r="115" spans="1:7" ht="15.6" x14ac:dyDescent="0.3">
      <c r="A115" s="44"/>
      <c r="B115" s="114"/>
      <c r="C115" s="41" t="str">
        <f t="shared" si="12"/>
        <v>J</v>
      </c>
      <c r="D115" s="41">
        <v>90</v>
      </c>
      <c r="E115" s="41">
        <v>2336</v>
      </c>
      <c r="F115" s="44"/>
      <c r="G115" s="44"/>
    </row>
    <row r="116" spans="1:7" ht="15.6" x14ac:dyDescent="0.3">
      <c r="A116" s="44"/>
      <c r="B116" s="114" t="s">
        <v>81</v>
      </c>
      <c r="C116" s="41" t="str">
        <f t="shared" si="12"/>
        <v>P</v>
      </c>
      <c r="D116" s="41">
        <v>100</v>
      </c>
      <c r="E116" s="41">
        <v>4151</v>
      </c>
      <c r="F116" s="44"/>
      <c r="G116" s="44"/>
    </row>
    <row r="117" spans="1:7" ht="15.6" x14ac:dyDescent="0.3">
      <c r="A117" s="44"/>
      <c r="B117" s="114"/>
      <c r="C117" s="41" t="str">
        <f t="shared" si="12"/>
        <v>C</v>
      </c>
      <c r="D117" s="41">
        <v>95</v>
      </c>
      <c r="E117" s="41">
        <v>7681</v>
      </c>
      <c r="F117" s="44"/>
      <c r="G117" s="44"/>
    </row>
    <row r="118" spans="1:7" ht="15.6" x14ac:dyDescent="0.3">
      <c r="A118" s="44"/>
      <c r="B118" s="114"/>
      <c r="C118" s="41" t="str">
        <f t="shared" si="12"/>
        <v>Q</v>
      </c>
      <c r="D118" s="41">
        <v>100</v>
      </c>
      <c r="E118" s="41">
        <v>2068</v>
      </c>
      <c r="F118" s="44"/>
      <c r="G118" s="44"/>
    </row>
    <row r="119" spans="1:7" ht="15.6" x14ac:dyDescent="0.3">
      <c r="A119" s="44"/>
      <c r="B119" s="114"/>
      <c r="C119" s="41" t="str">
        <f t="shared" si="12"/>
        <v>T</v>
      </c>
      <c r="D119" s="41">
        <v>105</v>
      </c>
      <c r="E119" s="41">
        <v>1339</v>
      </c>
      <c r="F119" s="44"/>
      <c r="G119" s="44"/>
    </row>
    <row r="120" spans="1:7" ht="15.6" x14ac:dyDescent="0.3">
      <c r="A120" s="44"/>
      <c r="B120" s="114"/>
      <c r="C120" s="41" t="str">
        <f t="shared" si="12"/>
        <v>J</v>
      </c>
      <c r="D120" s="41">
        <v>95</v>
      </c>
      <c r="E120" s="41">
        <v>2307</v>
      </c>
      <c r="F120" s="44"/>
      <c r="G120" s="44"/>
    </row>
    <row r="121" spans="1:7" ht="15.6" x14ac:dyDescent="0.3">
      <c r="A121" s="44"/>
      <c r="B121" s="41" t="str">
        <f>+CONCATENATE("T = ",C9,"h",D9,"'",E9,"''")</f>
        <v>T = 10h26'5''</v>
      </c>
      <c r="C121" s="41" t="s">
        <v>12</v>
      </c>
      <c r="D121" s="41" t="s">
        <v>53</v>
      </c>
      <c r="E121" s="41">
        <v>2498</v>
      </c>
      <c r="F121" s="44"/>
      <c r="G121" s="44"/>
    </row>
    <row r="122" spans="1:7" ht="15.6" x14ac:dyDescent="0.3">
      <c r="A122" s="44"/>
      <c r="B122" s="41"/>
      <c r="C122" s="41"/>
      <c r="D122" s="41" t="s">
        <v>16</v>
      </c>
      <c r="E122" s="41">
        <f>+SUM(E20:E121)</f>
        <v>359955</v>
      </c>
      <c r="F122" s="44"/>
      <c r="G122" s="44"/>
    </row>
    <row r="123" spans="1:7" ht="15.6" x14ac:dyDescent="0.3">
      <c r="A123" s="44"/>
      <c r="B123" s="44"/>
      <c r="C123" s="44"/>
      <c r="D123" s="44"/>
      <c r="E123" s="44"/>
      <c r="F123" s="44"/>
      <c r="G123" s="44"/>
    </row>
    <row r="124" spans="1:7" ht="15.6" x14ac:dyDescent="0.3">
      <c r="A124" s="44"/>
      <c r="B124" s="44"/>
      <c r="C124" s="44"/>
      <c r="D124" s="44"/>
      <c r="E124" s="44">
        <f>+E122/100</f>
        <v>3599.55</v>
      </c>
      <c r="F124" s="44"/>
      <c r="G124" s="44"/>
    </row>
    <row r="125" spans="1:7" ht="15.6" x14ac:dyDescent="0.3">
      <c r="A125" s="44"/>
      <c r="B125" s="44"/>
      <c r="C125" s="44"/>
      <c r="D125" s="44"/>
      <c r="E125" s="44">
        <f>+E124/3600</f>
        <v>0.99987500000000007</v>
      </c>
      <c r="F125" s="44"/>
      <c r="G125" s="44"/>
    </row>
    <row r="126" spans="1:7" ht="15.6" x14ac:dyDescent="0.3">
      <c r="A126" s="44"/>
      <c r="B126" s="44"/>
      <c r="C126" s="44"/>
      <c r="D126" s="44"/>
      <c r="E126" s="44">
        <f>+(E125-F145)*60</f>
        <v>59.992500000000007</v>
      </c>
      <c r="F126" s="44"/>
      <c r="G126" s="44"/>
    </row>
    <row r="127" spans="1:7" ht="15.6" x14ac:dyDescent="0.3">
      <c r="A127" s="44"/>
      <c r="B127" s="43"/>
      <c r="C127" s="43"/>
      <c r="D127" s="43"/>
      <c r="E127" s="43">
        <f>+(E126-F146)*60</f>
        <v>59.550000000000409</v>
      </c>
      <c r="F127" s="44"/>
      <c r="G127" s="44"/>
    </row>
    <row r="128" spans="1:7" ht="15.6" x14ac:dyDescent="0.3">
      <c r="A128" s="44"/>
      <c r="B128" s="43"/>
      <c r="C128" s="43"/>
      <c r="D128" s="43"/>
      <c r="E128" s="43"/>
      <c r="F128" s="44"/>
      <c r="G128" s="44"/>
    </row>
    <row r="129" spans="1:7" ht="15.6" x14ac:dyDescent="0.3">
      <c r="A129" s="44"/>
      <c r="B129" s="43"/>
      <c r="C129" s="43"/>
      <c r="D129" s="43"/>
      <c r="E129" s="43"/>
      <c r="F129" s="44"/>
      <c r="G129" s="44"/>
    </row>
    <row r="130" spans="1:7" ht="15.6" x14ac:dyDescent="0.3">
      <c r="A130" s="44"/>
      <c r="B130" s="43"/>
      <c r="C130" s="43"/>
      <c r="D130" s="43"/>
      <c r="E130" s="43"/>
      <c r="F130" s="44"/>
      <c r="G130" s="44"/>
    </row>
    <row r="131" spans="1:7" ht="15.6" x14ac:dyDescent="0.3">
      <c r="A131" s="44"/>
      <c r="B131" s="43"/>
      <c r="C131" s="43"/>
      <c r="D131" s="43"/>
      <c r="E131" s="43"/>
      <c r="F131" s="44"/>
      <c r="G131" s="44"/>
    </row>
    <row r="132" spans="1:7" ht="15.6" x14ac:dyDescent="0.3">
      <c r="A132" s="44"/>
      <c r="B132" s="43"/>
      <c r="C132" s="43"/>
      <c r="D132" s="43"/>
      <c r="E132" s="43"/>
      <c r="F132" s="44"/>
      <c r="G132" s="44"/>
    </row>
    <row r="133" spans="1:7" ht="15.6" x14ac:dyDescent="0.3">
      <c r="A133" s="44"/>
      <c r="B133" s="43"/>
      <c r="C133" s="43"/>
      <c r="D133" s="43"/>
      <c r="E133" s="43"/>
      <c r="F133" s="44"/>
      <c r="G133" s="44"/>
    </row>
    <row r="134" spans="1:7" ht="15.6" x14ac:dyDescent="0.3">
      <c r="A134" s="44"/>
      <c r="B134" s="43"/>
      <c r="C134" s="43"/>
      <c r="D134" s="43"/>
      <c r="E134" s="43"/>
      <c r="F134" s="44"/>
      <c r="G134" s="44"/>
    </row>
    <row r="135" spans="1:7" ht="15.6" x14ac:dyDescent="0.3">
      <c r="A135" s="44"/>
      <c r="B135" s="43"/>
      <c r="C135" s="43"/>
      <c r="D135" s="43"/>
      <c r="E135" s="43"/>
      <c r="F135" s="44"/>
      <c r="G135" s="44"/>
    </row>
    <row r="136" spans="1:7" ht="15.6" x14ac:dyDescent="0.3">
      <c r="A136" s="44"/>
      <c r="B136" s="43"/>
      <c r="C136" s="43"/>
      <c r="D136" s="43"/>
      <c r="E136" s="43"/>
      <c r="F136" s="44"/>
      <c r="G136" s="44"/>
    </row>
    <row r="137" spans="1:7" ht="15.6" x14ac:dyDescent="0.3">
      <c r="A137" s="44"/>
      <c r="B137" s="43"/>
      <c r="C137" s="43"/>
      <c r="D137" s="43"/>
      <c r="E137" s="43"/>
      <c r="F137" s="44"/>
      <c r="G137" s="44"/>
    </row>
    <row r="138" spans="1:7" ht="15.6" x14ac:dyDescent="0.3">
      <c r="A138" s="44"/>
      <c r="B138" s="43"/>
      <c r="C138" s="43"/>
      <c r="D138" s="43"/>
      <c r="E138" s="43"/>
      <c r="F138" s="44"/>
      <c r="G138" s="44"/>
    </row>
    <row r="139" spans="1:7" x14ac:dyDescent="0.3">
      <c r="B139" s="20"/>
      <c r="C139" s="20"/>
      <c r="D139" s="20"/>
      <c r="E139" s="20"/>
    </row>
    <row r="140" spans="1:7" x14ac:dyDescent="0.3">
      <c r="B140" s="20"/>
      <c r="C140" s="20"/>
      <c r="D140" s="20"/>
      <c r="E140" s="20"/>
    </row>
    <row r="141" spans="1:7" x14ac:dyDescent="0.3">
      <c r="B141" s="20"/>
      <c r="C141" s="20"/>
      <c r="D141" s="20"/>
      <c r="E141" s="20"/>
    </row>
    <row r="142" spans="1:7" x14ac:dyDescent="0.3">
      <c r="B142" s="20"/>
      <c r="C142" s="20"/>
      <c r="D142" s="20"/>
      <c r="E142" s="20"/>
    </row>
    <row r="143" spans="1:7" x14ac:dyDescent="0.3">
      <c r="B143" s="20"/>
      <c r="C143" s="20"/>
      <c r="D143" s="20"/>
      <c r="E143" s="20"/>
    </row>
    <row r="144" spans="1:7" x14ac:dyDescent="0.3">
      <c r="B144" s="20"/>
      <c r="C144" s="20"/>
      <c r="D144" s="20"/>
      <c r="E144" s="20"/>
    </row>
    <row r="145" spans="2:7" x14ac:dyDescent="0.3">
      <c r="B145" s="20"/>
      <c r="C145" s="20"/>
      <c r="D145" s="20"/>
      <c r="E145" s="20"/>
      <c r="F145">
        <f>+INT(E125)</f>
        <v>0</v>
      </c>
      <c r="G145" t="s">
        <v>82</v>
      </c>
    </row>
    <row r="146" spans="2:7" x14ac:dyDescent="0.3">
      <c r="B146" s="20"/>
      <c r="C146" s="20"/>
      <c r="D146" s="20"/>
      <c r="E146" s="20"/>
      <c r="F146" s="1">
        <f>+INT(E126)</f>
        <v>59</v>
      </c>
      <c r="G146" t="s">
        <v>83</v>
      </c>
    </row>
    <row r="147" spans="2:7" x14ac:dyDescent="0.3">
      <c r="F147" s="21">
        <f>+ROUND(E127,0)</f>
        <v>60</v>
      </c>
      <c r="G147" t="s">
        <v>84</v>
      </c>
    </row>
    <row r="148" spans="2:7" x14ac:dyDescent="0.3">
      <c r="B148" s="16"/>
      <c r="C148" s="16"/>
      <c r="D148" s="16"/>
      <c r="E148" s="16"/>
      <c r="F148" s="20"/>
    </row>
    <row r="149" spans="2:7" x14ac:dyDescent="0.3">
      <c r="B149" s="16"/>
      <c r="C149" s="16"/>
      <c r="D149" s="16"/>
      <c r="E149" s="16"/>
      <c r="F149" s="20"/>
    </row>
    <row r="150" spans="2:7" x14ac:dyDescent="0.3">
      <c r="B150" s="16"/>
      <c r="C150" s="16"/>
      <c r="D150" s="16"/>
      <c r="E150" s="16"/>
      <c r="F150" s="20"/>
    </row>
    <row r="151" spans="2:7" x14ac:dyDescent="0.3">
      <c r="B151" s="16"/>
      <c r="C151" s="16"/>
      <c r="D151" s="16"/>
      <c r="E151" s="16"/>
      <c r="F151" s="20"/>
    </row>
    <row r="152" spans="2:7" x14ac:dyDescent="0.3">
      <c r="B152" s="16"/>
      <c r="C152" s="16"/>
      <c r="D152" s="16"/>
      <c r="E152" s="16"/>
      <c r="F152" s="20"/>
    </row>
    <row r="153" spans="2:7" x14ac:dyDescent="0.3">
      <c r="F153" s="20"/>
    </row>
    <row r="154" spans="2:7" x14ac:dyDescent="0.3">
      <c r="F154" s="20"/>
    </row>
    <row r="155" spans="2:7" x14ac:dyDescent="0.3">
      <c r="F155" s="20"/>
    </row>
    <row r="156" spans="2:7" x14ac:dyDescent="0.3">
      <c r="F156" s="20"/>
    </row>
    <row r="157" spans="2:7" x14ac:dyDescent="0.3">
      <c r="F157" s="20"/>
    </row>
    <row r="158" spans="2:7" x14ac:dyDescent="0.3">
      <c r="F158" s="20"/>
    </row>
    <row r="159" spans="2:7" x14ac:dyDescent="0.3">
      <c r="F159" s="20"/>
    </row>
    <row r="160" spans="2:7" x14ac:dyDescent="0.3">
      <c r="F160" s="20"/>
    </row>
    <row r="161" spans="6:8" x14ac:dyDescent="0.3">
      <c r="F161" s="20"/>
    </row>
    <row r="162" spans="6:8" x14ac:dyDescent="0.3">
      <c r="F162" s="20"/>
    </row>
    <row r="163" spans="6:8" x14ac:dyDescent="0.3">
      <c r="F163" s="20"/>
    </row>
    <row r="164" spans="6:8" x14ac:dyDescent="0.3">
      <c r="F164" s="20"/>
    </row>
    <row r="165" spans="6:8" x14ac:dyDescent="0.3">
      <c r="F165" s="20"/>
    </row>
    <row r="166" spans="6:8" x14ac:dyDescent="0.3">
      <c r="F166" s="20"/>
    </row>
    <row r="168" spans="6:8" x14ac:dyDescent="0.3">
      <c r="F168" s="16"/>
      <c r="G168" s="16"/>
      <c r="H168" s="16"/>
    </row>
    <row r="169" spans="6:8" x14ac:dyDescent="0.3">
      <c r="F169" s="16"/>
      <c r="G169" s="16"/>
      <c r="H169" s="16"/>
    </row>
    <row r="170" spans="6:8" x14ac:dyDescent="0.3">
      <c r="F170" s="16"/>
      <c r="G170" s="16"/>
      <c r="H170" s="16"/>
    </row>
    <row r="171" spans="6:8" x14ac:dyDescent="0.3">
      <c r="F171" s="16"/>
      <c r="G171" s="16"/>
      <c r="H171" s="16"/>
    </row>
    <row r="172" spans="6:8" x14ac:dyDescent="0.3">
      <c r="F172" s="16"/>
      <c r="G172" s="16"/>
      <c r="H172" s="16"/>
    </row>
  </sheetData>
  <mergeCells count="26">
    <mergeCell ref="C15:F15"/>
    <mergeCell ref="B96:B100"/>
    <mergeCell ref="B101:B105"/>
    <mergeCell ref="B106:B110"/>
    <mergeCell ref="B111:B115"/>
    <mergeCell ref="B46:B50"/>
    <mergeCell ref="B51:B55"/>
    <mergeCell ref="B56:B60"/>
    <mergeCell ref="B61:B65"/>
    <mergeCell ref="B66:B70"/>
    <mergeCell ref="B21:B25"/>
    <mergeCell ref="B26:B30"/>
    <mergeCell ref="B31:B35"/>
    <mergeCell ref="B36:B40"/>
    <mergeCell ref="B41:B45"/>
    <mergeCell ref="B116:B120"/>
    <mergeCell ref="B71:B75"/>
    <mergeCell ref="B76:B80"/>
    <mergeCell ref="B81:B85"/>
    <mergeCell ref="B86:B90"/>
    <mergeCell ref="B91:B95"/>
    <mergeCell ref="K29:L29"/>
    <mergeCell ref="K54:L54"/>
    <mergeCell ref="K4:L4"/>
    <mergeCell ref="N4:O4"/>
    <mergeCell ref="N29:O29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R24" sqref="R24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7"/>
      <c r="Q2" s="17"/>
    </row>
    <row r="3" spans="1:17" ht="16.2" thickBot="1" x14ac:dyDescent="0.35">
      <c r="A3" s="1"/>
      <c r="B3" s="6"/>
      <c r="C3" s="31" t="s">
        <v>0</v>
      </c>
      <c r="D3" s="31" t="s">
        <v>1</v>
      </c>
      <c r="E3" s="31" t="s">
        <v>2</v>
      </c>
      <c r="J3" s="9" t="s">
        <v>11</v>
      </c>
      <c r="K3" s="10" t="s">
        <v>4</v>
      </c>
      <c r="L3" s="34">
        <f>+'Hoja de cronometraje'!E20</f>
        <v>3171</v>
      </c>
      <c r="M3" s="8" t="s">
        <v>7</v>
      </c>
      <c r="P3" s="51" t="s">
        <v>85</v>
      </c>
      <c r="Q3" s="52" t="s">
        <v>86</v>
      </c>
    </row>
    <row r="4" spans="1:17" ht="16.2" thickBot="1" x14ac:dyDescent="0.35">
      <c r="A4" s="1"/>
      <c r="B4" s="13" t="s">
        <v>3</v>
      </c>
      <c r="C4" s="3">
        <f>+'Hoja de cronometraje'!C9</f>
        <v>10</v>
      </c>
      <c r="D4" s="3">
        <f>+'Hoja de cronometraje'!D9</f>
        <v>26</v>
      </c>
      <c r="E4" s="3">
        <f>+'Hoja de cronometraje'!E9</f>
        <v>5</v>
      </c>
      <c r="F4" t="s">
        <v>4</v>
      </c>
      <c r="G4" s="4">
        <f>(C4*3600)+(D4*60)+E4</f>
        <v>37565</v>
      </c>
      <c r="H4" s="5" t="s">
        <v>5</v>
      </c>
      <c r="J4" s="9" t="s">
        <v>12</v>
      </c>
      <c r="K4" s="10" t="s">
        <v>4</v>
      </c>
      <c r="L4" s="33">
        <f>+'Hoja de cronometraje'!E121</f>
        <v>2498</v>
      </c>
      <c r="M4" s="8" t="s">
        <v>7</v>
      </c>
      <c r="P4" s="46" t="s">
        <v>87</v>
      </c>
      <c r="Q4" s="48" t="str">
        <f>+CONCATENATE(C4,"h ",D4,"'",E4,"""")</f>
        <v>10h 26'5"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26</v>
      </c>
      <c r="E5" s="3">
        <f>+'Hoja de cronometraje'!E10</f>
        <v>5</v>
      </c>
      <c r="F5" t="s">
        <v>4</v>
      </c>
      <c r="G5" s="7">
        <f>(C5*3600)+(D5*60)+E5</f>
        <v>33965</v>
      </c>
      <c r="H5" s="8" t="s">
        <v>5</v>
      </c>
      <c r="J5" s="9" t="s">
        <v>14</v>
      </c>
      <c r="K5" s="10" t="s">
        <v>4</v>
      </c>
      <c r="L5" s="35">
        <v>0</v>
      </c>
      <c r="M5" s="8" t="s">
        <v>7</v>
      </c>
      <c r="P5" s="46" t="s">
        <v>88</v>
      </c>
      <c r="Q5" s="48" t="str">
        <f>+CONCATENATE(C5,"h ",D5,"'",E5,"""")</f>
        <v>9h 26'5"</v>
      </c>
    </row>
    <row r="6" spans="1:17" ht="15.6" x14ac:dyDescent="0.3">
      <c r="E6" s="1"/>
      <c r="J6" s="1"/>
      <c r="P6" s="47" t="s">
        <v>10</v>
      </c>
      <c r="Q6" s="49" t="str">
        <f>+CONCATENATE(G7," seg")</f>
        <v>3600 seg</v>
      </c>
    </row>
    <row r="7" spans="1:17" ht="16.2" thickBot="1" x14ac:dyDescent="0.35">
      <c r="E7" s="9" t="s">
        <v>10</v>
      </c>
      <c r="F7" s="10" t="s">
        <v>4</v>
      </c>
      <c r="G7" s="10">
        <f>G4-G5</f>
        <v>3600</v>
      </c>
      <c r="H7" s="8" t="s">
        <v>5</v>
      </c>
      <c r="J7" s="1"/>
      <c r="P7" s="47" t="s">
        <v>10</v>
      </c>
      <c r="Q7" s="49" t="str">
        <f>+CONCATENATE(G8," c.s.")</f>
        <v>360000 c.s.</v>
      </c>
    </row>
    <row r="8" spans="1:17" ht="16.2" thickBot="1" x14ac:dyDescent="0.35">
      <c r="E8" s="9" t="s">
        <v>10</v>
      </c>
      <c r="F8" s="10" t="s">
        <v>4</v>
      </c>
      <c r="G8" s="33">
        <f>G7*100</f>
        <v>360000</v>
      </c>
      <c r="H8" s="8" t="s">
        <v>7</v>
      </c>
      <c r="J8" s="9" t="s">
        <v>13</v>
      </c>
      <c r="K8" s="10" t="s">
        <v>4</v>
      </c>
      <c r="L8" s="10">
        <f>G8-L3-L4</f>
        <v>354331</v>
      </c>
      <c r="M8" s="8" t="s">
        <v>7</v>
      </c>
      <c r="P8" s="46" t="s">
        <v>11</v>
      </c>
      <c r="Q8" s="48" t="str">
        <f>+CONCATENATE(L3," c.s.")</f>
        <v>3171 c.s.</v>
      </c>
    </row>
    <row r="9" spans="1:17" ht="15.6" x14ac:dyDescent="0.3">
      <c r="J9" s="9" t="s">
        <v>15</v>
      </c>
      <c r="K9" s="10" t="s">
        <v>4</v>
      </c>
      <c r="L9" s="10">
        <f>L8-L5</f>
        <v>354331</v>
      </c>
      <c r="M9" s="8" t="s">
        <v>7</v>
      </c>
      <c r="P9" s="46" t="s">
        <v>12</v>
      </c>
      <c r="Q9" s="48" t="str">
        <f>+CONCATENATE(L4," c.s.")</f>
        <v>2498 c.s.</v>
      </c>
    </row>
    <row r="10" spans="1:17" ht="15.6" x14ac:dyDescent="0.3">
      <c r="J10" s="1"/>
      <c r="P10" s="47" t="s">
        <v>13</v>
      </c>
      <c r="Q10" s="49" t="str">
        <f>+CONCATENATE(L8," c.s.")</f>
        <v>354331 c.s.</v>
      </c>
    </row>
    <row r="11" spans="1:17" ht="15.6" x14ac:dyDescent="0.3">
      <c r="P11" s="47" t="s">
        <v>89</v>
      </c>
      <c r="Q11" s="49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cronometraje'!E122</f>
        <v>359955</v>
      </c>
      <c r="M12" s="8" t="s">
        <v>7</v>
      </c>
      <c r="P12" s="47" t="s">
        <v>15</v>
      </c>
      <c r="Q12" s="49" t="str">
        <f>+CONCATENATE(L9," c.s.")</f>
        <v>354331 c.s.</v>
      </c>
    </row>
    <row r="13" spans="1:17" ht="15.6" x14ac:dyDescent="0.3">
      <c r="J13" s="12" t="s">
        <v>17</v>
      </c>
      <c r="K13" s="10" t="s">
        <v>4</v>
      </c>
      <c r="L13" s="10">
        <f>G8-L12</f>
        <v>45</v>
      </c>
      <c r="M13" s="8" t="s">
        <v>7</v>
      </c>
      <c r="P13" s="46" t="s">
        <v>16</v>
      </c>
      <c r="Q13" s="48" t="str">
        <f>+CONCATENATE(L12," c.s.")</f>
        <v>359955 c.s.</v>
      </c>
    </row>
    <row r="14" spans="1:17" ht="15.6" x14ac:dyDescent="0.3">
      <c r="J14" s="1"/>
      <c r="P14" s="47" t="s">
        <v>90</v>
      </c>
      <c r="Q14" s="49" t="str">
        <f>+CONCATENATE(L13," c.s.")</f>
        <v>45 c.s.</v>
      </c>
    </row>
    <row r="15" spans="1:17" ht="15.6" x14ac:dyDescent="0.3">
      <c r="J15" s="9" t="s">
        <v>9</v>
      </c>
      <c r="K15" s="10" t="s">
        <v>4</v>
      </c>
      <c r="L15" s="11">
        <f>(L13/G8)*100</f>
        <v>1.2500000000000001E-2</v>
      </c>
      <c r="M15" s="8" t="s">
        <v>8</v>
      </c>
      <c r="P15" s="47" t="s">
        <v>9</v>
      </c>
      <c r="Q15" s="50" t="str">
        <f>+CONCATENATE(ROUND(L15,2)," %")</f>
        <v>0.01 %</v>
      </c>
    </row>
    <row r="16" spans="1:17" x14ac:dyDescent="0.3">
      <c r="G16" s="2"/>
    </row>
    <row r="17" spans="9:17" x14ac:dyDescent="0.3">
      <c r="I17" s="117" t="str">
        <f>IF(ABS(L15)&lt;1,"Los tiempos son confiables","Los tiempos no son confiables")</f>
        <v>Los tiempos son confiables</v>
      </c>
      <c r="J17" s="118"/>
      <c r="K17" s="118"/>
      <c r="L17" s="118"/>
      <c r="M17" s="118"/>
      <c r="N17" s="119"/>
      <c r="P17" s="16"/>
      <c r="Q17" s="16"/>
    </row>
    <row r="18" spans="9:17" x14ac:dyDescent="0.3">
      <c r="I18" s="120"/>
      <c r="J18" s="121"/>
      <c r="K18" s="121"/>
      <c r="L18" s="121"/>
      <c r="M18" s="121"/>
      <c r="N18" s="122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96"/>
  <sheetViews>
    <sheetView showGridLines="0" topLeftCell="B63" zoomScaleNormal="100" workbookViewId="0">
      <selection activeCell="S22" sqref="S22"/>
    </sheetView>
  </sheetViews>
  <sheetFormatPr baseColWidth="10" defaultRowHeight="14.4" x14ac:dyDescent="0.3"/>
  <cols>
    <col min="7" max="7" width="14.21875" bestFit="1" customWidth="1"/>
    <col min="16" max="16" width="14.21875" bestFit="1" customWidth="1"/>
  </cols>
  <sheetData>
    <row r="2" spans="2:19" x14ac:dyDescent="0.3">
      <c r="B2" s="14"/>
      <c r="G2" s="127" t="str">
        <f>+'Hoja de cronometraje'!K4</f>
        <v>Elemento P</v>
      </c>
      <c r="H2" s="128"/>
      <c r="P2" s="127" t="str">
        <f>+'Hoja de cronometraje'!N4</f>
        <v>Elemento C</v>
      </c>
      <c r="Q2" s="128"/>
    </row>
    <row r="4" spans="2:19" ht="15.6" x14ac:dyDescent="0.3"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2:19" ht="15.6" x14ac:dyDescent="0.3">
      <c r="C5" s="44"/>
      <c r="D5" s="52" t="s">
        <v>18</v>
      </c>
      <c r="E5" s="61" t="s">
        <v>19</v>
      </c>
      <c r="F5" s="52" t="s">
        <v>20</v>
      </c>
      <c r="G5" s="52" t="s">
        <v>21</v>
      </c>
      <c r="H5" s="44"/>
      <c r="I5" s="44"/>
      <c r="J5" s="44"/>
      <c r="K5" s="44"/>
      <c r="L5" s="44"/>
      <c r="M5" s="52" t="s">
        <v>18</v>
      </c>
      <c r="N5" s="61" t="s">
        <v>19</v>
      </c>
      <c r="O5" s="52" t="s">
        <v>20</v>
      </c>
      <c r="P5" s="52" t="s">
        <v>21</v>
      </c>
      <c r="Q5" s="44"/>
    </row>
    <row r="6" spans="2:19" ht="15.6" x14ac:dyDescent="0.3">
      <c r="C6" s="44"/>
      <c r="D6" s="57">
        <f ca="1">+'Hoja de cronometraje'!K7</f>
        <v>90</v>
      </c>
      <c r="E6" s="53">
        <f ca="1">+'Hoja de cronometraje'!L7</f>
        <v>4192</v>
      </c>
      <c r="F6" s="57">
        <f ca="1">(D6*E6)/100</f>
        <v>3772.8</v>
      </c>
      <c r="G6" s="57">
        <f ca="1">POWER(F6,2)</f>
        <v>14234019.840000002</v>
      </c>
      <c r="H6" s="44"/>
      <c r="I6" s="44"/>
      <c r="J6" s="44"/>
      <c r="K6" s="44"/>
      <c r="L6" s="44"/>
      <c r="M6" s="57">
        <f ca="1">+'Hoja de cronometraje'!N7</f>
        <v>95</v>
      </c>
      <c r="N6" s="53">
        <f ca="1">+'Hoja de cronometraje'!O7</f>
        <v>7721</v>
      </c>
      <c r="O6" s="57">
        <f ca="1">(M6*N6)/100</f>
        <v>7334.95</v>
      </c>
      <c r="P6" s="57">
        <f ca="1">POWER(O6,2)</f>
        <v>53801491.502499998</v>
      </c>
      <c r="Q6" s="44"/>
    </row>
    <row r="7" spans="2:19" ht="15.6" x14ac:dyDescent="0.3">
      <c r="C7" s="44"/>
      <c r="D7" s="57">
        <f ca="1">+'Hoja de cronometraje'!K8</f>
        <v>100</v>
      </c>
      <c r="E7" s="53">
        <f ca="1">+'Hoja de cronometraje'!L8</f>
        <v>4144</v>
      </c>
      <c r="F7" s="57">
        <f t="shared" ref="F7:F25" ca="1" si="0">(D7*E7)/100</f>
        <v>4144</v>
      </c>
      <c r="G7" s="57">
        <f t="shared" ref="G7:G25" ca="1" si="1">POWER(F7,2)</f>
        <v>17172736</v>
      </c>
      <c r="H7" s="44"/>
      <c r="I7" s="41" t="s">
        <v>23</v>
      </c>
      <c r="J7" s="41">
        <f ca="1">COUNTA(E6:E25)</f>
        <v>20</v>
      </c>
      <c r="K7" s="44"/>
      <c r="L7" s="44"/>
      <c r="M7" s="57">
        <f ca="1">+'Hoja de cronometraje'!N8</f>
        <v>100</v>
      </c>
      <c r="N7" s="53">
        <f ca="1">+'Hoja de cronometraje'!O8</f>
        <v>7703</v>
      </c>
      <c r="O7" s="57">
        <f t="shared" ref="O7:O25" ca="1" si="2">(M7*N7)/100</f>
        <v>7703</v>
      </c>
      <c r="P7" s="57">
        <f t="shared" ref="P7:P25" ca="1" si="3">POWER(O7,2)</f>
        <v>59336209</v>
      </c>
      <c r="Q7" s="44"/>
      <c r="R7" s="15" t="s">
        <v>23</v>
      </c>
      <c r="S7" s="3">
        <f ca="1">COUNTA(N6:N25)</f>
        <v>20</v>
      </c>
    </row>
    <row r="8" spans="2:19" ht="15.6" x14ac:dyDescent="0.3">
      <c r="C8" s="44"/>
      <c r="D8" s="57">
        <f ca="1">+'Hoja de cronometraje'!K9</f>
        <v>95</v>
      </c>
      <c r="E8" s="53">
        <f ca="1">+'Hoja de cronometraje'!L9</f>
        <v>4286</v>
      </c>
      <c r="F8" s="57">
        <f t="shared" ca="1" si="0"/>
        <v>4071.7</v>
      </c>
      <c r="G8" s="57">
        <f t="shared" ca="1" si="1"/>
        <v>16578740.889999999</v>
      </c>
      <c r="H8" s="44"/>
      <c r="I8" s="44"/>
      <c r="J8" s="44"/>
      <c r="K8" s="44"/>
      <c r="L8" s="44"/>
      <c r="M8" s="57">
        <f ca="1">+'Hoja de cronometraje'!N9</f>
        <v>95</v>
      </c>
      <c r="N8" s="53">
        <f ca="1">+'Hoja de cronometraje'!O9</f>
        <v>7726</v>
      </c>
      <c r="O8" s="57">
        <f t="shared" ca="1" si="2"/>
        <v>7339.7</v>
      </c>
      <c r="P8" s="57">
        <f t="shared" ca="1" si="3"/>
        <v>53871196.089999996</v>
      </c>
      <c r="Q8" s="44"/>
      <c r="R8" s="1"/>
    </row>
    <row r="9" spans="2:19" ht="15.6" x14ac:dyDescent="0.3">
      <c r="C9" s="44"/>
      <c r="D9" s="57">
        <f ca="1">+'Hoja de cronometraje'!K10</f>
        <v>90</v>
      </c>
      <c r="E9" s="53">
        <f ca="1">+'Hoja de cronometraje'!L10</f>
        <v>4217</v>
      </c>
      <c r="F9" s="57">
        <f t="shared" ca="1" si="0"/>
        <v>3795.3</v>
      </c>
      <c r="G9" s="57">
        <f t="shared" ca="1" si="1"/>
        <v>14404302.090000002</v>
      </c>
      <c r="H9" s="44"/>
      <c r="I9" s="44"/>
      <c r="J9" s="44"/>
      <c r="K9" s="44"/>
      <c r="L9" s="44"/>
      <c r="M9" s="57">
        <f ca="1">+'Hoja de cronometraje'!N10</f>
        <v>95</v>
      </c>
      <c r="N9" s="53">
        <f ca="1">+'Hoja de cronometraje'!O10</f>
        <v>7621</v>
      </c>
      <c r="O9" s="57">
        <f t="shared" ca="1" si="2"/>
        <v>7239.95</v>
      </c>
      <c r="P9" s="57">
        <f t="shared" ca="1" si="3"/>
        <v>52416876.002499998</v>
      </c>
      <c r="Q9" s="44"/>
      <c r="R9" s="1"/>
    </row>
    <row r="10" spans="2:19" ht="15.6" x14ac:dyDescent="0.3">
      <c r="C10" s="44"/>
      <c r="D10" s="57">
        <f ca="1">+'Hoja de cronometraje'!K11</f>
        <v>105</v>
      </c>
      <c r="E10" s="53">
        <f ca="1">+'Hoja de cronometraje'!L11</f>
        <v>4268</v>
      </c>
      <c r="F10" s="57">
        <f t="shared" ca="1" si="0"/>
        <v>4481.3999999999996</v>
      </c>
      <c r="G10" s="57">
        <f t="shared" ca="1" si="1"/>
        <v>20082945.959999997</v>
      </c>
      <c r="H10" s="44"/>
      <c r="I10" s="44"/>
      <c r="J10" s="44"/>
      <c r="K10" s="44"/>
      <c r="L10" s="44"/>
      <c r="M10" s="57">
        <f ca="1">+'Hoja de cronometraje'!N11</f>
        <v>90</v>
      </c>
      <c r="N10" s="53">
        <f ca="1">+'Hoja de cronometraje'!O11</f>
        <v>7794</v>
      </c>
      <c r="O10" s="57">
        <f t="shared" ca="1" si="2"/>
        <v>7014.6</v>
      </c>
      <c r="P10" s="57">
        <f t="shared" ca="1" si="3"/>
        <v>49204613.160000004</v>
      </c>
      <c r="Q10" s="44"/>
    </row>
    <row r="11" spans="2:19" ht="15.6" x14ac:dyDescent="0.3">
      <c r="C11" s="44"/>
      <c r="D11" s="57">
        <f ca="1">+'Hoja de cronometraje'!K12</f>
        <v>95</v>
      </c>
      <c r="E11" s="53">
        <f ca="1">+'Hoja de cronometraje'!L12</f>
        <v>4255</v>
      </c>
      <c r="F11" s="57">
        <f t="shared" ca="1" si="0"/>
        <v>4042.25</v>
      </c>
      <c r="G11" s="57">
        <f t="shared" ca="1" si="1"/>
        <v>16339785.0625</v>
      </c>
      <c r="H11" s="44"/>
      <c r="I11" s="44"/>
      <c r="J11" s="44"/>
      <c r="K11" s="44"/>
      <c r="L11" s="44"/>
      <c r="M11" s="57">
        <f ca="1">+'Hoja de cronometraje'!N12</f>
        <v>90</v>
      </c>
      <c r="N11" s="53">
        <f ca="1">+'Hoja de cronometraje'!O12</f>
        <v>7678</v>
      </c>
      <c r="O11" s="57">
        <f t="shared" ca="1" si="2"/>
        <v>6910.2</v>
      </c>
      <c r="P11" s="57">
        <f t="shared" ca="1" si="3"/>
        <v>47750864.039999999</v>
      </c>
      <c r="Q11" s="44"/>
    </row>
    <row r="12" spans="2:19" ht="15.6" x14ac:dyDescent="0.3">
      <c r="C12" s="44"/>
      <c r="D12" s="57">
        <f ca="1">+'Hoja de cronometraje'!K13</f>
        <v>95</v>
      </c>
      <c r="E12" s="53">
        <f ca="1">+'Hoja de cronometraje'!L13</f>
        <v>4167</v>
      </c>
      <c r="F12" s="57">
        <f t="shared" ca="1" si="0"/>
        <v>3958.65</v>
      </c>
      <c r="G12" s="57">
        <f t="shared" ca="1" si="1"/>
        <v>15670909.822500002</v>
      </c>
      <c r="H12" s="44"/>
      <c r="I12" s="41" t="s">
        <v>22</v>
      </c>
      <c r="J12" s="41">
        <f ca="1">ROUNDUP(POWER(((40*SQRT((J7*G26)-POWER(F26,2)))/F26),2),0)</f>
        <v>7</v>
      </c>
      <c r="K12" s="44"/>
      <c r="L12" s="44"/>
      <c r="M12" s="57">
        <f ca="1">+'Hoja de cronometraje'!N13</f>
        <v>100</v>
      </c>
      <c r="N12" s="53">
        <f ca="1">+'Hoja de cronometraje'!O13</f>
        <v>7759</v>
      </c>
      <c r="O12" s="57">
        <f t="shared" ca="1" si="2"/>
        <v>7759</v>
      </c>
      <c r="P12" s="57">
        <f t="shared" ca="1" si="3"/>
        <v>60202081</v>
      </c>
      <c r="Q12" s="44"/>
      <c r="R12" s="15" t="s">
        <v>22</v>
      </c>
      <c r="S12" s="3">
        <f ca="1">ROUNDUP(POWER(((40*SQRT((S7*P26)-POWER(O26,2)))/O26),2),0)</f>
        <v>4</v>
      </c>
    </row>
    <row r="13" spans="2:19" ht="15.6" x14ac:dyDescent="0.3">
      <c r="C13" s="44"/>
      <c r="D13" s="57">
        <f ca="1">+'Hoja de cronometraje'!K14</f>
        <v>90</v>
      </c>
      <c r="E13" s="53">
        <f ca="1">+'Hoja de cronometraje'!L14</f>
        <v>4231</v>
      </c>
      <c r="F13" s="57">
        <f t="shared" ca="1" si="0"/>
        <v>3807.9</v>
      </c>
      <c r="G13" s="57">
        <f t="shared" ca="1" si="1"/>
        <v>14500102.41</v>
      </c>
      <c r="H13" s="44"/>
      <c r="I13" s="44"/>
      <c r="J13" s="44"/>
      <c r="K13" s="44"/>
      <c r="L13" s="44"/>
      <c r="M13" s="57">
        <f ca="1">+'Hoja de cronometraje'!N14</f>
        <v>95</v>
      </c>
      <c r="N13" s="53">
        <f ca="1">+'Hoja de cronometraje'!O14</f>
        <v>7793</v>
      </c>
      <c r="O13" s="57">
        <f t="shared" ca="1" si="2"/>
        <v>7403.35</v>
      </c>
      <c r="P13" s="57">
        <f t="shared" ca="1" si="3"/>
        <v>54809591.222500004</v>
      </c>
      <c r="Q13" s="44"/>
    </row>
    <row r="14" spans="2:19" ht="15.6" x14ac:dyDescent="0.3">
      <c r="C14" s="44"/>
      <c r="D14" s="57">
        <f ca="1">+'Hoja de cronometraje'!K15</f>
        <v>95</v>
      </c>
      <c r="E14" s="53">
        <f ca="1">+'Hoja de cronometraje'!L15</f>
        <v>4177</v>
      </c>
      <c r="F14" s="57">
        <f t="shared" ca="1" si="0"/>
        <v>3968.15</v>
      </c>
      <c r="G14" s="57">
        <f t="shared" ca="1" si="1"/>
        <v>15746214.422500001</v>
      </c>
      <c r="H14" s="44"/>
      <c r="I14" s="44"/>
      <c r="J14" s="44"/>
      <c r="K14" s="44"/>
      <c r="L14" s="44"/>
      <c r="M14" s="57">
        <f ca="1">+'Hoja de cronometraje'!N15</f>
        <v>100</v>
      </c>
      <c r="N14" s="53">
        <f ca="1">+'Hoja de cronometraje'!O15</f>
        <v>7613</v>
      </c>
      <c r="O14" s="57">
        <f t="shared" ca="1" si="2"/>
        <v>7613</v>
      </c>
      <c r="P14" s="57">
        <f t="shared" ca="1" si="3"/>
        <v>57957769</v>
      </c>
      <c r="Q14" s="44"/>
    </row>
    <row r="15" spans="2:19" ht="15.6" x14ac:dyDescent="0.3">
      <c r="C15" s="44"/>
      <c r="D15" s="57">
        <f ca="1">+'Hoja de cronometraje'!K16</f>
        <v>100</v>
      </c>
      <c r="E15" s="53">
        <f ca="1">+'Hoja de cronometraje'!L16</f>
        <v>4173</v>
      </c>
      <c r="F15" s="57">
        <f t="shared" ca="1" si="0"/>
        <v>4173</v>
      </c>
      <c r="G15" s="57">
        <f t="shared" ca="1" si="1"/>
        <v>17413929</v>
      </c>
      <c r="H15" s="44"/>
      <c r="I15" s="44"/>
      <c r="J15" s="44"/>
      <c r="K15" s="44"/>
      <c r="L15" s="44"/>
      <c r="M15" s="57">
        <f ca="1">+'Hoja de cronometraje'!N16</f>
        <v>90</v>
      </c>
      <c r="N15" s="53">
        <f ca="1">+'Hoja de cronometraje'!O16</f>
        <v>7752</v>
      </c>
      <c r="O15" s="57">
        <f t="shared" ca="1" si="2"/>
        <v>6976.8</v>
      </c>
      <c r="P15" s="57">
        <f t="shared" ca="1" si="3"/>
        <v>48675738.240000002</v>
      </c>
      <c r="Q15" s="44"/>
    </row>
    <row r="16" spans="2:19" ht="15.6" x14ac:dyDescent="0.3">
      <c r="C16" s="44"/>
      <c r="D16" s="57">
        <f ca="1">+'Hoja de cronometraje'!K17</f>
        <v>105</v>
      </c>
      <c r="E16" s="53">
        <f ca="1">+'Hoja de cronometraje'!L17</f>
        <v>4274</v>
      </c>
      <c r="F16" s="57">
        <f t="shared" ca="1" si="0"/>
        <v>4487.7</v>
      </c>
      <c r="G16" s="57">
        <f t="shared" ca="1" si="1"/>
        <v>20139451.289999999</v>
      </c>
      <c r="H16" s="44"/>
      <c r="I16" s="44"/>
      <c r="J16" s="44"/>
      <c r="K16" s="44"/>
      <c r="L16" s="44"/>
      <c r="M16" s="57">
        <f ca="1">+'Hoja de cronometraje'!N17</f>
        <v>100</v>
      </c>
      <c r="N16" s="53">
        <f ca="1">+'Hoja de cronometraje'!O17</f>
        <v>7699</v>
      </c>
      <c r="O16" s="57">
        <f t="shared" ca="1" si="2"/>
        <v>7699</v>
      </c>
      <c r="P16" s="57">
        <f t="shared" ca="1" si="3"/>
        <v>59274601</v>
      </c>
      <c r="Q16" s="44"/>
    </row>
    <row r="17" spans="3:17" ht="15.6" x14ac:dyDescent="0.3">
      <c r="C17" s="44"/>
      <c r="D17" s="57">
        <f ca="1">+'Hoja de cronometraje'!K18</f>
        <v>95</v>
      </c>
      <c r="E17" s="53">
        <f ca="1">+'Hoja de cronometraje'!L18</f>
        <v>4262</v>
      </c>
      <c r="F17" s="57">
        <f t="shared" ca="1" si="0"/>
        <v>4048.9</v>
      </c>
      <c r="G17" s="57">
        <f t="shared" ca="1" si="1"/>
        <v>16393591.210000001</v>
      </c>
      <c r="H17" s="44"/>
      <c r="I17" s="44"/>
      <c r="J17" s="44"/>
      <c r="K17" s="44"/>
      <c r="L17" s="44"/>
      <c r="M17" s="57">
        <f ca="1">+'Hoja de cronometraje'!N18</f>
        <v>100</v>
      </c>
      <c r="N17" s="53">
        <f ca="1">+'Hoja de cronometraje'!O18</f>
        <v>7796</v>
      </c>
      <c r="O17" s="57">
        <f t="shared" ca="1" si="2"/>
        <v>7796</v>
      </c>
      <c r="P17" s="57">
        <f t="shared" ca="1" si="3"/>
        <v>60777616</v>
      </c>
      <c r="Q17" s="44"/>
    </row>
    <row r="18" spans="3:17" ht="15.6" x14ac:dyDescent="0.3">
      <c r="C18" s="44"/>
      <c r="D18" s="57">
        <f ca="1">+'Hoja de cronometraje'!K19</f>
        <v>90</v>
      </c>
      <c r="E18" s="53">
        <f ca="1">+'Hoja de cronometraje'!L19</f>
        <v>4277</v>
      </c>
      <c r="F18" s="57">
        <f t="shared" ca="1" si="0"/>
        <v>3849.3</v>
      </c>
      <c r="G18" s="57">
        <f t="shared" ca="1" si="1"/>
        <v>14817110.490000002</v>
      </c>
      <c r="H18" s="44"/>
      <c r="I18" s="44"/>
      <c r="J18" s="44"/>
      <c r="K18" s="44"/>
      <c r="L18" s="44"/>
      <c r="M18" s="57">
        <f ca="1">+'Hoja de cronometraje'!N19</f>
        <v>95</v>
      </c>
      <c r="N18" s="53">
        <f ca="1">+'Hoja de cronometraje'!O19</f>
        <v>7622</v>
      </c>
      <c r="O18" s="57">
        <f t="shared" ca="1" si="2"/>
        <v>7240.9</v>
      </c>
      <c r="P18" s="57">
        <f t="shared" ca="1" si="3"/>
        <v>52430632.809999995</v>
      </c>
      <c r="Q18" s="44"/>
    </row>
    <row r="19" spans="3:17" ht="15.6" x14ac:dyDescent="0.3">
      <c r="C19" s="44"/>
      <c r="D19" s="57">
        <f ca="1">+'Hoja de cronometraje'!K20</f>
        <v>100</v>
      </c>
      <c r="E19" s="53">
        <f ca="1">+'Hoja de cronometraje'!L20</f>
        <v>4159</v>
      </c>
      <c r="F19" s="57">
        <f t="shared" ca="1" si="0"/>
        <v>4159</v>
      </c>
      <c r="G19" s="57">
        <f t="shared" ca="1" si="1"/>
        <v>17297281</v>
      </c>
      <c r="H19" s="44"/>
      <c r="I19" s="44"/>
      <c r="J19" s="44"/>
      <c r="K19" s="44"/>
      <c r="L19" s="44"/>
      <c r="M19" s="57">
        <f ca="1">+'Hoja de cronometraje'!N20</f>
        <v>105</v>
      </c>
      <c r="N19" s="53">
        <f ca="1">+'Hoja de cronometraje'!O20</f>
        <v>7680</v>
      </c>
      <c r="O19" s="57">
        <f t="shared" ca="1" si="2"/>
        <v>8064</v>
      </c>
      <c r="P19" s="57">
        <f t="shared" ca="1" si="3"/>
        <v>65028096</v>
      </c>
      <c r="Q19" s="44"/>
    </row>
    <row r="20" spans="3:17" ht="15.6" x14ac:dyDescent="0.3">
      <c r="C20" s="44"/>
      <c r="D20" s="57">
        <f ca="1">+'Hoja de cronometraje'!K21</f>
        <v>90</v>
      </c>
      <c r="E20" s="53">
        <f ca="1">+'Hoja de cronometraje'!L21</f>
        <v>4103</v>
      </c>
      <c r="F20" s="57">
        <f t="shared" ca="1" si="0"/>
        <v>3692.7</v>
      </c>
      <c r="G20" s="57">
        <f t="shared" ca="1" si="1"/>
        <v>13636033.289999999</v>
      </c>
      <c r="H20" s="44"/>
      <c r="I20" s="44"/>
      <c r="J20" s="44"/>
      <c r="K20" s="44"/>
      <c r="L20" s="44"/>
      <c r="M20" s="57">
        <f ca="1">+'Hoja de cronometraje'!N21</f>
        <v>95</v>
      </c>
      <c r="N20" s="53">
        <f ca="1">+'Hoja de cronometraje'!O21</f>
        <v>7639</v>
      </c>
      <c r="O20" s="57">
        <f t="shared" ca="1" si="2"/>
        <v>7257.05</v>
      </c>
      <c r="P20" s="57">
        <f t="shared" ca="1" si="3"/>
        <v>52664774.702500001</v>
      </c>
      <c r="Q20" s="44"/>
    </row>
    <row r="21" spans="3:17" ht="15.6" x14ac:dyDescent="0.3">
      <c r="C21" s="44"/>
      <c r="D21" s="57">
        <f ca="1">+'Hoja de cronometraje'!K22</f>
        <v>85</v>
      </c>
      <c r="E21" s="53">
        <f ca="1">+'Hoja de cronometraje'!L22</f>
        <v>4296</v>
      </c>
      <c r="F21" s="57">
        <f t="shared" ca="1" si="0"/>
        <v>3651.6</v>
      </c>
      <c r="G21" s="57">
        <f t="shared" ca="1" si="1"/>
        <v>13334182.559999999</v>
      </c>
      <c r="H21" s="44"/>
      <c r="I21" s="44"/>
      <c r="J21" s="44"/>
      <c r="K21" s="44"/>
      <c r="L21" s="44"/>
      <c r="M21" s="57">
        <f ca="1">+'Hoja de cronometraje'!N22</f>
        <v>100</v>
      </c>
      <c r="N21" s="53">
        <f ca="1">+'Hoja de cronometraje'!O22</f>
        <v>7800</v>
      </c>
      <c r="O21" s="57">
        <f t="shared" ca="1" si="2"/>
        <v>7800</v>
      </c>
      <c r="P21" s="57">
        <f t="shared" ca="1" si="3"/>
        <v>60840000</v>
      </c>
      <c r="Q21" s="44"/>
    </row>
    <row r="22" spans="3:17" ht="15.6" x14ac:dyDescent="0.3">
      <c r="C22" s="44"/>
      <c r="D22" s="57">
        <f ca="1">+'Hoja de cronometraje'!K23</f>
        <v>105</v>
      </c>
      <c r="E22" s="53">
        <f ca="1">+'Hoja de cronometraje'!L23</f>
        <v>4259</v>
      </c>
      <c r="F22" s="57">
        <f t="shared" ca="1" si="0"/>
        <v>4471.95</v>
      </c>
      <c r="G22" s="57">
        <f t="shared" ca="1" si="1"/>
        <v>19998336.802499998</v>
      </c>
      <c r="H22" s="44"/>
      <c r="I22" s="44"/>
      <c r="J22" s="44"/>
      <c r="K22" s="44"/>
      <c r="L22" s="44"/>
      <c r="M22" s="57">
        <f ca="1">+'Hoja de cronometraje'!N23</f>
        <v>105</v>
      </c>
      <c r="N22" s="53">
        <f ca="1">+'Hoja de cronometraje'!O23</f>
        <v>7682</v>
      </c>
      <c r="O22" s="57">
        <f t="shared" ca="1" si="2"/>
        <v>8066.1</v>
      </c>
      <c r="P22" s="57">
        <f t="shared" ca="1" si="3"/>
        <v>65061969.210000008</v>
      </c>
      <c r="Q22" s="44"/>
    </row>
    <row r="23" spans="3:17" ht="15.6" x14ac:dyDescent="0.3">
      <c r="C23" s="44"/>
      <c r="D23" s="57">
        <f ca="1">+'Hoja de cronometraje'!K24</f>
        <v>95</v>
      </c>
      <c r="E23" s="53">
        <f ca="1">+'Hoja de cronometraje'!L24</f>
        <v>4176</v>
      </c>
      <c r="F23" s="57">
        <f t="shared" ca="1" si="0"/>
        <v>3967.2</v>
      </c>
      <c r="G23" s="57">
        <f t="shared" ca="1" si="1"/>
        <v>15738675.839999998</v>
      </c>
      <c r="H23" s="44"/>
      <c r="I23" s="44"/>
      <c r="J23" s="44"/>
      <c r="K23" s="44"/>
      <c r="L23" s="44"/>
      <c r="M23" s="57">
        <f ca="1">+'Hoja de cronometraje'!N24</f>
        <v>100</v>
      </c>
      <c r="N23" s="53">
        <f ca="1">+'Hoja de cronometraje'!O24</f>
        <v>7616</v>
      </c>
      <c r="O23" s="57">
        <f t="shared" ca="1" si="2"/>
        <v>7616</v>
      </c>
      <c r="P23" s="57">
        <f t="shared" ca="1" si="3"/>
        <v>58003456</v>
      </c>
      <c r="Q23" s="44"/>
    </row>
    <row r="24" spans="3:17" ht="15.6" x14ac:dyDescent="0.3">
      <c r="C24" s="44"/>
      <c r="D24" s="57">
        <f ca="1">+'Hoja de cronometraje'!K25</f>
        <v>90</v>
      </c>
      <c r="E24" s="53">
        <f ca="1">+'Hoja de cronometraje'!L25</f>
        <v>4117</v>
      </c>
      <c r="F24" s="57">
        <f t="shared" ca="1" si="0"/>
        <v>3705.3</v>
      </c>
      <c r="G24" s="57">
        <f t="shared" ca="1" si="1"/>
        <v>13729248.090000002</v>
      </c>
      <c r="H24" s="44"/>
      <c r="I24" s="44"/>
      <c r="J24" s="44"/>
      <c r="K24" s="44"/>
      <c r="L24" s="44"/>
      <c r="M24" s="57">
        <f ca="1">+'Hoja de cronometraje'!N25</f>
        <v>105</v>
      </c>
      <c r="N24" s="53">
        <f ca="1">+'Hoja de cronometraje'!O25</f>
        <v>7609</v>
      </c>
      <c r="O24" s="57">
        <f t="shared" ca="1" si="2"/>
        <v>7989.45</v>
      </c>
      <c r="P24" s="57">
        <f t="shared" ca="1" si="3"/>
        <v>63831311.302499995</v>
      </c>
      <c r="Q24" s="44"/>
    </row>
    <row r="25" spans="3:17" ht="15.6" x14ac:dyDescent="0.3">
      <c r="C25" s="44"/>
      <c r="D25" s="58">
        <f ca="1">+'Hoja de cronometraje'!K26</f>
        <v>100</v>
      </c>
      <c r="E25" s="54">
        <f ca="1">+'Hoja de cronometraje'!L26</f>
        <v>4151</v>
      </c>
      <c r="F25" s="58">
        <f t="shared" ca="1" si="0"/>
        <v>4151</v>
      </c>
      <c r="G25" s="58">
        <f t="shared" ca="1" si="1"/>
        <v>17230801</v>
      </c>
      <c r="H25" s="44"/>
      <c r="I25" s="44"/>
      <c r="J25" s="44"/>
      <c r="K25" s="44"/>
      <c r="L25" s="44"/>
      <c r="M25" s="58">
        <f ca="1">+'Hoja de cronometraje'!N26</f>
        <v>95</v>
      </c>
      <c r="N25" s="54">
        <f ca="1">+'Hoja de cronometraje'!O26</f>
        <v>7681</v>
      </c>
      <c r="O25" s="58">
        <f t="shared" ca="1" si="2"/>
        <v>7296.95</v>
      </c>
      <c r="P25" s="58">
        <f t="shared" ca="1" si="3"/>
        <v>53245479.302499995</v>
      </c>
      <c r="Q25" s="44"/>
    </row>
    <row r="26" spans="3:17" ht="15.6" x14ac:dyDescent="0.3">
      <c r="C26" s="44"/>
      <c r="D26" s="123" t="s">
        <v>91</v>
      </c>
      <c r="E26" s="124"/>
      <c r="F26" s="56">
        <f ca="1">SUM(F6:F25)</f>
        <v>80399.8</v>
      </c>
      <c r="G26" s="56">
        <f ca="1">SUM(G6:G25)</f>
        <v>324458397.06999993</v>
      </c>
      <c r="H26" s="44"/>
      <c r="I26" s="44"/>
      <c r="J26" s="44"/>
      <c r="K26" s="44"/>
      <c r="L26" s="44"/>
      <c r="M26" s="123" t="s">
        <v>91</v>
      </c>
      <c r="N26" s="124"/>
      <c r="O26" s="56">
        <f ca="1">SUM(O6:O25)</f>
        <v>150120.00000000003</v>
      </c>
      <c r="P26" s="56">
        <f ca="1">SUM(P6:P25)</f>
        <v>1129184365.585</v>
      </c>
      <c r="Q26" s="44"/>
    </row>
    <row r="27" spans="3:17" ht="15.6" x14ac:dyDescent="0.3">
      <c r="C27" s="44"/>
      <c r="D27" s="125" t="s">
        <v>92</v>
      </c>
      <c r="E27" s="126"/>
      <c r="F27" s="55">
        <f ca="1">+J12</f>
        <v>7</v>
      </c>
      <c r="G27" s="45" t="s">
        <v>144</v>
      </c>
      <c r="H27" s="44"/>
      <c r="I27" s="44"/>
      <c r="J27" s="44"/>
      <c r="K27" s="44"/>
      <c r="L27" s="44"/>
      <c r="M27" s="125" t="s">
        <v>92</v>
      </c>
      <c r="N27" s="126"/>
      <c r="O27" s="55">
        <f ca="1">+S12</f>
        <v>4</v>
      </c>
      <c r="P27" s="45" t="s">
        <v>144</v>
      </c>
      <c r="Q27" s="44"/>
    </row>
    <row r="28" spans="3:17" ht="15.6" x14ac:dyDescent="0.3"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3:17" ht="15.6" x14ac:dyDescent="0.3"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3:17" ht="15.6" x14ac:dyDescent="0.3">
      <c r="C30" s="44"/>
      <c r="D30" s="44"/>
      <c r="E30" s="44"/>
      <c r="F30" s="44"/>
      <c r="G30" s="129" t="str">
        <f>+'Hoja de cronometraje'!K29</f>
        <v>Elemento Q</v>
      </c>
      <c r="H30" s="130"/>
      <c r="I30" s="44"/>
      <c r="J30" s="44"/>
      <c r="K30" s="44"/>
      <c r="L30" s="44"/>
      <c r="M30" s="44"/>
      <c r="N30" s="44"/>
      <c r="O30" s="44"/>
      <c r="P30" s="129" t="str">
        <f>+'Hoja de cronometraje'!N29</f>
        <v>Elemento T</v>
      </c>
      <c r="Q30" s="130"/>
    </row>
    <row r="31" spans="3:17" ht="15.6" x14ac:dyDescent="0.3"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 spans="3:17" ht="15.6" x14ac:dyDescent="0.3"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 spans="3:19" ht="15.6" x14ac:dyDescent="0.3">
      <c r="C33" s="44"/>
      <c r="D33" s="52" t="s">
        <v>18</v>
      </c>
      <c r="E33" s="61" t="s">
        <v>19</v>
      </c>
      <c r="F33" s="52" t="s">
        <v>20</v>
      </c>
      <c r="G33" s="52" t="s">
        <v>21</v>
      </c>
      <c r="H33" s="44"/>
      <c r="I33" s="44"/>
      <c r="J33" s="44"/>
      <c r="K33" s="44"/>
      <c r="L33" s="44"/>
      <c r="M33" s="52" t="s">
        <v>18</v>
      </c>
      <c r="N33" s="61" t="s">
        <v>19</v>
      </c>
      <c r="O33" s="52" t="s">
        <v>20</v>
      </c>
      <c r="P33" s="52" t="s">
        <v>21</v>
      </c>
      <c r="Q33" s="44"/>
    </row>
    <row r="34" spans="3:19" ht="15.6" x14ac:dyDescent="0.3">
      <c r="C34" s="44"/>
      <c r="D34" s="57">
        <f ca="1">+'Hoja de cronometraje'!K32</f>
        <v>90</v>
      </c>
      <c r="E34" s="53">
        <f ca="1">+'Hoja de cronometraje'!L32</f>
        <v>2143</v>
      </c>
      <c r="F34" s="57">
        <f ca="1">(D34*E34)/100</f>
        <v>1928.7</v>
      </c>
      <c r="G34" s="57">
        <f ca="1">POWER(F34,2)</f>
        <v>3719883.69</v>
      </c>
      <c r="H34" s="44"/>
      <c r="I34" s="44"/>
      <c r="J34" s="44"/>
      <c r="K34" s="44"/>
      <c r="L34" s="44"/>
      <c r="M34" s="57">
        <f ca="1">+'Hoja de cronometraje'!N32</f>
        <v>90</v>
      </c>
      <c r="N34" s="53">
        <f ca="1">+'Hoja de cronometraje'!O32</f>
        <v>1306</v>
      </c>
      <c r="O34" s="57">
        <f ca="1">(M34*N34)/100</f>
        <v>1175.4000000000001</v>
      </c>
      <c r="P34" s="57">
        <f ca="1">POWER(O34,2)</f>
        <v>1381565.1600000001</v>
      </c>
      <c r="Q34" s="44"/>
    </row>
    <row r="35" spans="3:19" ht="15.6" x14ac:dyDescent="0.3">
      <c r="C35" s="44"/>
      <c r="D35" s="57">
        <f ca="1">+'Hoja de cronometraje'!K33</f>
        <v>85</v>
      </c>
      <c r="E35" s="53">
        <f ca="1">+'Hoja de cronometraje'!L33</f>
        <v>2280</v>
      </c>
      <c r="F35" s="57">
        <f t="shared" ref="F35:F53" ca="1" si="4">(D35*E35)/100</f>
        <v>1938</v>
      </c>
      <c r="G35" s="57">
        <f t="shared" ref="G35:G53" ca="1" si="5">POWER(F35,2)</f>
        <v>3755844</v>
      </c>
      <c r="H35" s="44"/>
      <c r="I35" s="41" t="s">
        <v>23</v>
      </c>
      <c r="J35" s="41">
        <f ca="1">COUNTA(E34:E53)</f>
        <v>20</v>
      </c>
      <c r="K35" s="44"/>
      <c r="L35" s="44"/>
      <c r="M35" s="57">
        <f ca="1">+'Hoja de cronometraje'!N33</f>
        <v>100</v>
      </c>
      <c r="N35" s="53">
        <f ca="1">+'Hoja de cronometraje'!O33</f>
        <v>1359</v>
      </c>
      <c r="O35" s="57">
        <f t="shared" ref="O35:O53" ca="1" si="6">(M35*N35)/100</f>
        <v>1359</v>
      </c>
      <c r="P35" s="57">
        <f t="shared" ref="P35:P53" ca="1" si="7">POWER(O35,2)</f>
        <v>1846881</v>
      </c>
      <c r="Q35" s="44"/>
      <c r="R35" s="15" t="s">
        <v>23</v>
      </c>
      <c r="S35" s="3">
        <f ca="1">COUNTA(N34:N53)</f>
        <v>20</v>
      </c>
    </row>
    <row r="36" spans="3:19" ht="15.6" x14ac:dyDescent="0.3">
      <c r="C36" s="44"/>
      <c r="D36" s="57">
        <f ca="1">+'Hoja de cronometraje'!K34</f>
        <v>100</v>
      </c>
      <c r="E36" s="53">
        <f ca="1">+'Hoja de cronometraje'!L34</f>
        <v>2025</v>
      </c>
      <c r="F36" s="57">
        <f t="shared" ca="1" si="4"/>
        <v>2025</v>
      </c>
      <c r="G36" s="57">
        <f t="shared" ca="1" si="5"/>
        <v>4100625</v>
      </c>
      <c r="H36" s="44"/>
      <c r="I36" s="44"/>
      <c r="J36" s="44"/>
      <c r="K36" s="44"/>
      <c r="L36" s="44"/>
      <c r="M36" s="57">
        <f ca="1">+'Hoja de cronometraje'!N34</f>
        <v>105</v>
      </c>
      <c r="N36" s="53">
        <f ca="1">+'Hoja de cronometraje'!O34</f>
        <v>1429</v>
      </c>
      <c r="O36" s="57">
        <f t="shared" ca="1" si="6"/>
        <v>1500.45</v>
      </c>
      <c r="P36" s="57">
        <f t="shared" ca="1" si="7"/>
        <v>2251350.2025000001</v>
      </c>
      <c r="Q36" s="44"/>
      <c r="R36" s="1"/>
    </row>
    <row r="37" spans="3:19" ht="15.6" x14ac:dyDescent="0.3">
      <c r="C37" s="44"/>
      <c r="D37" s="57">
        <f ca="1">+'Hoja de cronometraje'!K35</f>
        <v>90</v>
      </c>
      <c r="E37" s="53">
        <f ca="1">+'Hoja de cronometraje'!L35</f>
        <v>2017</v>
      </c>
      <c r="F37" s="57">
        <f t="shared" ca="1" si="4"/>
        <v>1815.3</v>
      </c>
      <c r="G37" s="57">
        <f t="shared" ca="1" si="5"/>
        <v>3295314.09</v>
      </c>
      <c r="H37" s="44"/>
      <c r="I37" s="44"/>
      <c r="J37" s="44"/>
      <c r="K37" s="44"/>
      <c r="L37" s="44"/>
      <c r="M37" s="57">
        <f ca="1">+'Hoja de cronometraje'!N35</f>
        <v>100</v>
      </c>
      <c r="N37" s="53">
        <f ca="1">+'Hoja de cronometraje'!O35</f>
        <v>1318</v>
      </c>
      <c r="O37" s="57">
        <f t="shared" ca="1" si="6"/>
        <v>1318</v>
      </c>
      <c r="P37" s="57">
        <f t="shared" ca="1" si="7"/>
        <v>1737124</v>
      </c>
      <c r="Q37" s="44"/>
      <c r="R37" s="1"/>
    </row>
    <row r="38" spans="3:19" ht="15.6" x14ac:dyDescent="0.3">
      <c r="C38" s="44"/>
      <c r="D38" s="57">
        <f ca="1">+'Hoja de cronometraje'!K36</f>
        <v>100</v>
      </c>
      <c r="E38" s="53">
        <f ca="1">+'Hoja de cronometraje'!L36</f>
        <v>2177</v>
      </c>
      <c r="F38" s="57">
        <f t="shared" ca="1" si="4"/>
        <v>2177</v>
      </c>
      <c r="G38" s="57">
        <f t="shared" ca="1" si="5"/>
        <v>4739329</v>
      </c>
      <c r="H38" s="44"/>
      <c r="I38" s="44"/>
      <c r="J38" s="44"/>
      <c r="K38" s="44"/>
      <c r="L38" s="44"/>
      <c r="M38" s="57">
        <f ca="1">+'Hoja de cronometraje'!N36</f>
        <v>100</v>
      </c>
      <c r="N38" s="53">
        <f ca="1">+'Hoja de cronometraje'!O36</f>
        <v>1364</v>
      </c>
      <c r="O38" s="57">
        <f t="shared" ca="1" si="6"/>
        <v>1364</v>
      </c>
      <c r="P38" s="57">
        <f t="shared" ca="1" si="7"/>
        <v>1860496</v>
      </c>
      <c r="Q38" s="44"/>
    </row>
    <row r="39" spans="3:19" ht="15.6" x14ac:dyDescent="0.3">
      <c r="C39" s="44"/>
      <c r="D39" s="57">
        <f ca="1">+'Hoja de cronometraje'!K37</f>
        <v>95</v>
      </c>
      <c r="E39" s="53">
        <f ca="1">+'Hoja de cronometraje'!L37</f>
        <v>2039</v>
      </c>
      <c r="F39" s="57">
        <f t="shared" ca="1" si="4"/>
        <v>1937.05</v>
      </c>
      <c r="G39" s="57">
        <f t="shared" ca="1" si="5"/>
        <v>3752162.7024999997</v>
      </c>
      <c r="H39" s="44"/>
      <c r="I39" s="44"/>
      <c r="J39" s="44"/>
      <c r="K39" s="44"/>
      <c r="L39" s="44"/>
      <c r="M39" s="57">
        <f ca="1">+'Hoja de cronometraje'!N37</f>
        <v>90</v>
      </c>
      <c r="N39" s="53">
        <f ca="1">+'Hoja de cronometraje'!O37</f>
        <v>1476</v>
      </c>
      <c r="O39" s="57">
        <f t="shared" ca="1" si="6"/>
        <v>1328.4</v>
      </c>
      <c r="P39" s="57">
        <f t="shared" ca="1" si="7"/>
        <v>1764646.5600000003</v>
      </c>
      <c r="Q39" s="44"/>
    </row>
    <row r="40" spans="3:19" ht="15.6" x14ac:dyDescent="0.3">
      <c r="C40" s="44"/>
      <c r="D40" s="57">
        <f ca="1">+'Hoja de cronometraje'!K38</f>
        <v>100</v>
      </c>
      <c r="E40" s="53">
        <f ca="1">+'Hoja de cronometraje'!L38</f>
        <v>2201</v>
      </c>
      <c r="F40" s="57">
        <f t="shared" ca="1" si="4"/>
        <v>2201</v>
      </c>
      <c r="G40" s="57">
        <f t="shared" ca="1" si="5"/>
        <v>4844401</v>
      </c>
      <c r="H40" s="44"/>
      <c r="I40" s="41" t="s">
        <v>22</v>
      </c>
      <c r="J40" s="41">
        <f ca="1">ROUNDUP(POWER(((40*SQRT((J35*G54)-POWER(F54,2)))/F54),2),0)</f>
        <v>5</v>
      </c>
      <c r="K40" s="44"/>
      <c r="L40" s="44"/>
      <c r="M40" s="57">
        <f ca="1">+'Hoja de cronometraje'!N38</f>
        <v>95</v>
      </c>
      <c r="N40" s="53">
        <f ca="1">+'Hoja de cronometraje'!O38</f>
        <v>1434</v>
      </c>
      <c r="O40" s="57">
        <f t="shared" ca="1" si="6"/>
        <v>1362.3</v>
      </c>
      <c r="P40" s="57">
        <f t="shared" ca="1" si="7"/>
        <v>1855861.2899999998</v>
      </c>
      <c r="Q40" s="44"/>
      <c r="R40" s="15" t="s">
        <v>22</v>
      </c>
      <c r="S40" s="3">
        <f ca="1">ROUNDUP(POWER(((40*SQRT((S35*P54)-POWER(O54,2)))/O54),2),0)</f>
        <v>6</v>
      </c>
    </row>
    <row r="41" spans="3:19" ht="15.6" x14ac:dyDescent="0.3">
      <c r="C41" s="44"/>
      <c r="D41" s="57">
        <f ca="1">+'Hoja de cronometraje'!K39</f>
        <v>95</v>
      </c>
      <c r="E41" s="53">
        <f ca="1">+'Hoja de cronometraje'!L39</f>
        <v>2292</v>
      </c>
      <c r="F41" s="57">
        <f t="shared" ca="1" si="4"/>
        <v>2177.4</v>
      </c>
      <c r="G41" s="57">
        <f t="shared" ca="1" si="5"/>
        <v>4741070.7600000007</v>
      </c>
      <c r="H41" s="44"/>
      <c r="I41" s="44"/>
      <c r="J41" s="44"/>
      <c r="K41" s="44"/>
      <c r="L41" s="44"/>
      <c r="M41" s="57">
        <f ca="1">+'Hoja de cronometraje'!N39</f>
        <v>105</v>
      </c>
      <c r="N41" s="53">
        <f ca="1">+'Hoja de cronometraje'!O39</f>
        <v>1207</v>
      </c>
      <c r="O41" s="57">
        <f t="shared" ca="1" si="6"/>
        <v>1267.3499999999999</v>
      </c>
      <c r="P41" s="57">
        <f t="shared" ca="1" si="7"/>
        <v>1606176.0224999997</v>
      </c>
      <c r="Q41" s="44"/>
    </row>
    <row r="42" spans="3:19" ht="15.6" x14ac:dyDescent="0.3">
      <c r="C42" s="44"/>
      <c r="D42" s="57">
        <f ca="1">+'Hoja de cronometraje'!K40</f>
        <v>95</v>
      </c>
      <c r="E42" s="53">
        <f ca="1">+'Hoja de cronometraje'!L40</f>
        <v>2125</v>
      </c>
      <c r="F42" s="57">
        <f t="shared" ca="1" si="4"/>
        <v>2018.75</v>
      </c>
      <c r="G42" s="57">
        <f t="shared" ca="1" si="5"/>
        <v>4075351.5625</v>
      </c>
      <c r="H42" s="44"/>
      <c r="I42" s="44"/>
      <c r="J42" s="44"/>
      <c r="K42" s="44"/>
      <c r="L42" s="44"/>
      <c r="M42" s="57">
        <f ca="1">+'Hoja de cronometraje'!N40</f>
        <v>90</v>
      </c>
      <c r="N42" s="53">
        <f ca="1">+'Hoja de cronometraje'!O40</f>
        <v>1332</v>
      </c>
      <c r="O42" s="57">
        <f t="shared" ca="1" si="6"/>
        <v>1198.8</v>
      </c>
      <c r="P42" s="57">
        <f t="shared" ca="1" si="7"/>
        <v>1437121.44</v>
      </c>
      <c r="Q42" s="44"/>
    </row>
    <row r="43" spans="3:19" ht="15.6" x14ac:dyDescent="0.3">
      <c r="C43" s="44"/>
      <c r="D43" s="57">
        <f ca="1">+'Hoja de cronometraje'!K41</f>
        <v>90</v>
      </c>
      <c r="E43" s="53">
        <f ca="1">+'Hoja de cronometraje'!L41</f>
        <v>2193</v>
      </c>
      <c r="F43" s="57">
        <f t="shared" ca="1" si="4"/>
        <v>1973.7</v>
      </c>
      <c r="G43" s="57">
        <f t="shared" ca="1" si="5"/>
        <v>3895491.6900000004</v>
      </c>
      <c r="H43" s="44"/>
      <c r="I43" s="44"/>
      <c r="J43" s="44"/>
      <c r="K43" s="44"/>
      <c r="L43" s="44"/>
      <c r="M43" s="57">
        <f ca="1">+'Hoja de cronometraje'!N41</f>
        <v>90</v>
      </c>
      <c r="N43" s="53">
        <f ca="1">+'Hoja de cronometraje'!O41</f>
        <v>1458</v>
      </c>
      <c r="O43" s="57">
        <f t="shared" ca="1" si="6"/>
        <v>1312.2</v>
      </c>
      <c r="P43" s="57">
        <f t="shared" ca="1" si="7"/>
        <v>1721868.84</v>
      </c>
      <c r="Q43" s="44"/>
    </row>
    <row r="44" spans="3:19" ht="15.6" x14ac:dyDescent="0.3">
      <c r="C44" s="44"/>
      <c r="D44" s="57">
        <f ca="1">+'Hoja de cronometraje'!K42</f>
        <v>90</v>
      </c>
      <c r="E44" s="53">
        <f ca="1">+'Hoja de cronometraje'!L42</f>
        <v>2259</v>
      </c>
      <c r="F44" s="57">
        <f t="shared" ca="1" si="4"/>
        <v>2033.1</v>
      </c>
      <c r="G44" s="57">
        <f t="shared" ca="1" si="5"/>
        <v>4133495.6099999994</v>
      </c>
      <c r="H44" s="44"/>
      <c r="I44" s="44"/>
      <c r="J44" s="44"/>
      <c r="K44" s="44"/>
      <c r="L44" s="44"/>
      <c r="M44" s="57">
        <f ca="1">+'Hoja de cronometraje'!N42</f>
        <v>105</v>
      </c>
      <c r="N44" s="53">
        <f ca="1">+'Hoja de cronometraje'!O42</f>
        <v>1239</v>
      </c>
      <c r="O44" s="57">
        <f t="shared" ca="1" si="6"/>
        <v>1300.95</v>
      </c>
      <c r="P44" s="57">
        <f t="shared" ca="1" si="7"/>
        <v>1692470.9025000001</v>
      </c>
      <c r="Q44" s="44"/>
    </row>
    <row r="45" spans="3:19" ht="15.6" x14ac:dyDescent="0.3">
      <c r="C45" s="44"/>
      <c r="D45" s="57">
        <f ca="1">+'Hoja de cronometraje'!K43</f>
        <v>100</v>
      </c>
      <c r="E45" s="53">
        <f ca="1">+'Hoja de cronometraje'!L43</f>
        <v>2057</v>
      </c>
      <c r="F45" s="57">
        <f t="shared" ca="1" si="4"/>
        <v>2057</v>
      </c>
      <c r="G45" s="57">
        <f t="shared" ca="1" si="5"/>
        <v>4231249</v>
      </c>
      <c r="H45" s="44"/>
      <c r="I45" s="44"/>
      <c r="J45" s="44"/>
      <c r="K45" s="44"/>
      <c r="L45" s="44"/>
      <c r="M45" s="57">
        <f ca="1">+'Hoja de cronometraje'!N43</f>
        <v>95</v>
      </c>
      <c r="N45" s="53">
        <f ca="1">+'Hoja de cronometraje'!O43</f>
        <v>1386</v>
      </c>
      <c r="O45" s="57">
        <f t="shared" ca="1" si="6"/>
        <v>1316.7</v>
      </c>
      <c r="P45" s="57">
        <f t="shared" ca="1" si="7"/>
        <v>1733698.8900000001</v>
      </c>
      <c r="Q45" s="44"/>
    </row>
    <row r="46" spans="3:19" ht="15.6" x14ac:dyDescent="0.3">
      <c r="C46" s="44"/>
      <c r="D46" s="57">
        <f ca="1">+'Hoja de cronometraje'!K44</f>
        <v>100</v>
      </c>
      <c r="E46" s="53">
        <f ca="1">+'Hoja de cronometraje'!L44</f>
        <v>2203</v>
      </c>
      <c r="F46" s="57">
        <f t="shared" ca="1" si="4"/>
        <v>2203</v>
      </c>
      <c r="G46" s="57">
        <f t="shared" ca="1" si="5"/>
        <v>4853209</v>
      </c>
      <c r="H46" s="44"/>
      <c r="I46" s="44"/>
      <c r="J46" s="44"/>
      <c r="K46" s="44"/>
      <c r="L46" s="44"/>
      <c r="M46" s="57">
        <f ca="1">+'Hoja de cronometraje'!N44</f>
        <v>105</v>
      </c>
      <c r="N46" s="53">
        <f ca="1">+'Hoja de cronometraje'!O44</f>
        <v>1348</v>
      </c>
      <c r="O46" s="57">
        <f t="shared" ca="1" si="6"/>
        <v>1415.4</v>
      </c>
      <c r="P46" s="57">
        <f t="shared" ca="1" si="7"/>
        <v>2003357.1600000001</v>
      </c>
      <c r="Q46" s="44"/>
    </row>
    <row r="47" spans="3:19" ht="15.6" x14ac:dyDescent="0.3">
      <c r="C47" s="44"/>
      <c r="D47" s="57">
        <f ca="1">+'Hoja de cronometraje'!K45</f>
        <v>100</v>
      </c>
      <c r="E47" s="53">
        <f ca="1">+'Hoja de cronometraje'!L45</f>
        <v>2187</v>
      </c>
      <c r="F47" s="57">
        <f t="shared" ca="1" si="4"/>
        <v>2187</v>
      </c>
      <c r="G47" s="57">
        <f t="shared" ca="1" si="5"/>
        <v>4782969</v>
      </c>
      <c r="H47" s="44"/>
      <c r="I47" s="44"/>
      <c r="J47" s="44"/>
      <c r="K47" s="44"/>
      <c r="L47" s="44"/>
      <c r="M47" s="57">
        <f ca="1">+'Hoja de cronometraje'!N45</f>
        <v>100</v>
      </c>
      <c r="N47" s="53">
        <f ca="1">+'Hoja de cronometraje'!O45</f>
        <v>1290</v>
      </c>
      <c r="O47" s="57">
        <f t="shared" ca="1" si="6"/>
        <v>1290</v>
      </c>
      <c r="P47" s="57">
        <f t="shared" ca="1" si="7"/>
        <v>1664100</v>
      </c>
      <c r="Q47" s="44"/>
    </row>
    <row r="48" spans="3:19" ht="15.6" x14ac:dyDescent="0.3">
      <c r="C48" s="44"/>
      <c r="D48" s="57">
        <f ca="1">+'Hoja de cronometraje'!K46</f>
        <v>105</v>
      </c>
      <c r="E48" s="53">
        <f ca="1">+'Hoja de cronometraje'!L46</f>
        <v>2084</v>
      </c>
      <c r="F48" s="57">
        <f t="shared" ca="1" si="4"/>
        <v>2188.1999999999998</v>
      </c>
      <c r="G48" s="57">
        <f t="shared" ca="1" si="5"/>
        <v>4788219.2399999993</v>
      </c>
      <c r="H48" s="44"/>
      <c r="I48" s="44"/>
      <c r="J48" s="44"/>
      <c r="K48" s="44"/>
      <c r="L48" s="44"/>
      <c r="M48" s="57">
        <f ca="1">+'Hoja de cronometraje'!N46</f>
        <v>85</v>
      </c>
      <c r="N48" s="53">
        <f ca="1">+'Hoja de cronometraje'!O46</f>
        <v>1392</v>
      </c>
      <c r="O48" s="57">
        <f t="shared" ca="1" si="6"/>
        <v>1183.2</v>
      </c>
      <c r="P48" s="57">
        <f t="shared" ca="1" si="7"/>
        <v>1399962.2400000002</v>
      </c>
      <c r="Q48" s="44"/>
    </row>
    <row r="49" spans="3:17" ht="15.6" x14ac:dyDescent="0.3">
      <c r="C49" s="44"/>
      <c r="D49" s="57">
        <f ca="1">+'Hoja de cronometraje'!K47</f>
        <v>90</v>
      </c>
      <c r="E49" s="53">
        <f ca="1">+'Hoja de cronometraje'!L47</f>
        <v>2194</v>
      </c>
      <c r="F49" s="57">
        <f t="shared" ca="1" si="4"/>
        <v>1974.6</v>
      </c>
      <c r="G49" s="57">
        <f t="shared" ca="1" si="5"/>
        <v>3899045.1599999997</v>
      </c>
      <c r="H49" s="44"/>
      <c r="I49" s="44"/>
      <c r="J49" s="44"/>
      <c r="K49" s="44"/>
      <c r="L49" s="44"/>
      <c r="M49" s="57">
        <f ca="1">+'Hoja de cronometraje'!N47</f>
        <v>95</v>
      </c>
      <c r="N49" s="53">
        <f ca="1">+'Hoja de cronometraje'!O47</f>
        <v>1337</v>
      </c>
      <c r="O49" s="57">
        <f t="shared" ca="1" si="6"/>
        <v>1270.1500000000001</v>
      </c>
      <c r="P49" s="57">
        <f t="shared" ca="1" si="7"/>
        <v>1613281.0225000002</v>
      </c>
      <c r="Q49" s="44"/>
    </row>
    <row r="50" spans="3:17" ht="15.6" x14ac:dyDescent="0.3">
      <c r="C50" s="44"/>
      <c r="D50" s="57">
        <f ca="1">+'Hoja de cronometraje'!K48</f>
        <v>95</v>
      </c>
      <c r="E50" s="53">
        <f ca="1">+'Hoja de cronometraje'!L48</f>
        <v>2245</v>
      </c>
      <c r="F50" s="57">
        <f t="shared" ca="1" si="4"/>
        <v>2132.75</v>
      </c>
      <c r="G50" s="57">
        <f t="shared" ca="1" si="5"/>
        <v>4548622.5625</v>
      </c>
      <c r="H50" s="44"/>
      <c r="I50" s="44"/>
      <c r="J50" s="44"/>
      <c r="K50" s="44"/>
      <c r="L50" s="44"/>
      <c r="M50" s="57">
        <f ca="1">+'Hoja de cronometraje'!N48</f>
        <v>105</v>
      </c>
      <c r="N50" s="53">
        <f ca="1">+'Hoja de cronometraje'!O48</f>
        <v>1259</v>
      </c>
      <c r="O50" s="57">
        <f t="shared" ca="1" si="6"/>
        <v>1321.95</v>
      </c>
      <c r="P50" s="57">
        <f t="shared" ca="1" si="7"/>
        <v>1747551.8025000002</v>
      </c>
      <c r="Q50" s="44"/>
    </row>
    <row r="51" spans="3:17" ht="15.6" x14ac:dyDescent="0.3">
      <c r="C51" s="44"/>
      <c r="D51" s="57">
        <f ca="1">+'Hoja de cronometraje'!K49</f>
        <v>105</v>
      </c>
      <c r="E51" s="53">
        <f ca="1">+'Hoja de cronometraje'!L49</f>
        <v>2002</v>
      </c>
      <c r="F51" s="57">
        <f t="shared" ca="1" si="4"/>
        <v>2102.1</v>
      </c>
      <c r="G51" s="57">
        <f t="shared" ca="1" si="5"/>
        <v>4418824.4099999992</v>
      </c>
      <c r="H51" s="44"/>
      <c r="I51" s="44"/>
      <c r="J51" s="44"/>
      <c r="K51" s="44"/>
      <c r="L51" s="44"/>
      <c r="M51" s="57">
        <f ca="1">+'Hoja de cronometraje'!N49</f>
        <v>85</v>
      </c>
      <c r="N51" s="53">
        <f ca="1">+'Hoja de cronometraje'!O49</f>
        <v>1449</v>
      </c>
      <c r="O51" s="57">
        <f t="shared" ca="1" si="6"/>
        <v>1231.6500000000001</v>
      </c>
      <c r="P51" s="57">
        <f t="shared" ca="1" si="7"/>
        <v>1516961.7225000001</v>
      </c>
      <c r="Q51" s="44"/>
    </row>
    <row r="52" spans="3:17" ht="15.6" x14ac:dyDescent="0.3">
      <c r="C52" s="44"/>
      <c r="D52" s="57">
        <f ca="1">+'Hoja de cronometraje'!K50</f>
        <v>90</v>
      </c>
      <c r="E52" s="53">
        <f ca="1">+'Hoja de cronometraje'!L50</f>
        <v>2255</v>
      </c>
      <c r="F52" s="57">
        <f t="shared" ca="1" si="4"/>
        <v>2029.5</v>
      </c>
      <c r="G52" s="57">
        <f t="shared" ca="1" si="5"/>
        <v>4118870.25</v>
      </c>
      <c r="H52" s="44"/>
      <c r="I52" s="44"/>
      <c r="J52" s="44"/>
      <c r="K52" s="44"/>
      <c r="L52" s="44"/>
      <c r="M52" s="57">
        <f ca="1">+'Hoja de cronometraje'!N50</f>
        <v>105</v>
      </c>
      <c r="N52" s="53">
        <f ca="1">+'Hoja de cronometraje'!O50</f>
        <v>1227</v>
      </c>
      <c r="O52" s="57">
        <f t="shared" ca="1" si="6"/>
        <v>1288.3499999999999</v>
      </c>
      <c r="P52" s="57">
        <f t="shared" ca="1" si="7"/>
        <v>1659845.7224999997</v>
      </c>
      <c r="Q52" s="44"/>
    </row>
    <row r="53" spans="3:17" ht="15.6" x14ac:dyDescent="0.3">
      <c r="C53" s="44"/>
      <c r="D53" s="58">
        <f ca="1">+'Hoja de cronometraje'!K51</f>
        <v>100</v>
      </c>
      <c r="E53" s="54">
        <f ca="1">+'Hoja de cronometraje'!L51</f>
        <v>2068</v>
      </c>
      <c r="F53" s="58">
        <f t="shared" ca="1" si="4"/>
        <v>2068</v>
      </c>
      <c r="G53" s="58">
        <f t="shared" ca="1" si="5"/>
        <v>4276624</v>
      </c>
      <c r="H53" s="44"/>
      <c r="I53" s="44"/>
      <c r="J53" s="44"/>
      <c r="K53" s="44"/>
      <c r="L53" s="44"/>
      <c r="M53" s="58">
        <f ca="1">+'Hoja de cronometraje'!N51</f>
        <v>105</v>
      </c>
      <c r="N53" s="54">
        <f ca="1">+'Hoja de cronometraje'!O51</f>
        <v>1339</v>
      </c>
      <c r="O53" s="58">
        <f t="shared" ca="1" si="6"/>
        <v>1405.95</v>
      </c>
      <c r="P53" s="58">
        <f t="shared" ca="1" si="7"/>
        <v>1976695.4025000001</v>
      </c>
      <c r="Q53" s="44"/>
    </row>
    <row r="54" spans="3:17" ht="15.6" x14ac:dyDescent="0.3">
      <c r="C54" s="44"/>
      <c r="D54" s="123" t="s">
        <v>91</v>
      </c>
      <c r="E54" s="124"/>
      <c r="F54" s="56">
        <f ca="1">SUM(F34:F53)</f>
        <v>41167.149999999994</v>
      </c>
      <c r="G54" s="56">
        <f ca="1">SUM(G34:G53)</f>
        <v>84970601.727500007</v>
      </c>
      <c r="H54" s="44"/>
      <c r="I54" s="44"/>
      <c r="J54" s="44"/>
      <c r="K54" s="44"/>
      <c r="L54" s="44"/>
      <c r="M54" s="123" t="s">
        <v>91</v>
      </c>
      <c r="N54" s="124"/>
      <c r="O54" s="56">
        <f ca="1">SUM(O34:O53)</f>
        <v>26210.200000000004</v>
      </c>
      <c r="P54" s="56">
        <f ca="1">SUM(P34:P53)</f>
        <v>34471015.38000001</v>
      </c>
      <c r="Q54" s="44"/>
    </row>
    <row r="55" spans="3:17" ht="15.6" x14ac:dyDescent="0.3">
      <c r="C55" s="44"/>
      <c r="D55" s="125" t="s">
        <v>92</v>
      </c>
      <c r="E55" s="126"/>
      <c r="F55" s="55">
        <f ca="1">+J40</f>
        <v>5</v>
      </c>
      <c r="G55" s="45" t="s">
        <v>144</v>
      </c>
      <c r="H55" s="44"/>
      <c r="I55" s="44"/>
      <c r="J55" s="44"/>
      <c r="K55" s="44"/>
      <c r="L55" s="44"/>
      <c r="M55" s="125" t="s">
        <v>92</v>
      </c>
      <c r="N55" s="126"/>
      <c r="O55" s="55">
        <f ca="1">+S40</f>
        <v>6</v>
      </c>
      <c r="P55" s="45" t="s">
        <v>144</v>
      </c>
      <c r="Q55" s="44"/>
    </row>
    <row r="56" spans="3:17" ht="15.6" x14ac:dyDescent="0.3"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3:17" ht="15.6" x14ac:dyDescent="0.3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3:17" ht="15.6" x14ac:dyDescent="0.3"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3:17" ht="15.6" x14ac:dyDescent="0.3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 spans="3:17" ht="15.6" x14ac:dyDescent="0.3"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 spans="3:17" ht="15.6" x14ac:dyDescent="0.3"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 spans="3:17" ht="15.6" x14ac:dyDescent="0.3"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 spans="3:17" ht="15.6" x14ac:dyDescent="0.3"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 spans="3:17" ht="15.6" x14ac:dyDescent="0.3">
      <c r="C64" s="44"/>
      <c r="D64" s="44"/>
      <c r="E64" s="44"/>
      <c r="F64" s="44"/>
      <c r="G64" s="129" t="str">
        <f>+'Hoja de cronometraje'!K54</f>
        <v>Elemento J</v>
      </c>
      <c r="H64" s="130"/>
      <c r="I64" s="44"/>
      <c r="J64" s="44"/>
      <c r="K64" s="44"/>
      <c r="L64" s="44"/>
      <c r="M64" s="44"/>
      <c r="N64" s="44"/>
      <c r="O64" s="44"/>
      <c r="P64" s="44"/>
      <c r="Q64" s="44"/>
    </row>
    <row r="65" spans="3:17" ht="15.6" x14ac:dyDescent="0.3"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 spans="3:17" ht="15.6" x14ac:dyDescent="0.3"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 spans="3:17" ht="15.6" x14ac:dyDescent="0.3">
      <c r="C67" s="44"/>
      <c r="D67" s="52" t="s">
        <v>18</v>
      </c>
      <c r="E67" s="61" t="s">
        <v>19</v>
      </c>
      <c r="F67" s="52" t="s">
        <v>20</v>
      </c>
      <c r="G67" s="52" t="s">
        <v>21</v>
      </c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 spans="3:17" ht="15.6" x14ac:dyDescent="0.3">
      <c r="C68" s="44"/>
      <c r="D68" s="57">
        <f ca="1">+'Hoja de cronometraje'!K57</f>
        <v>95</v>
      </c>
      <c r="E68" s="53">
        <f ca="1">+'Hoja de cronometraje'!L57</f>
        <v>2350</v>
      </c>
      <c r="F68" s="57">
        <f ca="1">(D68*E68)/100</f>
        <v>2232.5</v>
      </c>
      <c r="G68" s="57">
        <f ca="1">POWER(F68,2)</f>
        <v>4984056.25</v>
      </c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 spans="3:17" ht="15.6" x14ac:dyDescent="0.3">
      <c r="C69" s="44"/>
      <c r="D69" s="57">
        <f ca="1">+'Hoja de cronometraje'!K58</f>
        <v>95</v>
      </c>
      <c r="E69" s="53">
        <f ca="1">+'Hoja de cronometraje'!L58</f>
        <v>2382</v>
      </c>
      <c r="F69" s="57">
        <f t="shared" ref="F69:F87" ca="1" si="8">(D69*E69)/100</f>
        <v>2262.9</v>
      </c>
      <c r="G69" s="57">
        <f t="shared" ref="G69:G87" ca="1" si="9">POWER(F69,2)</f>
        <v>5120716.41</v>
      </c>
      <c r="H69" s="44"/>
      <c r="I69" s="41" t="s">
        <v>23</v>
      </c>
      <c r="J69" s="41">
        <f ca="1">COUNTA(E68:E87)</f>
        <v>20</v>
      </c>
      <c r="K69" s="44"/>
      <c r="L69" s="44"/>
      <c r="M69" s="44"/>
      <c r="N69" s="44"/>
      <c r="O69" s="44"/>
      <c r="P69" s="44"/>
      <c r="Q69" s="44"/>
    </row>
    <row r="70" spans="3:17" ht="15.6" x14ac:dyDescent="0.3">
      <c r="C70" s="44"/>
      <c r="D70" s="57">
        <f ca="1">+'Hoja de cronometraje'!K59</f>
        <v>100</v>
      </c>
      <c r="E70" s="53">
        <f ca="1">+'Hoja de cronometraje'!L59</f>
        <v>2301</v>
      </c>
      <c r="F70" s="57">
        <f t="shared" ca="1" si="8"/>
        <v>2301</v>
      </c>
      <c r="G70" s="57">
        <f t="shared" ca="1" si="9"/>
        <v>5294601</v>
      </c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 spans="3:17" ht="15.6" x14ac:dyDescent="0.3">
      <c r="C71" s="44"/>
      <c r="D71" s="57">
        <f ca="1">+'Hoja de cronometraje'!K60</f>
        <v>100</v>
      </c>
      <c r="E71" s="53">
        <f ca="1">+'Hoja de cronometraje'!L60</f>
        <v>2257</v>
      </c>
      <c r="F71" s="57">
        <f t="shared" ca="1" si="8"/>
        <v>2257</v>
      </c>
      <c r="G71" s="57">
        <f t="shared" ca="1" si="9"/>
        <v>5094049</v>
      </c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 spans="3:17" ht="15.6" x14ac:dyDescent="0.3">
      <c r="C72" s="44"/>
      <c r="D72" s="57">
        <f ca="1">+'Hoja de cronometraje'!K61</f>
        <v>95</v>
      </c>
      <c r="E72" s="53">
        <f ca="1">+'Hoja de cronometraje'!L61</f>
        <v>2254</v>
      </c>
      <c r="F72" s="57">
        <f t="shared" ca="1" si="8"/>
        <v>2141.3000000000002</v>
      </c>
      <c r="G72" s="57">
        <f t="shared" ca="1" si="9"/>
        <v>4585165.6900000004</v>
      </c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 spans="3:17" ht="15.6" x14ac:dyDescent="0.3">
      <c r="C73" s="44"/>
      <c r="D73" s="57">
        <f ca="1">+'Hoja de cronometraje'!K62</f>
        <v>95</v>
      </c>
      <c r="E73" s="53">
        <f ca="1">+'Hoja de cronometraje'!L62</f>
        <v>2328</v>
      </c>
      <c r="F73" s="57">
        <f t="shared" ca="1" si="8"/>
        <v>2211.6</v>
      </c>
      <c r="G73" s="57">
        <f t="shared" ca="1" si="9"/>
        <v>4891174.5599999996</v>
      </c>
      <c r="H73" s="44"/>
      <c r="I73" s="44"/>
      <c r="J73" s="44"/>
      <c r="K73" s="44"/>
      <c r="L73" s="44"/>
      <c r="M73" s="44"/>
      <c r="N73" s="44"/>
      <c r="O73" s="44"/>
      <c r="P73" s="44"/>
      <c r="Q73" s="44"/>
    </row>
    <row r="74" spans="3:17" ht="15.6" x14ac:dyDescent="0.3">
      <c r="C74" s="44"/>
      <c r="D74" s="57">
        <f ca="1">+'Hoja de cronometraje'!K63</f>
        <v>100</v>
      </c>
      <c r="E74" s="53">
        <f ca="1">+'Hoja de cronometraje'!L63</f>
        <v>2354</v>
      </c>
      <c r="F74" s="57">
        <f t="shared" ca="1" si="8"/>
        <v>2354</v>
      </c>
      <c r="G74" s="57">
        <f t="shared" ca="1" si="9"/>
        <v>5541316</v>
      </c>
      <c r="H74" s="44"/>
      <c r="I74" s="41" t="s">
        <v>22</v>
      </c>
      <c r="J74" s="41">
        <f ca="1">ROUNDUP(POWER(((40*SQRT((J69*G88)-POWER(F88,2)))/F88),2),0)</f>
        <v>4</v>
      </c>
      <c r="K74" s="44"/>
      <c r="L74" s="44"/>
      <c r="M74" s="44"/>
      <c r="N74" s="44"/>
      <c r="O74" s="44"/>
      <c r="P74" s="44"/>
      <c r="Q74" s="44"/>
    </row>
    <row r="75" spans="3:17" ht="15.6" x14ac:dyDescent="0.3">
      <c r="C75" s="44"/>
      <c r="D75" s="57">
        <f ca="1">+'Hoja de cronometraje'!K64</f>
        <v>85</v>
      </c>
      <c r="E75" s="53">
        <f ca="1">+'Hoja de cronometraje'!L64</f>
        <v>2372</v>
      </c>
      <c r="F75" s="57">
        <f t="shared" ca="1" si="8"/>
        <v>2016.2</v>
      </c>
      <c r="G75" s="57">
        <f t="shared" ca="1" si="9"/>
        <v>4065062.4400000004</v>
      </c>
      <c r="H75" s="44"/>
      <c r="I75" s="44"/>
      <c r="J75" s="44"/>
      <c r="K75" s="44"/>
      <c r="L75" s="44"/>
      <c r="M75" s="44"/>
      <c r="N75" s="44"/>
      <c r="O75" s="44"/>
      <c r="P75" s="44"/>
      <c r="Q75" s="44"/>
    </row>
    <row r="76" spans="3:17" ht="15.6" x14ac:dyDescent="0.3">
      <c r="C76" s="44"/>
      <c r="D76" s="57">
        <f ca="1">+'Hoja de cronometraje'!K65</f>
        <v>90</v>
      </c>
      <c r="E76" s="53">
        <f ca="1">+'Hoja de cronometraje'!L65</f>
        <v>2310</v>
      </c>
      <c r="F76" s="57">
        <f t="shared" ca="1" si="8"/>
        <v>2079</v>
      </c>
      <c r="G76" s="57">
        <f t="shared" ca="1" si="9"/>
        <v>4322241</v>
      </c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 spans="3:17" ht="15.6" x14ac:dyDescent="0.3">
      <c r="C77" s="44"/>
      <c r="D77" s="57">
        <f ca="1">+'Hoja de cronometraje'!K66</f>
        <v>95</v>
      </c>
      <c r="E77" s="53">
        <f ca="1">+'Hoja de cronometraje'!L66</f>
        <v>2263</v>
      </c>
      <c r="F77" s="57">
        <f t="shared" ca="1" si="8"/>
        <v>2149.85</v>
      </c>
      <c r="G77" s="57">
        <f t="shared" ca="1" si="9"/>
        <v>4621855.0225</v>
      </c>
      <c r="H77" s="44"/>
      <c r="I77" s="44"/>
      <c r="J77" s="44"/>
      <c r="K77" s="44"/>
      <c r="L77" s="44"/>
      <c r="M77" s="44"/>
      <c r="N77" s="44"/>
      <c r="O77" s="44"/>
      <c r="P77" s="44"/>
      <c r="Q77" s="44"/>
    </row>
    <row r="78" spans="3:17" ht="15.6" x14ac:dyDescent="0.3">
      <c r="C78" s="44"/>
      <c r="D78" s="57">
        <f ca="1">+'Hoja de cronometraje'!K67</f>
        <v>90</v>
      </c>
      <c r="E78" s="53">
        <f ca="1">+'Hoja de cronometraje'!L67</f>
        <v>2368</v>
      </c>
      <c r="F78" s="57">
        <f t="shared" ca="1" si="8"/>
        <v>2131.1999999999998</v>
      </c>
      <c r="G78" s="57">
        <f t="shared" ca="1" si="9"/>
        <v>4542013.4399999995</v>
      </c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 spans="3:17" ht="15.6" x14ac:dyDescent="0.3">
      <c r="C79" s="44"/>
      <c r="D79" s="57">
        <f ca="1">+'Hoja de cronometraje'!K68</f>
        <v>100</v>
      </c>
      <c r="E79" s="53">
        <f ca="1">+'Hoja de cronometraje'!L68</f>
        <v>2248</v>
      </c>
      <c r="F79" s="57">
        <f t="shared" ca="1" si="8"/>
        <v>2248</v>
      </c>
      <c r="G79" s="57">
        <f t="shared" ca="1" si="9"/>
        <v>5053504</v>
      </c>
      <c r="H79" s="44"/>
      <c r="I79" s="44"/>
      <c r="J79" s="44"/>
      <c r="K79" s="44"/>
      <c r="L79" s="44"/>
      <c r="M79" s="44"/>
      <c r="N79" s="44"/>
      <c r="O79" s="44"/>
      <c r="P79" s="44"/>
      <c r="Q79" s="44"/>
    </row>
    <row r="80" spans="3:17" ht="15.6" x14ac:dyDescent="0.3">
      <c r="C80" s="44"/>
      <c r="D80" s="57">
        <f ca="1">+'Hoja de cronometraje'!K69</f>
        <v>85</v>
      </c>
      <c r="E80" s="53">
        <f ca="1">+'Hoja de cronometraje'!L69</f>
        <v>2284</v>
      </c>
      <c r="F80" s="57">
        <f t="shared" ca="1" si="8"/>
        <v>1941.4</v>
      </c>
      <c r="G80" s="57">
        <f t="shared" ca="1" si="9"/>
        <v>3769033.9600000004</v>
      </c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 spans="3:17" ht="15.6" x14ac:dyDescent="0.3">
      <c r="C81" s="44"/>
      <c r="D81" s="57">
        <f ca="1">+'Hoja de cronometraje'!K70</f>
        <v>85</v>
      </c>
      <c r="E81" s="53">
        <f ca="1">+'Hoja de cronometraje'!L70</f>
        <v>2329</v>
      </c>
      <c r="F81" s="57">
        <f t="shared" ca="1" si="8"/>
        <v>1979.65</v>
      </c>
      <c r="G81" s="57">
        <f t="shared" ca="1" si="9"/>
        <v>3919014.1225000005</v>
      </c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2" spans="3:17" ht="15.6" x14ac:dyDescent="0.3">
      <c r="C82" s="44"/>
      <c r="D82" s="57">
        <f ca="1">+'Hoja de cronometraje'!K71</f>
        <v>100</v>
      </c>
      <c r="E82" s="53">
        <f ca="1">+'Hoja de cronometraje'!L71</f>
        <v>2209</v>
      </c>
      <c r="F82" s="57">
        <f t="shared" ca="1" si="8"/>
        <v>2209</v>
      </c>
      <c r="G82" s="57">
        <f t="shared" ca="1" si="9"/>
        <v>4879681</v>
      </c>
      <c r="H82" s="44"/>
      <c r="I82" s="44"/>
      <c r="J82" s="44"/>
      <c r="K82" s="44"/>
      <c r="L82" s="44"/>
      <c r="M82" s="44"/>
      <c r="N82" s="44"/>
      <c r="O82" s="44"/>
      <c r="P82" s="44"/>
      <c r="Q82" s="44"/>
    </row>
    <row r="83" spans="3:17" ht="15.6" x14ac:dyDescent="0.3">
      <c r="C83" s="44"/>
      <c r="D83" s="57">
        <f ca="1">+'Hoja de cronometraje'!K72</f>
        <v>95</v>
      </c>
      <c r="E83" s="53">
        <f ca="1">+'Hoja de cronometraje'!L72</f>
        <v>2251</v>
      </c>
      <c r="F83" s="57">
        <f t="shared" ca="1" si="8"/>
        <v>2138.4499999999998</v>
      </c>
      <c r="G83" s="57">
        <f t="shared" ca="1" si="9"/>
        <v>4572968.4024999989</v>
      </c>
      <c r="H83" s="44"/>
      <c r="I83" s="44"/>
      <c r="J83" s="44"/>
      <c r="K83" s="44"/>
      <c r="L83" s="44"/>
      <c r="M83" s="44"/>
      <c r="N83" s="44"/>
      <c r="O83" s="44"/>
      <c r="P83" s="44"/>
      <c r="Q83" s="44"/>
    </row>
    <row r="84" spans="3:17" ht="15.6" x14ac:dyDescent="0.3">
      <c r="C84" s="44"/>
      <c r="D84" s="57">
        <f ca="1">+'Hoja de cronometraje'!K73</f>
        <v>90</v>
      </c>
      <c r="E84" s="53">
        <f ca="1">+'Hoja de cronometraje'!L73</f>
        <v>2352</v>
      </c>
      <c r="F84" s="57">
        <f t="shared" ca="1" si="8"/>
        <v>2116.8000000000002</v>
      </c>
      <c r="G84" s="57">
        <f t="shared" ca="1" si="9"/>
        <v>4480842.2400000012</v>
      </c>
      <c r="H84" s="44"/>
      <c r="I84" s="44"/>
      <c r="J84" s="44"/>
      <c r="K84" s="44"/>
      <c r="L84" s="44"/>
      <c r="M84" s="44"/>
      <c r="N84" s="44"/>
      <c r="O84" s="44"/>
      <c r="P84" s="44"/>
      <c r="Q84" s="44"/>
    </row>
    <row r="85" spans="3:17" ht="15.6" x14ac:dyDescent="0.3">
      <c r="C85" s="44"/>
      <c r="D85" s="57">
        <f ca="1">+'Hoja de cronometraje'!K74</f>
        <v>95</v>
      </c>
      <c r="E85" s="53">
        <f ca="1">+'Hoja de cronometraje'!L74</f>
        <v>2268</v>
      </c>
      <c r="F85" s="57">
        <f t="shared" ca="1" si="8"/>
        <v>2154.6</v>
      </c>
      <c r="G85" s="57">
        <f t="shared" ca="1" si="9"/>
        <v>4642301.1599999992</v>
      </c>
      <c r="H85" s="44"/>
      <c r="I85" s="44"/>
      <c r="J85" s="44"/>
      <c r="K85" s="44"/>
      <c r="L85" s="44"/>
      <c r="M85" s="44"/>
      <c r="N85" s="44"/>
      <c r="O85" s="44"/>
      <c r="P85" s="44"/>
      <c r="Q85" s="44"/>
    </row>
    <row r="86" spans="3:17" ht="15.6" x14ac:dyDescent="0.3">
      <c r="C86" s="44"/>
      <c r="D86" s="57">
        <f ca="1">+'Hoja de cronometraje'!K75</f>
        <v>90</v>
      </c>
      <c r="E86" s="53">
        <f ca="1">+'Hoja de cronometraje'!L75</f>
        <v>2336</v>
      </c>
      <c r="F86" s="57">
        <f t="shared" ca="1" si="8"/>
        <v>2102.4</v>
      </c>
      <c r="G86" s="57">
        <f t="shared" ca="1" si="9"/>
        <v>4420085.7600000007</v>
      </c>
      <c r="H86" s="44"/>
      <c r="I86" s="44"/>
      <c r="J86" s="44"/>
      <c r="K86" s="44"/>
      <c r="L86" s="44"/>
      <c r="M86" s="44"/>
      <c r="N86" s="44"/>
      <c r="O86" s="44"/>
      <c r="P86" s="44"/>
      <c r="Q86" s="44"/>
    </row>
    <row r="87" spans="3:17" ht="15.6" x14ac:dyDescent="0.3">
      <c r="C87" s="44"/>
      <c r="D87" s="58">
        <f ca="1">+'Hoja de cronometraje'!K76</f>
        <v>95</v>
      </c>
      <c r="E87" s="54">
        <f ca="1">+'Hoja de cronometraje'!L76</f>
        <v>2307</v>
      </c>
      <c r="F87" s="58">
        <f t="shared" ca="1" si="8"/>
        <v>2191.65</v>
      </c>
      <c r="G87" s="58">
        <f t="shared" ca="1" si="9"/>
        <v>4803329.7225000001</v>
      </c>
      <c r="H87" s="44"/>
      <c r="I87" s="44"/>
      <c r="J87" s="44"/>
      <c r="K87" s="44"/>
      <c r="L87" s="44"/>
      <c r="M87" s="44"/>
      <c r="N87" s="44"/>
      <c r="O87" s="44"/>
      <c r="P87" s="44"/>
      <c r="Q87" s="44"/>
    </row>
    <row r="88" spans="3:17" ht="15.6" x14ac:dyDescent="0.3">
      <c r="C88" s="44"/>
      <c r="D88" s="123" t="s">
        <v>91</v>
      </c>
      <c r="E88" s="124"/>
      <c r="F88" s="56">
        <f ca="1">SUM(F68:F87)</f>
        <v>43218.500000000007</v>
      </c>
      <c r="G88" s="56">
        <f ca="1">SUM(G68:G87)</f>
        <v>93603011.179999992</v>
      </c>
      <c r="H88" s="44"/>
      <c r="I88" s="44"/>
      <c r="J88" s="44"/>
      <c r="K88" s="44"/>
      <c r="L88" s="44"/>
      <c r="M88" s="44"/>
      <c r="N88" s="44"/>
      <c r="O88" s="44"/>
      <c r="P88" s="44"/>
      <c r="Q88" s="44"/>
    </row>
    <row r="89" spans="3:17" ht="15.6" x14ac:dyDescent="0.3">
      <c r="C89" s="44"/>
      <c r="D89" s="125" t="s">
        <v>92</v>
      </c>
      <c r="E89" s="126"/>
      <c r="F89" s="55">
        <f ca="1">+J74</f>
        <v>4</v>
      </c>
      <c r="G89" s="45" t="s">
        <v>144</v>
      </c>
      <c r="H89" s="44"/>
      <c r="I89" s="44"/>
      <c r="J89" s="44"/>
      <c r="K89" s="44"/>
      <c r="L89" s="44"/>
      <c r="M89" s="44"/>
      <c r="N89" s="44"/>
      <c r="O89" s="44"/>
      <c r="P89" s="44"/>
      <c r="Q89" s="44"/>
    </row>
    <row r="90" spans="3:17" ht="15.6" x14ac:dyDescent="0.3"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</row>
    <row r="91" spans="3:17" ht="15.6" x14ac:dyDescent="0.3"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</row>
    <row r="92" spans="3:17" ht="15.6" x14ac:dyDescent="0.3"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</row>
    <row r="93" spans="3:17" ht="15.6" x14ac:dyDescent="0.3"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</row>
    <row r="94" spans="3:17" ht="15.6" x14ac:dyDescent="0.3"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</row>
    <row r="95" spans="3:17" ht="15.6" x14ac:dyDescent="0.3"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</row>
    <row r="96" spans="3:17" ht="15.6" x14ac:dyDescent="0.3"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</row>
  </sheetData>
  <mergeCells count="15">
    <mergeCell ref="P2:Q2"/>
    <mergeCell ref="P30:Q30"/>
    <mergeCell ref="G64:H64"/>
    <mergeCell ref="M26:N26"/>
    <mergeCell ref="M27:N27"/>
    <mergeCell ref="M54:N54"/>
    <mergeCell ref="M55:N55"/>
    <mergeCell ref="G2:H2"/>
    <mergeCell ref="G30:H30"/>
    <mergeCell ref="D88:E88"/>
    <mergeCell ref="D89:E89"/>
    <mergeCell ref="D26:E26"/>
    <mergeCell ref="D27:E27"/>
    <mergeCell ref="D54:E54"/>
    <mergeCell ref="D55:E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M205"/>
  <sheetViews>
    <sheetView topLeftCell="A174" zoomScaleNormal="100" workbookViewId="0">
      <selection activeCell="N57" sqref="N57"/>
    </sheetView>
  </sheetViews>
  <sheetFormatPr baseColWidth="10" defaultRowHeight="14.4" x14ac:dyDescent="0.3"/>
  <cols>
    <col min="4" max="4" width="14.44140625" bestFit="1" customWidth="1"/>
  </cols>
  <sheetData>
    <row r="1" spans="1:13" x14ac:dyDescent="0.3">
      <c r="C1" s="16"/>
      <c r="D1" s="16"/>
      <c r="E1" s="16"/>
      <c r="F1" s="16"/>
      <c r="G1" s="16"/>
    </row>
    <row r="2" spans="1:13" x14ac:dyDescent="0.3">
      <c r="C2" s="16"/>
      <c r="D2" s="16"/>
      <c r="E2" s="16"/>
      <c r="F2" s="16"/>
      <c r="G2" s="16"/>
    </row>
    <row r="3" spans="1:13" x14ac:dyDescent="0.3">
      <c r="C3" s="16"/>
      <c r="D3" s="16"/>
      <c r="E3" s="132" t="str">
        <f>+'N° de Obs.'!G2</f>
        <v>Elemento P</v>
      </c>
      <c r="F3" s="132"/>
      <c r="G3" s="16"/>
    </row>
    <row r="4" spans="1:13" ht="15.6" x14ac:dyDescent="0.3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 ht="15.6" x14ac:dyDescent="0.3">
      <c r="A5" s="53"/>
      <c r="B5" s="54"/>
      <c r="C5" s="54"/>
      <c r="D5" s="54"/>
      <c r="E5" s="54"/>
      <c r="F5" s="54"/>
      <c r="G5" s="53"/>
      <c r="H5" s="53"/>
      <c r="I5" s="53"/>
      <c r="J5" s="53"/>
      <c r="K5" s="53"/>
      <c r="L5" s="53"/>
      <c r="M5" s="53"/>
    </row>
    <row r="6" spans="1:13" ht="15.6" x14ac:dyDescent="0.3">
      <c r="A6" s="53"/>
      <c r="B6" s="52" t="s">
        <v>26</v>
      </c>
      <c r="C6" s="68" t="s">
        <v>93</v>
      </c>
      <c r="D6" s="52" t="s">
        <v>94</v>
      </c>
      <c r="E6" s="68" t="s">
        <v>27</v>
      </c>
      <c r="F6" s="52" t="s">
        <v>95</v>
      </c>
      <c r="G6" s="53"/>
      <c r="H6" s="53"/>
      <c r="I6" s="53"/>
      <c r="J6" s="53"/>
      <c r="K6" s="53"/>
      <c r="L6" s="53"/>
      <c r="M6" s="53"/>
    </row>
    <row r="7" spans="1:13" ht="15.6" x14ac:dyDescent="0.3">
      <c r="A7" s="53"/>
      <c r="B7" s="57">
        <f ca="1">+'N° de Obs.'!D6</f>
        <v>90</v>
      </c>
      <c r="C7" s="53">
        <f ca="1">+'N° de Obs.'!E6</f>
        <v>4192</v>
      </c>
      <c r="D7" s="57">
        <f ca="1">+ROUND($B$29*$C$29/C7,2)</f>
        <v>95.9</v>
      </c>
      <c r="E7" s="53">
        <f ca="1">+J7</f>
        <v>95</v>
      </c>
      <c r="F7" s="57">
        <f ca="1">+B7-E7</f>
        <v>-5</v>
      </c>
      <c r="G7" s="53"/>
      <c r="H7" s="53">
        <f ca="1">+ROUND(D7,1)</f>
        <v>95.9</v>
      </c>
      <c r="I7" s="64" t="str">
        <f ca="1">+RIGHT(H7*10,2)</f>
        <v>59</v>
      </c>
      <c r="J7" s="53" cm="1">
        <f t="array" aca="1" ref="J7" ca="1">+_xlfn.IFS(AND(I7&gt;="0",I7&lt;"25"),H7-(I7/10),AND(I7&gt;="25",I7&lt;"50"),H7+(5-(I7/10)),AND(I7&gt;="50",I7&lt;"75"),H7-((I7-50)/10),I7&gt;="75",H7+(10-(I7/10)))</f>
        <v>95</v>
      </c>
      <c r="K7" s="53">
        <f ca="1">+ABS(F7)</f>
        <v>5</v>
      </c>
      <c r="L7" s="53"/>
      <c r="M7" s="53"/>
    </row>
    <row r="8" spans="1:13" ht="15.6" x14ac:dyDescent="0.3">
      <c r="A8" s="53"/>
      <c r="B8" s="57">
        <f ca="1">+'N° de Obs.'!D7</f>
        <v>100</v>
      </c>
      <c r="C8" s="53">
        <f ca="1">+'N° de Obs.'!E7</f>
        <v>4144</v>
      </c>
      <c r="D8" s="57">
        <f t="shared" ref="D8:D26" ca="1" si="0">+ROUND($B$29*$C$29/C8,2)</f>
        <v>97.01</v>
      </c>
      <c r="E8" s="53">
        <f t="shared" ref="E8:E26" ca="1" si="1">+J8</f>
        <v>95</v>
      </c>
      <c r="F8" s="57">
        <f t="shared" ref="F8:F26" ca="1" si="2">+B8-E8</f>
        <v>5</v>
      </c>
      <c r="G8" s="53"/>
      <c r="H8" s="53">
        <f t="shared" ref="H8:H26" ca="1" si="3">+ROUND(D8,1)</f>
        <v>97</v>
      </c>
      <c r="I8" s="64" t="str">
        <f t="shared" ref="I8:I26" ca="1" si="4">+RIGHT(H8*10,2)</f>
        <v>70</v>
      </c>
      <c r="J8" s="53" cm="1">
        <f t="array" aca="1" ref="J8" ca="1">+_xlfn.IFS(AND(I8&gt;="0",I8&lt;"25"),H8-(I8/10),AND(I8&gt;="25",I8&lt;"50"),H8+(5-(I8/10)),AND(I8&gt;="50",I8&lt;"75"),H8-((I8-50)/10),I8&gt;="75",H8+(10-(I8/10)))</f>
        <v>95</v>
      </c>
      <c r="K8" s="53">
        <f t="shared" ref="K8:K26" ca="1" si="5">+ABS(F8)</f>
        <v>5</v>
      </c>
      <c r="L8" s="53"/>
      <c r="M8" s="53"/>
    </row>
    <row r="9" spans="1:13" ht="15.6" x14ac:dyDescent="0.3">
      <c r="A9" s="53"/>
      <c r="B9" s="57">
        <f ca="1">+'N° de Obs.'!D8</f>
        <v>95</v>
      </c>
      <c r="C9" s="53">
        <f ca="1">+'N° de Obs.'!E8</f>
        <v>4286</v>
      </c>
      <c r="D9" s="57">
        <f t="shared" ca="1" si="0"/>
        <v>93.79</v>
      </c>
      <c r="E9" s="53">
        <f t="shared" ca="1" si="1"/>
        <v>95</v>
      </c>
      <c r="F9" s="57">
        <f t="shared" ca="1" si="2"/>
        <v>0</v>
      </c>
      <c r="G9" s="53"/>
      <c r="H9" s="53">
        <f t="shared" ca="1" si="3"/>
        <v>93.8</v>
      </c>
      <c r="I9" s="64" t="str">
        <f t="shared" ca="1" si="4"/>
        <v>38</v>
      </c>
      <c r="J9" s="53" cm="1">
        <f t="array" aca="1" ref="J9" ca="1">+_xlfn.IFS(AND(I9&gt;="0",I9&lt;"25"),H9-(I9/10),AND(I9&gt;="25",I9&lt;"50"),H9+(5-(I9/10)),AND(I9&gt;="50",I9&lt;"75"),H9-((I9-50)/10),I9&gt;="75",H9+(10-(I9/10)))</f>
        <v>95</v>
      </c>
      <c r="K9" s="53">
        <f t="shared" ca="1" si="5"/>
        <v>0</v>
      </c>
      <c r="L9" s="53"/>
      <c r="M9" s="53"/>
    </row>
    <row r="10" spans="1:13" ht="15.6" x14ac:dyDescent="0.3">
      <c r="A10" s="53"/>
      <c r="B10" s="57">
        <f ca="1">+'N° de Obs.'!D9</f>
        <v>90</v>
      </c>
      <c r="C10" s="53">
        <f ca="1">+'N° de Obs.'!E9</f>
        <v>4217</v>
      </c>
      <c r="D10" s="57">
        <f t="shared" ca="1" si="0"/>
        <v>95.33</v>
      </c>
      <c r="E10" s="53">
        <f t="shared" ca="1" si="1"/>
        <v>95</v>
      </c>
      <c r="F10" s="57">
        <f t="shared" ca="1" si="2"/>
        <v>-5</v>
      </c>
      <c r="G10" s="53"/>
      <c r="H10" s="53">
        <f t="shared" ca="1" si="3"/>
        <v>95.3</v>
      </c>
      <c r="I10" s="64" t="str">
        <f t="shared" ca="1" si="4"/>
        <v>53</v>
      </c>
      <c r="J10" s="53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53">
        <f t="shared" ca="1" si="5"/>
        <v>5</v>
      </c>
      <c r="L10" s="53"/>
      <c r="M10" s="53"/>
    </row>
    <row r="11" spans="1:13" ht="15.6" x14ac:dyDescent="0.3">
      <c r="A11" s="53"/>
      <c r="B11" s="57">
        <f ca="1">+'N° de Obs.'!D10</f>
        <v>105</v>
      </c>
      <c r="C11" s="53">
        <f ca="1">+'N° de Obs.'!E10</f>
        <v>4268</v>
      </c>
      <c r="D11" s="57">
        <f t="shared" ca="1" si="0"/>
        <v>94.19</v>
      </c>
      <c r="E11" s="53">
        <f t="shared" ca="1" si="1"/>
        <v>95</v>
      </c>
      <c r="F11" s="57">
        <f t="shared" ca="1" si="2"/>
        <v>10</v>
      </c>
      <c r="G11" s="53"/>
      <c r="H11" s="53">
        <f t="shared" ca="1" si="3"/>
        <v>94.2</v>
      </c>
      <c r="I11" s="64" t="str">
        <f t="shared" ca="1" si="4"/>
        <v>42</v>
      </c>
      <c r="J11" s="53" cm="1">
        <f t="array" aca="1" ref="J11" ca="1">+_xlfn.IFS(AND(I11&gt;="0",I11&lt;"25"),H11-(I11/10),AND(I11&gt;="25",I11&lt;"50"),H11+(5-(I11/10)),AND(I11&gt;="50",I11&lt;"75"),H11-((I11-50)/10),I11&gt;="75",H11+(10-(I11/10)))</f>
        <v>95</v>
      </c>
      <c r="K11" s="53">
        <f t="shared" ca="1" si="5"/>
        <v>10</v>
      </c>
      <c r="L11" s="53"/>
      <c r="M11" s="53"/>
    </row>
    <row r="12" spans="1:13" ht="15.6" x14ac:dyDescent="0.3">
      <c r="A12" s="53"/>
      <c r="B12" s="57">
        <f ca="1">+'N° de Obs.'!D11</f>
        <v>95</v>
      </c>
      <c r="C12" s="53">
        <f ca="1">+'N° de Obs.'!E11</f>
        <v>4255</v>
      </c>
      <c r="D12" s="57">
        <f t="shared" ca="1" si="0"/>
        <v>94.48</v>
      </c>
      <c r="E12" s="53">
        <f t="shared" ca="1" si="1"/>
        <v>95</v>
      </c>
      <c r="F12" s="57">
        <f t="shared" ca="1" si="2"/>
        <v>0</v>
      </c>
      <c r="G12" s="53"/>
      <c r="H12" s="53">
        <f t="shared" ca="1" si="3"/>
        <v>94.5</v>
      </c>
      <c r="I12" s="64" t="str">
        <f t="shared" ca="1" si="4"/>
        <v>45</v>
      </c>
      <c r="J12" s="53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53">
        <f t="shared" ca="1" si="5"/>
        <v>0</v>
      </c>
      <c r="L12" s="53"/>
      <c r="M12" s="53"/>
    </row>
    <row r="13" spans="1:13" ht="15.6" x14ac:dyDescent="0.3">
      <c r="A13" s="53"/>
      <c r="B13" s="57">
        <f ca="1">+'N° de Obs.'!D12</f>
        <v>95</v>
      </c>
      <c r="C13" s="53">
        <f ca="1">+'N° de Obs.'!E12</f>
        <v>4167</v>
      </c>
      <c r="D13" s="57">
        <f t="shared" ca="1" si="0"/>
        <v>96.47</v>
      </c>
      <c r="E13" s="53">
        <f t="shared" ca="1" si="1"/>
        <v>95</v>
      </c>
      <c r="F13" s="57">
        <f t="shared" ca="1" si="2"/>
        <v>0</v>
      </c>
      <c r="G13" s="53"/>
      <c r="H13" s="53">
        <f t="shared" ca="1" si="3"/>
        <v>96.5</v>
      </c>
      <c r="I13" s="64" t="str">
        <f t="shared" ca="1" si="4"/>
        <v>65</v>
      </c>
      <c r="J13" s="53" cm="1">
        <f t="array" aca="1" ref="J13" ca="1">+_xlfn.IFS(AND(I13&gt;="0",I13&lt;"25"),H13-(I13/10),AND(I13&gt;="25",I13&lt;"50"),H13+(5-(I13/10)),AND(I13&gt;="50",I13&lt;"75"),H13-((I13-50)/10),I13&gt;="75",H13+(10-(I13/10)))</f>
        <v>95</v>
      </c>
      <c r="K13" s="53">
        <f t="shared" ca="1" si="5"/>
        <v>0</v>
      </c>
      <c r="L13" s="53"/>
      <c r="M13" s="53"/>
    </row>
    <row r="14" spans="1:13" ht="15.6" x14ac:dyDescent="0.3">
      <c r="A14" s="53"/>
      <c r="B14" s="57">
        <f ca="1">+'N° de Obs.'!D13</f>
        <v>90</v>
      </c>
      <c r="C14" s="53">
        <f ca="1">+'N° de Obs.'!E13</f>
        <v>4231</v>
      </c>
      <c r="D14" s="57">
        <f t="shared" ca="1" si="0"/>
        <v>95.01</v>
      </c>
      <c r="E14" s="53">
        <f t="shared" ca="1" si="1"/>
        <v>95</v>
      </c>
      <c r="F14" s="57">
        <f t="shared" ca="1" si="2"/>
        <v>-5</v>
      </c>
      <c r="G14" s="53"/>
      <c r="H14" s="53">
        <f t="shared" ca="1" si="3"/>
        <v>95</v>
      </c>
      <c r="I14" s="64" t="str">
        <f t="shared" ca="1" si="4"/>
        <v>50</v>
      </c>
      <c r="J14" s="53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53">
        <f t="shared" ca="1" si="5"/>
        <v>5</v>
      </c>
      <c r="L14" s="53"/>
      <c r="M14" s="53"/>
    </row>
    <row r="15" spans="1:13" ht="15.6" x14ac:dyDescent="0.3">
      <c r="A15" s="53"/>
      <c r="B15" s="57">
        <f ca="1">+'N° de Obs.'!D14</f>
        <v>95</v>
      </c>
      <c r="C15" s="53">
        <f ca="1">+'N° de Obs.'!E14</f>
        <v>4177</v>
      </c>
      <c r="D15" s="57">
        <f t="shared" ca="1" si="0"/>
        <v>96.24</v>
      </c>
      <c r="E15" s="53">
        <f t="shared" ca="1" si="1"/>
        <v>95</v>
      </c>
      <c r="F15" s="57">
        <f t="shared" ca="1" si="2"/>
        <v>0</v>
      </c>
      <c r="G15" s="53"/>
      <c r="H15" s="53">
        <f t="shared" ca="1" si="3"/>
        <v>96.2</v>
      </c>
      <c r="I15" s="64" t="str">
        <f t="shared" ca="1" si="4"/>
        <v>62</v>
      </c>
      <c r="J15" s="53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53">
        <f t="shared" ca="1" si="5"/>
        <v>0</v>
      </c>
      <c r="L15" s="53"/>
      <c r="M15" s="53"/>
    </row>
    <row r="16" spans="1:13" ht="15.6" x14ac:dyDescent="0.3">
      <c r="A16" s="53"/>
      <c r="B16" s="57">
        <f ca="1">+'N° de Obs.'!D15</f>
        <v>100</v>
      </c>
      <c r="C16" s="53">
        <f ca="1">+'N° de Obs.'!E15</f>
        <v>4173</v>
      </c>
      <c r="D16" s="57">
        <f t="shared" ca="1" si="0"/>
        <v>96.33</v>
      </c>
      <c r="E16" s="53">
        <f t="shared" ca="1" si="1"/>
        <v>95</v>
      </c>
      <c r="F16" s="57">
        <f t="shared" ca="1" si="2"/>
        <v>5</v>
      </c>
      <c r="G16" s="53"/>
      <c r="H16" s="53">
        <f t="shared" ca="1" si="3"/>
        <v>96.3</v>
      </c>
      <c r="I16" s="64" t="str">
        <f t="shared" ca="1" si="4"/>
        <v>63</v>
      </c>
      <c r="J16" s="53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53">
        <f t="shared" ca="1" si="5"/>
        <v>5</v>
      </c>
      <c r="L16" s="53"/>
      <c r="M16" s="53"/>
    </row>
    <row r="17" spans="1:13" ht="15.6" x14ac:dyDescent="0.3">
      <c r="A17" s="53"/>
      <c r="B17" s="57">
        <f ca="1">+'N° de Obs.'!D16</f>
        <v>105</v>
      </c>
      <c r="C17" s="53">
        <f ca="1">+'N° de Obs.'!E16</f>
        <v>4274</v>
      </c>
      <c r="D17" s="57">
        <f t="shared" ca="1" si="0"/>
        <v>94.06</v>
      </c>
      <c r="E17" s="53">
        <f t="shared" ca="1" si="1"/>
        <v>95</v>
      </c>
      <c r="F17" s="57">
        <f t="shared" ca="1" si="2"/>
        <v>10</v>
      </c>
      <c r="G17" s="53"/>
      <c r="H17" s="53">
        <f t="shared" ca="1" si="3"/>
        <v>94.1</v>
      </c>
      <c r="I17" s="64" t="str">
        <f t="shared" ca="1" si="4"/>
        <v>41</v>
      </c>
      <c r="J17" s="53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53">
        <f t="shared" ca="1" si="5"/>
        <v>10</v>
      </c>
      <c r="L17" s="53"/>
      <c r="M17" s="53"/>
    </row>
    <row r="18" spans="1:13" ht="15.6" x14ac:dyDescent="0.3">
      <c r="A18" s="53"/>
      <c r="B18" s="57">
        <f ca="1">+'N° de Obs.'!D17</f>
        <v>95</v>
      </c>
      <c r="C18" s="53">
        <f ca="1">+'N° de Obs.'!E17</f>
        <v>4262</v>
      </c>
      <c r="D18" s="57">
        <f t="shared" ca="1" si="0"/>
        <v>94.32</v>
      </c>
      <c r="E18" s="53">
        <f t="shared" ca="1" si="1"/>
        <v>95</v>
      </c>
      <c r="F18" s="57">
        <f t="shared" ca="1" si="2"/>
        <v>0</v>
      </c>
      <c r="G18" s="53"/>
      <c r="H18" s="53">
        <f t="shared" ca="1" si="3"/>
        <v>94.3</v>
      </c>
      <c r="I18" s="64" t="str">
        <f t="shared" ca="1" si="4"/>
        <v>43</v>
      </c>
      <c r="J18" s="53" cm="1">
        <f t="array" aca="1" ref="J18" ca="1">+_xlfn.IFS(AND(I18&gt;="0",I18&lt;"25"),H18-(I18/10),AND(I18&gt;="25",I18&lt;"50"),H18+(5-(I18/10)),AND(I18&gt;="50",I18&lt;"75"),H18-((I18-50)/10),I18&gt;="75",H18+(10-(I18/10)))</f>
        <v>95</v>
      </c>
      <c r="K18" s="53">
        <f t="shared" ca="1" si="5"/>
        <v>0</v>
      </c>
      <c r="L18" s="53"/>
      <c r="M18" s="53"/>
    </row>
    <row r="19" spans="1:13" ht="15.6" x14ac:dyDescent="0.3">
      <c r="A19" s="53"/>
      <c r="B19" s="57">
        <f ca="1">+'N° de Obs.'!D18</f>
        <v>90</v>
      </c>
      <c r="C19" s="53">
        <f ca="1">+'N° de Obs.'!E18</f>
        <v>4277</v>
      </c>
      <c r="D19" s="57">
        <f t="shared" ca="1" si="0"/>
        <v>93.99</v>
      </c>
      <c r="E19" s="53">
        <f t="shared" ca="1" si="1"/>
        <v>95</v>
      </c>
      <c r="F19" s="57">
        <f t="shared" ca="1" si="2"/>
        <v>-5</v>
      </c>
      <c r="G19" s="53"/>
      <c r="H19" s="53">
        <f t="shared" ca="1" si="3"/>
        <v>94</v>
      </c>
      <c r="I19" s="64" t="str">
        <f t="shared" ca="1" si="4"/>
        <v>40</v>
      </c>
      <c r="J19" s="53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53">
        <f t="shared" ca="1" si="5"/>
        <v>5</v>
      </c>
      <c r="L19" s="53"/>
      <c r="M19" s="53"/>
    </row>
    <row r="20" spans="1:13" ht="15.6" x14ac:dyDescent="0.3">
      <c r="A20" s="53"/>
      <c r="B20" s="57">
        <f ca="1">+'N° de Obs.'!D19</f>
        <v>100</v>
      </c>
      <c r="C20" s="53">
        <f ca="1">+'N° de Obs.'!E19</f>
        <v>4159</v>
      </c>
      <c r="D20" s="57">
        <f t="shared" ca="1" si="0"/>
        <v>96.66</v>
      </c>
      <c r="E20" s="53">
        <f t="shared" ca="1" si="1"/>
        <v>95</v>
      </c>
      <c r="F20" s="57">
        <f t="shared" ca="1" si="2"/>
        <v>5</v>
      </c>
      <c r="G20" s="53"/>
      <c r="H20" s="53">
        <f t="shared" ca="1" si="3"/>
        <v>96.7</v>
      </c>
      <c r="I20" s="64" t="str">
        <f t="shared" ca="1" si="4"/>
        <v>67</v>
      </c>
      <c r="J20" s="53" cm="1">
        <f t="array" aca="1" ref="J20" ca="1">+_xlfn.IFS(AND(I20&gt;="0",I20&lt;"25"),H20-(I20/10),AND(I20&gt;="25",I20&lt;"50"),H20+(5-(I20/10)),AND(I20&gt;="50",I20&lt;"75"),H20-((I20-50)/10),I20&gt;="75",H20+(10-(I20/10)))</f>
        <v>95</v>
      </c>
      <c r="K20" s="53">
        <f t="shared" ca="1" si="5"/>
        <v>5</v>
      </c>
      <c r="L20" s="53"/>
      <c r="M20" s="53"/>
    </row>
    <row r="21" spans="1:13" ht="15.6" x14ac:dyDescent="0.3">
      <c r="A21" s="53"/>
      <c r="B21" s="57">
        <f ca="1">+'N° de Obs.'!D20</f>
        <v>90</v>
      </c>
      <c r="C21" s="53">
        <f ca="1">+'N° de Obs.'!E20</f>
        <v>4103</v>
      </c>
      <c r="D21" s="57">
        <f t="shared" ca="1" si="0"/>
        <v>97.98</v>
      </c>
      <c r="E21" s="53">
        <f t="shared" ca="1" si="1"/>
        <v>100</v>
      </c>
      <c r="F21" s="57">
        <f t="shared" ca="1" si="2"/>
        <v>-10</v>
      </c>
      <c r="G21" s="53"/>
      <c r="H21" s="53">
        <f t="shared" ca="1" si="3"/>
        <v>98</v>
      </c>
      <c r="I21" s="64" t="str">
        <f t="shared" ca="1" si="4"/>
        <v>80</v>
      </c>
      <c r="J21" s="53" cm="1">
        <f t="array" aca="1" ref="J21" ca="1">+_xlfn.IFS(AND(I21&gt;="0",I21&lt;"25"),H21-(I21/10),AND(I21&gt;="25",I21&lt;"50"),H21+(5-(I21/10)),AND(I21&gt;="50",I21&lt;"75"),H21-((I21-50)/10),I21&gt;="75",H21+(10-(I21/10)))</f>
        <v>100</v>
      </c>
      <c r="K21" s="53">
        <f t="shared" ca="1" si="5"/>
        <v>10</v>
      </c>
      <c r="L21" s="53"/>
      <c r="M21" s="53"/>
    </row>
    <row r="22" spans="1:13" ht="15.6" x14ac:dyDescent="0.3">
      <c r="A22" s="53"/>
      <c r="B22" s="57">
        <f ca="1">+'N° de Obs.'!D21</f>
        <v>85</v>
      </c>
      <c r="C22" s="53">
        <f ca="1">+'N° de Obs.'!E21</f>
        <v>4296</v>
      </c>
      <c r="D22" s="57">
        <f t="shared" ca="1" si="0"/>
        <v>93.58</v>
      </c>
      <c r="E22" s="53">
        <f t="shared" ca="1" si="1"/>
        <v>95</v>
      </c>
      <c r="F22" s="57">
        <f t="shared" ca="1" si="2"/>
        <v>-10</v>
      </c>
      <c r="G22" s="53"/>
      <c r="H22" s="53">
        <f t="shared" ca="1" si="3"/>
        <v>93.6</v>
      </c>
      <c r="I22" s="64" t="str">
        <f t="shared" ca="1" si="4"/>
        <v>36</v>
      </c>
      <c r="J22" s="53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53">
        <f t="shared" ca="1" si="5"/>
        <v>10</v>
      </c>
      <c r="L22" s="53"/>
      <c r="M22" s="53"/>
    </row>
    <row r="23" spans="1:13" ht="15.6" x14ac:dyDescent="0.3">
      <c r="A23" s="53"/>
      <c r="B23" s="57">
        <f ca="1">+'N° de Obs.'!D22</f>
        <v>105</v>
      </c>
      <c r="C23" s="53">
        <f ca="1">+'N° de Obs.'!E22</f>
        <v>4259</v>
      </c>
      <c r="D23" s="57">
        <f t="shared" ca="1" si="0"/>
        <v>94.39</v>
      </c>
      <c r="E23" s="53">
        <f t="shared" ca="1" si="1"/>
        <v>95</v>
      </c>
      <c r="F23" s="57">
        <f t="shared" ca="1" si="2"/>
        <v>10</v>
      </c>
      <c r="G23" s="53"/>
      <c r="H23" s="53">
        <f t="shared" ca="1" si="3"/>
        <v>94.4</v>
      </c>
      <c r="I23" s="64" t="str">
        <f t="shared" ca="1" si="4"/>
        <v>44</v>
      </c>
      <c r="J23" s="53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53">
        <f t="shared" ca="1" si="5"/>
        <v>10</v>
      </c>
      <c r="L23" s="53"/>
      <c r="M23" s="53"/>
    </row>
    <row r="24" spans="1:13" ht="15.6" x14ac:dyDescent="0.3">
      <c r="A24" s="53"/>
      <c r="B24" s="57">
        <f ca="1">+'N° de Obs.'!D23</f>
        <v>95</v>
      </c>
      <c r="C24" s="53">
        <f ca="1">+'N° de Obs.'!E23</f>
        <v>4176</v>
      </c>
      <c r="D24" s="57">
        <f t="shared" ca="1" si="0"/>
        <v>96.26</v>
      </c>
      <c r="E24" s="53">
        <f t="shared" ca="1" si="1"/>
        <v>95</v>
      </c>
      <c r="F24" s="57">
        <f t="shared" ca="1" si="2"/>
        <v>0</v>
      </c>
      <c r="G24" s="53"/>
      <c r="H24" s="53">
        <f t="shared" ca="1" si="3"/>
        <v>96.3</v>
      </c>
      <c r="I24" s="64" t="str">
        <f t="shared" ca="1" si="4"/>
        <v>63</v>
      </c>
      <c r="J24" s="53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53">
        <f t="shared" ca="1" si="5"/>
        <v>0</v>
      </c>
      <c r="L24" s="53"/>
      <c r="M24" s="53"/>
    </row>
    <row r="25" spans="1:13" ht="15.6" x14ac:dyDescent="0.3">
      <c r="A25" s="53"/>
      <c r="B25" s="57">
        <f ca="1">+'N° de Obs.'!D24</f>
        <v>90</v>
      </c>
      <c r="C25" s="53">
        <f ca="1">+'N° de Obs.'!E24</f>
        <v>4117</v>
      </c>
      <c r="D25" s="57">
        <f t="shared" ca="1" si="0"/>
        <v>97.64</v>
      </c>
      <c r="E25" s="53">
        <f t="shared" ca="1" si="1"/>
        <v>100</v>
      </c>
      <c r="F25" s="57">
        <f t="shared" ca="1" si="2"/>
        <v>-10</v>
      </c>
      <c r="G25" s="53"/>
      <c r="H25" s="53">
        <f t="shared" ca="1" si="3"/>
        <v>97.6</v>
      </c>
      <c r="I25" s="64" t="str">
        <f t="shared" ca="1" si="4"/>
        <v>76</v>
      </c>
      <c r="J25" s="53" cm="1">
        <f t="array" aca="1" ref="J25" ca="1">+_xlfn.IFS(AND(I25&gt;="0",I25&lt;"25"),H25-(I25/10),AND(I25&gt;="25",I25&lt;"50"),H25+(5-(I25/10)),AND(I25&gt;="50",I25&lt;"75"),H25-((I25-50)/10),I25&gt;="75",H25+(10-(I25/10)))</f>
        <v>100</v>
      </c>
      <c r="K25" s="53">
        <f t="shared" ca="1" si="5"/>
        <v>10</v>
      </c>
      <c r="L25" s="53"/>
      <c r="M25" s="53"/>
    </row>
    <row r="26" spans="1:13" ht="15.6" x14ac:dyDescent="0.3">
      <c r="A26" s="53"/>
      <c r="B26" s="58">
        <f ca="1">+'N° de Obs.'!D25</f>
        <v>100</v>
      </c>
      <c r="C26" s="53">
        <f ca="1">+'N° de Obs.'!E25</f>
        <v>4151</v>
      </c>
      <c r="D26" s="58">
        <f t="shared" ca="1" si="0"/>
        <v>96.84</v>
      </c>
      <c r="E26" s="54">
        <f t="shared" ca="1" si="1"/>
        <v>95</v>
      </c>
      <c r="F26" s="58">
        <f t="shared" ca="1" si="2"/>
        <v>5</v>
      </c>
      <c r="G26" s="53"/>
      <c r="H26" s="53">
        <f t="shared" ca="1" si="3"/>
        <v>96.8</v>
      </c>
      <c r="I26" s="64" t="str">
        <f t="shared" ca="1" si="4"/>
        <v>68</v>
      </c>
      <c r="J26" s="53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53">
        <f t="shared" ca="1" si="5"/>
        <v>5</v>
      </c>
      <c r="L26" s="53"/>
      <c r="M26" s="53"/>
    </row>
    <row r="27" spans="1:13" ht="15.6" x14ac:dyDescent="0.3">
      <c r="A27" s="53"/>
      <c r="B27" s="123" t="s">
        <v>91</v>
      </c>
      <c r="C27" s="133"/>
      <c r="D27" s="133"/>
      <c r="E27" s="133"/>
      <c r="F27" s="60">
        <f ca="1">+SUMIF(K7:K26,"&lt;=10",F7:F26)</f>
        <v>0</v>
      </c>
      <c r="G27" s="53"/>
      <c r="H27" s="53"/>
      <c r="I27" s="53"/>
      <c r="J27" s="53"/>
      <c r="K27" s="53">
        <f ca="1">+COUNTIF(K7:K26,"&lt;=10")</f>
        <v>20</v>
      </c>
      <c r="L27" s="53"/>
      <c r="M27" s="53"/>
    </row>
    <row r="28" spans="1:13" ht="15.6" x14ac:dyDescent="0.3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13" ht="15.6" x14ac:dyDescent="0.3">
      <c r="A29" s="53"/>
      <c r="B29" s="62">
        <v>100</v>
      </c>
      <c r="C29" s="53">
        <f ca="1">+ROUND(AVERAGE('N° de Obs.'!F6:F25),0)</f>
        <v>4020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</row>
    <row r="30" spans="1:13" ht="15.6" x14ac:dyDescent="0.3">
      <c r="A30" s="53"/>
      <c r="B30" s="53"/>
      <c r="C30" s="53"/>
      <c r="D30" s="54"/>
      <c r="E30" s="54"/>
      <c r="F30" s="53"/>
      <c r="G30" s="53"/>
      <c r="H30" s="53"/>
      <c r="I30" s="53"/>
      <c r="J30" s="53"/>
      <c r="K30" s="53"/>
      <c r="L30" s="53"/>
      <c r="M30" s="53"/>
    </row>
    <row r="31" spans="1:13" ht="15.6" x14ac:dyDescent="0.3">
      <c r="A31" s="53"/>
      <c r="B31" s="53"/>
      <c r="C31" s="53"/>
      <c r="D31" s="52" t="s">
        <v>85</v>
      </c>
      <c r="E31" s="52" t="s">
        <v>86</v>
      </c>
      <c r="F31" s="53"/>
      <c r="G31" s="53"/>
      <c r="H31" s="53"/>
      <c r="I31" s="53"/>
      <c r="J31" s="53"/>
      <c r="K31" s="53"/>
      <c r="L31" s="53"/>
      <c r="M31" s="53"/>
    </row>
    <row r="32" spans="1:13" ht="15.6" x14ac:dyDescent="0.3">
      <c r="A32" s="53"/>
      <c r="B32" s="53"/>
      <c r="C32" s="53"/>
      <c r="D32" s="57" t="s">
        <v>88</v>
      </c>
      <c r="E32" s="57" t="s">
        <v>25</v>
      </c>
      <c r="F32" s="53"/>
      <c r="G32" s="53"/>
      <c r="H32" s="53"/>
      <c r="I32" s="53"/>
      <c r="J32" s="53"/>
      <c r="K32" s="131" t="s">
        <v>99</v>
      </c>
      <c r="L32" s="131"/>
      <c r="M32" s="131"/>
    </row>
    <row r="33" spans="1:13" ht="15.6" x14ac:dyDescent="0.3">
      <c r="A33" s="53"/>
      <c r="B33" s="53"/>
      <c r="C33" s="53"/>
      <c r="D33" s="57" t="s">
        <v>96</v>
      </c>
      <c r="E33" s="67">
        <f>+B29</f>
        <v>100</v>
      </c>
      <c r="F33" s="53"/>
      <c r="G33" s="53"/>
      <c r="H33" s="53"/>
      <c r="I33" s="53"/>
      <c r="J33" s="53"/>
      <c r="K33" s="131"/>
      <c r="L33" s="131"/>
      <c r="M33" s="131"/>
    </row>
    <row r="34" spans="1:13" ht="15.6" x14ac:dyDescent="0.3">
      <c r="A34" s="53"/>
      <c r="B34" s="53"/>
      <c r="C34" s="53"/>
      <c r="D34" s="57" t="s">
        <v>20</v>
      </c>
      <c r="E34" s="57">
        <f ca="1">+C29</f>
        <v>4020</v>
      </c>
      <c r="F34" s="53"/>
      <c r="G34" s="53"/>
      <c r="H34" s="53"/>
      <c r="I34" s="53"/>
      <c r="J34" s="53"/>
      <c r="K34" s="131"/>
      <c r="L34" s="131"/>
      <c r="M34" s="131"/>
    </row>
    <row r="35" spans="1:13" ht="31.2" x14ac:dyDescent="0.3">
      <c r="A35" s="53"/>
      <c r="B35" s="53"/>
      <c r="C35" s="53"/>
      <c r="D35" s="65" t="s">
        <v>98</v>
      </c>
      <c r="E35" s="57">
        <f ca="1">+K27</f>
        <v>20</v>
      </c>
      <c r="F35" s="53"/>
      <c r="G35" s="53"/>
      <c r="H35" s="53"/>
      <c r="I35" s="53"/>
      <c r="J35" s="53"/>
      <c r="K35" s="131"/>
      <c r="L35" s="131"/>
      <c r="M35" s="131"/>
    </row>
    <row r="36" spans="1:13" ht="15.6" x14ac:dyDescent="0.3">
      <c r="A36" s="53"/>
      <c r="B36" s="53"/>
      <c r="C36" s="53"/>
      <c r="D36" s="66" t="s">
        <v>95</v>
      </c>
      <c r="E36" s="58">
        <f ca="1">+F27</f>
        <v>0</v>
      </c>
      <c r="F36" s="53"/>
      <c r="G36" s="53"/>
      <c r="H36" s="53"/>
      <c r="I36" s="53"/>
      <c r="J36" s="53"/>
      <c r="K36" s="53"/>
      <c r="L36" s="53"/>
      <c r="M36" s="53"/>
    </row>
    <row r="37" spans="1:13" ht="31.2" x14ac:dyDescent="0.3">
      <c r="A37" s="53"/>
      <c r="B37" s="53"/>
      <c r="C37" s="53"/>
      <c r="D37" s="40" t="s">
        <v>97</v>
      </c>
      <c r="E37" s="56" t="str">
        <f ca="1">+CONCATENATE(ROUND((F27/K27*5)/5,2)," %")</f>
        <v>0 %</v>
      </c>
      <c r="F37" s="53"/>
      <c r="G37" s="53"/>
      <c r="H37" s="53"/>
      <c r="I37" s="53"/>
      <c r="J37" s="53"/>
      <c r="K37" s="53"/>
      <c r="L37" s="53"/>
      <c r="M37" s="53"/>
    </row>
    <row r="38" spans="1:13" ht="15.6" x14ac:dyDescent="0.3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</row>
    <row r="39" spans="1:13" ht="15.6" x14ac:dyDescent="0.3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</row>
    <row r="40" spans="1:13" ht="15.6" x14ac:dyDescent="0.3">
      <c r="A40" s="53"/>
      <c r="B40" s="6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</row>
    <row r="41" spans="1:13" ht="15.6" x14ac:dyDescent="0.3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</row>
    <row r="45" spans="1:13" x14ac:dyDescent="0.3">
      <c r="C45" s="16"/>
      <c r="D45" s="16"/>
      <c r="E45" s="132" t="str">
        <f>+'N° de Obs.'!P2</f>
        <v>Elemento C</v>
      </c>
      <c r="F45" s="132"/>
      <c r="G45" s="16"/>
    </row>
    <row r="46" spans="1:13" ht="15.6" x14ac:dyDescent="0.3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</row>
    <row r="47" spans="1:13" ht="15.6" x14ac:dyDescent="0.3">
      <c r="A47" s="53"/>
      <c r="B47" s="54"/>
      <c r="C47" s="54"/>
      <c r="D47" s="54"/>
      <c r="E47" s="54"/>
      <c r="F47" s="54"/>
      <c r="G47" s="53"/>
      <c r="H47" s="53"/>
      <c r="I47" s="53"/>
      <c r="J47" s="53"/>
      <c r="K47" s="53"/>
      <c r="L47" s="53"/>
      <c r="M47" s="53"/>
    </row>
    <row r="48" spans="1:13" ht="15.6" x14ac:dyDescent="0.3">
      <c r="A48" s="53"/>
      <c r="B48" s="52" t="s">
        <v>26</v>
      </c>
      <c r="C48" s="68" t="s">
        <v>93</v>
      </c>
      <c r="D48" s="52" t="s">
        <v>94</v>
      </c>
      <c r="E48" s="68" t="s">
        <v>27</v>
      </c>
      <c r="F48" s="52" t="s">
        <v>95</v>
      </c>
      <c r="G48" s="53"/>
      <c r="H48" s="53"/>
      <c r="I48" s="53"/>
      <c r="J48" s="53"/>
      <c r="K48" s="53"/>
      <c r="L48" s="53"/>
      <c r="M48" s="53"/>
    </row>
    <row r="49" spans="1:13" s="36" customFormat="1" ht="15.6" x14ac:dyDescent="0.3">
      <c r="A49" s="53"/>
      <c r="B49" s="57">
        <f ca="1">+'N° de Obs.'!M6</f>
        <v>95</v>
      </c>
      <c r="C49" s="53">
        <f ca="1">+'N° de Obs.'!N6</f>
        <v>7721</v>
      </c>
      <c r="D49" s="57">
        <f ca="1">+ROUND($B$71*$C$71/C49,2)</f>
        <v>97.22</v>
      </c>
      <c r="E49" s="53">
        <f ca="1">+J49</f>
        <v>95</v>
      </c>
      <c r="F49" s="57">
        <f ca="1">+B49-E49</f>
        <v>0</v>
      </c>
      <c r="G49" s="53"/>
      <c r="H49" s="53">
        <f ca="1">+ROUND(D49,1)</f>
        <v>97.2</v>
      </c>
      <c r="I49" s="64" t="str">
        <f ca="1">+RIGHT(H49*10,2)</f>
        <v>72</v>
      </c>
      <c r="J49" s="53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53">
        <f ca="1">+ABS(F49)</f>
        <v>0</v>
      </c>
      <c r="L49" s="53"/>
      <c r="M49" s="53"/>
    </row>
    <row r="50" spans="1:13" ht="15.6" x14ac:dyDescent="0.3">
      <c r="A50" s="53"/>
      <c r="B50" s="57">
        <f ca="1">+'N° de Obs.'!M7</f>
        <v>100</v>
      </c>
      <c r="C50" s="53">
        <f ca="1">+'N° de Obs.'!N7</f>
        <v>7703</v>
      </c>
      <c r="D50" s="57">
        <f t="shared" ref="D50:D68" ca="1" si="6">+ROUND($B$71*$C$71/C50,2)</f>
        <v>97.44</v>
      </c>
      <c r="E50" s="53">
        <f t="shared" ref="E50:E68" ca="1" si="7">+J50</f>
        <v>95</v>
      </c>
      <c r="F50" s="57">
        <f t="shared" ref="F50:F68" ca="1" si="8">+B50-E50</f>
        <v>5</v>
      </c>
      <c r="G50" s="53"/>
      <c r="H50" s="53">
        <f t="shared" ref="H50:H68" ca="1" si="9">+ROUND(D50,1)</f>
        <v>97.4</v>
      </c>
      <c r="I50" s="64" t="str">
        <f t="shared" ref="I50:I68" ca="1" si="10">+RIGHT(H50*10,2)</f>
        <v>74</v>
      </c>
      <c r="J50" s="53" cm="1">
        <f t="array" aca="1" ref="J50" ca="1">+_xlfn.IFS(AND(I50&gt;="0",I50&lt;"25"),H50-(I50/10),AND(I50&gt;="25",I50&lt;"50"),H50+(5-(I50/10)),AND(I50&gt;="50",I50&lt;"75"),H50-((I50-50)/10),I50&gt;="75",H50+(10-(I50/10)))</f>
        <v>95</v>
      </c>
      <c r="K50" s="53">
        <f t="shared" ref="K50:K68" ca="1" si="11">+ABS(F50)</f>
        <v>5</v>
      </c>
      <c r="L50" s="53"/>
      <c r="M50" s="53"/>
    </row>
    <row r="51" spans="1:13" ht="15.6" x14ac:dyDescent="0.3">
      <c r="A51" s="53"/>
      <c r="B51" s="57">
        <f ca="1">+'N° de Obs.'!M8</f>
        <v>95</v>
      </c>
      <c r="C51" s="53">
        <f ca="1">+'N° de Obs.'!N8</f>
        <v>7726</v>
      </c>
      <c r="D51" s="57">
        <f t="shared" ca="1" si="6"/>
        <v>97.15</v>
      </c>
      <c r="E51" s="53">
        <f t="shared" ca="1" si="7"/>
        <v>95</v>
      </c>
      <c r="F51" s="57">
        <f t="shared" ca="1" si="8"/>
        <v>0</v>
      </c>
      <c r="G51" s="53"/>
      <c r="H51" s="53">
        <f t="shared" ca="1" si="9"/>
        <v>97.2</v>
      </c>
      <c r="I51" s="64" t="str">
        <f t="shared" ca="1" si="10"/>
        <v>72</v>
      </c>
      <c r="J51" s="53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53">
        <f t="shared" ca="1" si="11"/>
        <v>0</v>
      </c>
      <c r="L51" s="53"/>
      <c r="M51" s="53"/>
    </row>
    <row r="52" spans="1:13" ht="15.6" x14ac:dyDescent="0.3">
      <c r="A52" s="53"/>
      <c r="B52" s="57">
        <f ca="1">+'N° de Obs.'!M9</f>
        <v>95</v>
      </c>
      <c r="C52" s="53">
        <f ca="1">+'N° de Obs.'!N9</f>
        <v>7621</v>
      </c>
      <c r="D52" s="57">
        <f t="shared" ca="1" si="6"/>
        <v>98.49</v>
      </c>
      <c r="E52" s="53">
        <f t="shared" ca="1" si="7"/>
        <v>100</v>
      </c>
      <c r="F52" s="57">
        <f t="shared" ca="1" si="8"/>
        <v>-5</v>
      </c>
      <c r="G52" s="53"/>
      <c r="H52" s="53">
        <f t="shared" ca="1" si="9"/>
        <v>98.5</v>
      </c>
      <c r="I52" s="64" t="str">
        <f t="shared" ca="1" si="10"/>
        <v>85</v>
      </c>
      <c r="J52" s="53" cm="1">
        <f t="array" aca="1" ref="J52" ca="1">+_xlfn.IFS(AND(I52&gt;="0",I52&lt;"25"),H52-(I52/10),AND(I52&gt;="25",I52&lt;"50"),H52+(5-(I52/10)),AND(I52&gt;="50",I52&lt;"75"),H52-((I52-50)/10),I52&gt;="75",H52+(10-(I52/10)))</f>
        <v>100</v>
      </c>
      <c r="K52" s="53">
        <f t="shared" ca="1" si="11"/>
        <v>5</v>
      </c>
      <c r="L52" s="53"/>
      <c r="M52" s="53"/>
    </row>
    <row r="53" spans="1:13" ht="15.6" x14ac:dyDescent="0.3">
      <c r="A53" s="53"/>
      <c r="B53" s="57">
        <f ca="1">+'N° de Obs.'!M10</f>
        <v>90</v>
      </c>
      <c r="C53" s="53">
        <f ca="1">+'N° de Obs.'!N10</f>
        <v>7794</v>
      </c>
      <c r="D53" s="57">
        <f t="shared" ca="1" si="6"/>
        <v>96.3</v>
      </c>
      <c r="E53" s="53">
        <f t="shared" ca="1" si="7"/>
        <v>95</v>
      </c>
      <c r="F53" s="57">
        <f t="shared" ca="1" si="8"/>
        <v>-5</v>
      </c>
      <c r="G53" s="53"/>
      <c r="H53" s="53">
        <f t="shared" ca="1" si="9"/>
        <v>96.3</v>
      </c>
      <c r="I53" s="64" t="str">
        <f t="shared" ca="1" si="10"/>
        <v>63</v>
      </c>
      <c r="J53" s="53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53">
        <f t="shared" ca="1" si="11"/>
        <v>5</v>
      </c>
      <c r="L53" s="53"/>
      <c r="M53" s="53"/>
    </row>
    <row r="54" spans="1:13" ht="15.6" x14ac:dyDescent="0.3">
      <c r="A54" s="53"/>
      <c r="B54" s="57">
        <f ca="1">+'N° de Obs.'!M11</f>
        <v>90</v>
      </c>
      <c r="C54" s="53">
        <f ca="1">+'N° de Obs.'!N11</f>
        <v>7678</v>
      </c>
      <c r="D54" s="57">
        <f t="shared" ca="1" si="6"/>
        <v>97.76</v>
      </c>
      <c r="E54" s="53">
        <f t="shared" ca="1" si="7"/>
        <v>100</v>
      </c>
      <c r="F54" s="57">
        <f t="shared" ca="1" si="8"/>
        <v>-10</v>
      </c>
      <c r="G54" s="53"/>
      <c r="H54" s="53">
        <f t="shared" ca="1" si="9"/>
        <v>97.8</v>
      </c>
      <c r="I54" s="64" t="str">
        <f t="shared" ca="1" si="10"/>
        <v>78</v>
      </c>
      <c r="J54" s="53" cm="1">
        <f t="array" aca="1" ref="J54" ca="1">+_xlfn.IFS(AND(I54&gt;="0",I54&lt;"25"),H54-(I54/10),AND(I54&gt;="25",I54&lt;"50"),H54+(5-(I54/10)),AND(I54&gt;="50",I54&lt;"75"),H54-((I54-50)/10),I54&gt;="75",H54+(10-(I54/10)))</f>
        <v>100</v>
      </c>
      <c r="K54" s="53">
        <f t="shared" ca="1" si="11"/>
        <v>10</v>
      </c>
      <c r="L54" s="53"/>
      <c r="M54" s="53"/>
    </row>
    <row r="55" spans="1:13" ht="15.6" x14ac:dyDescent="0.3">
      <c r="A55" s="53"/>
      <c r="B55" s="57">
        <f ca="1">+'N° de Obs.'!M12</f>
        <v>100</v>
      </c>
      <c r="C55" s="53">
        <f ca="1">+'N° de Obs.'!N12</f>
        <v>7759</v>
      </c>
      <c r="D55" s="57">
        <f t="shared" ca="1" si="6"/>
        <v>96.74</v>
      </c>
      <c r="E55" s="53">
        <f t="shared" ca="1" si="7"/>
        <v>95</v>
      </c>
      <c r="F55" s="57">
        <f t="shared" ca="1" si="8"/>
        <v>5</v>
      </c>
      <c r="G55" s="53"/>
      <c r="H55" s="53">
        <f t="shared" ca="1" si="9"/>
        <v>96.7</v>
      </c>
      <c r="I55" s="64" t="str">
        <f t="shared" ca="1" si="10"/>
        <v>67</v>
      </c>
      <c r="J55" s="53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53">
        <f t="shared" ca="1" si="11"/>
        <v>5</v>
      </c>
      <c r="L55" s="53"/>
      <c r="M55" s="53"/>
    </row>
    <row r="56" spans="1:13" ht="15.6" x14ac:dyDescent="0.3">
      <c r="A56" s="53"/>
      <c r="B56" s="57">
        <f ca="1">+'N° de Obs.'!M13</f>
        <v>95</v>
      </c>
      <c r="C56" s="53">
        <f ca="1">+'N° de Obs.'!N13</f>
        <v>7793</v>
      </c>
      <c r="D56" s="57">
        <f t="shared" ca="1" si="6"/>
        <v>96.32</v>
      </c>
      <c r="E56" s="53">
        <f t="shared" ca="1" si="7"/>
        <v>95</v>
      </c>
      <c r="F56" s="57">
        <f t="shared" ca="1" si="8"/>
        <v>0</v>
      </c>
      <c r="G56" s="53"/>
      <c r="H56" s="53">
        <f t="shared" ca="1" si="9"/>
        <v>96.3</v>
      </c>
      <c r="I56" s="64" t="str">
        <f t="shared" ca="1" si="10"/>
        <v>63</v>
      </c>
      <c r="J56" s="53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53">
        <f t="shared" ca="1" si="11"/>
        <v>0</v>
      </c>
      <c r="L56" s="53"/>
      <c r="M56" s="53"/>
    </row>
    <row r="57" spans="1:13" ht="15.6" x14ac:dyDescent="0.3">
      <c r="A57" s="53"/>
      <c r="B57" s="57">
        <f ca="1">+'N° de Obs.'!M14</f>
        <v>100</v>
      </c>
      <c r="C57" s="53">
        <f ca="1">+'N° de Obs.'!N14</f>
        <v>7613</v>
      </c>
      <c r="D57" s="57">
        <f t="shared" ca="1" si="6"/>
        <v>98.59</v>
      </c>
      <c r="E57" s="53">
        <f t="shared" ca="1" si="7"/>
        <v>100</v>
      </c>
      <c r="F57" s="57">
        <f t="shared" ca="1" si="8"/>
        <v>0</v>
      </c>
      <c r="G57" s="53"/>
      <c r="H57" s="53">
        <f t="shared" ca="1" si="9"/>
        <v>98.6</v>
      </c>
      <c r="I57" s="64" t="str">
        <f t="shared" ca="1" si="10"/>
        <v>86</v>
      </c>
      <c r="J57" s="53" cm="1">
        <f t="array" aca="1" ref="J57" ca="1">+_xlfn.IFS(AND(I57&gt;="0",I57&lt;"25"),H57-(I57/10),AND(I57&gt;="25",I57&lt;"50"),H57+(5-(I57/10)),AND(I57&gt;="50",I57&lt;"75"),H57-((I57-50)/10),I57&gt;="75",H57+(10-(I57/10)))</f>
        <v>100</v>
      </c>
      <c r="K57" s="53">
        <f t="shared" ca="1" si="11"/>
        <v>0</v>
      </c>
      <c r="L57" s="53"/>
      <c r="M57" s="53"/>
    </row>
    <row r="58" spans="1:13" ht="15.6" x14ac:dyDescent="0.3">
      <c r="A58" s="53"/>
      <c r="B58" s="57">
        <f ca="1">+'N° de Obs.'!M15</f>
        <v>90</v>
      </c>
      <c r="C58" s="53">
        <f ca="1">+'N° de Obs.'!N15</f>
        <v>7752</v>
      </c>
      <c r="D58" s="57">
        <f t="shared" ca="1" si="6"/>
        <v>96.83</v>
      </c>
      <c r="E58" s="53">
        <f t="shared" ca="1" si="7"/>
        <v>95</v>
      </c>
      <c r="F58" s="57">
        <f t="shared" ca="1" si="8"/>
        <v>-5</v>
      </c>
      <c r="G58" s="53"/>
      <c r="H58" s="53">
        <f t="shared" ca="1" si="9"/>
        <v>96.8</v>
      </c>
      <c r="I58" s="64" t="str">
        <f t="shared" ca="1" si="10"/>
        <v>68</v>
      </c>
      <c r="J58" s="53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53">
        <f t="shared" ca="1" si="11"/>
        <v>5</v>
      </c>
      <c r="L58" s="53"/>
      <c r="M58" s="53"/>
    </row>
    <row r="59" spans="1:13" ht="15.6" x14ac:dyDescent="0.3">
      <c r="A59" s="53"/>
      <c r="B59" s="57">
        <f ca="1">+'N° de Obs.'!M16</f>
        <v>100</v>
      </c>
      <c r="C59" s="53">
        <f ca="1">+'N° de Obs.'!N16</f>
        <v>7699</v>
      </c>
      <c r="D59" s="57">
        <f t="shared" ca="1" si="6"/>
        <v>97.49</v>
      </c>
      <c r="E59" s="53">
        <f t="shared" ca="1" si="7"/>
        <v>100</v>
      </c>
      <c r="F59" s="57">
        <f t="shared" ca="1" si="8"/>
        <v>0</v>
      </c>
      <c r="G59" s="53"/>
      <c r="H59" s="53">
        <f t="shared" ca="1" si="9"/>
        <v>97.5</v>
      </c>
      <c r="I59" s="64" t="str">
        <f t="shared" ca="1" si="10"/>
        <v>75</v>
      </c>
      <c r="J59" s="53" cm="1">
        <f t="array" aca="1" ref="J59" ca="1">+_xlfn.IFS(AND(I59&gt;="0",I59&lt;"25"),H59-(I59/10),AND(I59&gt;="25",I59&lt;"50"),H59+(5-(I59/10)),AND(I59&gt;="50",I59&lt;"75"),H59-((I59-50)/10),I59&gt;="75",H59+(10-(I59/10)))</f>
        <v>100</v>
      </c>
      <c r="K59" s="53">
        <f t="shared" ca="1" si="11"/>
        <v>0</v>
      </c>
      <c r="L59" s="53"/>
      <c r="M59" s="53"/>
    </row>
    <row r="60" spans="1:13" ht="15.6" x14ac:dyDescent="0.3">
      <c r="A60" s="53"/>
      <c r="B60" s="57">
        <f ca="1">+'N° de Obs.'!M17</f>
        <v>100</v>
      </c>
      <c r="C60" s="53">
        <f ca="1">+'N° de Obs.'!N17</f>
        <v>7796</v>
      </c>
      <c r="D60" s="57">
        <f t="shared" ca="1" si="6"/>
        <v>96.28</v>
      </c>
      <c r="E60" s="53">
        <f t="shared" ca="1" si="7"/>
        <v>95</v>
      </c>
      <c r="F60" s="57">
        <f t="shared" ca="1" si="8"/>
        <v>5</v>
      </c>
      <c r="G60" s="53"/>
      <c r="H60" s="53">
        <f t="shared" ca="1" si="9"/>
        <v>96.3</v>
      </c>
      <c r="I60" s="64" t="str">
        <f t="shared" ca="1" si="10"/>
        <v>63</v>
      </c>
      <c r="J60" s="53" cm="1">
        <f t="array" aca="1" ref="J60" ca="1">+_xlfn.IFS(AND(I60&gt;="0",I60&lt;"25"),H60-(I60/10),AND(I60&gt;="25",I60&lt;"50"),H60+(5-(I60/10)),AND(I60&gt;="50",I60&lt;"75"),H60-((I60-50)/10),I60&gt;="75",H60+(10-(I60/10)))</f>
        <v>95</v>
      </c>
      <c r="K60" s="53">
        <f t="shared" ca="1" si="11"/>
        <v>5</v>
      </c>
      <c r="L60" s="53"/>
      <c r="M60" s="53"/>
    </row>
    <row r="61" spans="1:13" ht="15.6" x14ac:dyDescent="0.3">
      <c r="A61" s="53"/>
      <c r="B61" s="57">
        <f ca="1">+'N° de Obs.'!M18</f>
        <v>95</v>
      </c>
      <c r="C61" s="53">
        <f ca="1">+'N° de Obs.'!N18</f>
        <v>7622</v>
      </c>
      <c r="D61" s="57">
        <f t="shared" ca="1" si="6"/>
        <v>98.48</v>
      </c>
      <c r="E61" s="53">
        <f t="shared" ca="1" si="7"/>
        <v>100</v>
      </c>
      <c r="F61" s="57">
        <f t="shared" ca="1" si="8"/>
        <v>-5</v>
      </c>
      <c r="G61" s="53"/>
      <c r="H61" s="53">
        <f t="shared" ca="1" si="9"/>
        <v>98.5</v>
      </c>
      <c r="I61" s="64" t="str">
        <f t="shared" ca="1" si="10"/>
        <v>85</v>
      </c>
      <c r="J61" s="53" cm="1">
        <f t="array" aca="1" ref="J61" ca="1">+_xlfn.IFS(AND(I61&gt;="0",I61&lt;"25"),H61-(I61/10),AND(I61&gt;="25",I61&lt;"50"),H61+(5-(I61/10)),AND(I61&gt;="50",I61&lt;"75"),H61-((I61-50)/10),I61&gt;="75",H61+(10-(I61/10)))</f>
        <v>100</v>
      </c>
      <c r="K61" s="53">
        <f t="shared" ca="1" si="11"/>
        <v>5</v>
      </c>
      <c r="L61" s="53"/>
      <c r="M61" s="53"/>
    </row>
    <row r="62" spans="1:13" ht="15.6" x14ac:dyDescent="0.3">
      <c r="A62" s="53"/>
      <c r="B62" s="57">
        <f ca="1">+'N° de Obs.'!M19</f>
        <v>105</v>
      </c>
      <c r="C62" s="53">
        <f ca="1">+'N° de Obs.'!N19</f>
        <v>7680</v>
      </c>
      <c r="D62" s="57">
        <f t="shared" ca="1" si="6"/>
        <v>97.73</v>
      </c>
      <c r="E62" s="53">
        <f t="shared" ca="1" si="7"/>
        <v>100</v>
      </c>
      <c r="F62" s="57">
        <f t="shared" ca="1" si="8"/>
        <v>5</v>
      </c>
      <c r="G62" s="53"/>
      <c r="H62" s="53">
        <f t="shared" ca="1" si="9"/>
        <v>97.7</v>
      </c>
      <c r="I62" s="64" t="str">
        <f t="shared" ca="1" si="10"/>
        <v>77</v>
      </c>
      <c r="J62" s="53" cm="1">
        <f t="array" aca="1" ref="J62" ca="1">+_xlfn.IFS(AND(I62&gt;="0",I62&lt;"25"),H62-(I62/10),AND(I62&gt;="25",I62&lt;"50"),H62+(5-(I62/10)),AND(I62&gt;="50",I62&lt;"75"),H62-((I62-50)/10),I62&gt;="75",H62+(10-(I62/10)))</f>
        <v>100</v>
      </c>
      <c r="K62" s="53">
        <f t="shared" ca="1" si="11"/>
        <v>5</v>
      </c>
      <c r="L62" s="53"/>
      <c r="M62" s="53"/>
    </row>
    <row r="63" spans="1:13" ht="15.6" x14ac:dyDescent="0.3">
      <c r="A63" s="53"/>
      <c r="B63" s="57">
        <f ca="1">+'N° de Obs.'!M20</f>
        <v>95</v>
      </c>
      <c r="C63" s="53">
        <f ca="1">+'N° de Obs.'!N20</f>
        <v>7639</v>
      </c>
      <c r="D63" s="57">
        <f t="shared" ca="1" si="6"/>
        <v>98.26</v>
      </c>
      <c r="E63" s="53">
        <f t="shared" ca="1" si="7"/>
        <v>100</v>
      </c>
      <c r="F63" s="57">
        <f t="shared" ca="1" si="8"/>
        <v>-5</v>
      </c>
      <c r="G63" s="53"/>
      <c r="H63" s="53">
        <f t="shared" ca="1" si="9"/>
        <v>98.3</v>
      </c>
      <c r="I63" s="64" t="str">
        <f t="shared" ca="1" si="10"/>
        <v>83</v>
      </c>
      <c r="J63" s="53" cm="1">
        <f t="array" aca="1" ref="J63" ca="1">+_xlfn.IFS(AND(I63&gt;="0",I63&lt;"25"),H63-(I63/10),AND(I63&gt;="25",I63&lt;"50"),H63+(5-(I63/10)),AND(I63&gt;="50",I63&lt;"75"),H63-((I63-50)/10),I63&gt;="75",H63+(10-(I63/10)))</f>
        <v>100</v>
      </c>
      <c r="K63" s="53">
        <f t="shared" ca="1" si="11"/>
        <v>5</v>
      </c>
      <c r="L63" s="53"/>
      <c r="M63" s="53"/>
    </row>
    <row r="64" spans="1:13" ht="15.6" x14ac:dyDescent="0.3">
      <c r="A64" s="53"/>
      <c r="B64" s="57">
        <f ca="1">+'N° de Obs.'!M21</f>
        <v>100</v>
      </c>
      <c r="C64" s="53">
        <f ca="1">+'N° de Obs.'!N21</f>
        <v>7800</v>
      </c>
      <c r="D64" s="57">
        <f t="shared" ca="1" si="6"/>
        <v>96.23</v>
      </c>
      <c r="E64" s="53">
        <f t="shared" ca="1" si="7"/>
        <v>95</v>
      </c>
      <c r="F64" s="57">
        <f t="shared" ca="1" si="8"/>
        <v>5</v>
      </c>
      <c r="G64" s="53"/>
      <c r="H64" s="53">
        <f t="shared" ca="1" si="9"/>
        <v>96.2</v>
      </c>
      <c r="I64" s="64" t="str">
        <f t="shared" ca="1" si="10"/>
        <v>62</v>
      </c>
      <c r="J64" s="53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53">
        <f t="shared" ca="1" si="11"/>
        <v>5</v>
      </c>
      <c r="L64" s="53"/>
      <c r="M64" s="53"/>
    </row>
    <row r="65" spans="1:13" ht="15.6" x14ac:dyDescent="0.3">
      <c r="A65" s="53"/>
      <c r="B65" s="57">
        <f ca="1">+'N° de Obs.'!M22</f>
        <v>105</v>
      </c>
      <c r="C65" s="53">
        <f ca="1">+'N° de Obs.'!N22</f>
        <v>7682</v>
      </c>
      <c r="D65" s="57">
        <f t="shared" ca="1" si="6"/>
        <v>97.71</v>
      </c>
      <c r="E65" s="53">
        <f t="shared" ca="1" si="7"/>
        <v>100</v>
      </c>
      <c r="F65" s="57">
        <f t="shared" ca="1" si="8"/>
        <v>5</v>
      </c>
      <c r="G65" s="53"/>
      <c r="H65" s="53">
        <f t="shared" ca="1" si="9"/>
        <v>97.7</v>
      </c>
      <c r="I65" s="64" t="str">
        <f t="shared" ca="1" si="10"/>
        <v>77</v>
      </c>
      <c r="J65" s="53" cm="1">
        <f t="array" aca="1" ref="J65" ca="1">+_xlfn.IFS(AND(I65&gt;="0",I65&lt;"25"),H65-(I65/10),AND(I65&gt;="25",I65&lt;"50"),H65+(5-(I65/10)),AND(I65&gt;="50",I65&lt;"75"),H65-((I65-50)/10),I65&gt;="75",H65+(10-(I65/10)))</f>
        <v>100</v>
      </c>
      <c r="K65" s="53">
        <f t="shared" ca="1" si="11"/>
        <v>5</v>
      </c>
      <c r="L65" s="53"/>
      <c r="M65" s="53"/>
    </row>
    <row r="66" spans="1:13" ht="15.6" x14ac:dyDescent="0.3">
      <c r="A66" s="53"/>
      <c r="B66" s="57">
        <f ca="1">+'N° de Obs.'!M23</f>
        <v>100</v>
      </c>
      <c r="C66" s="53">
        <f ca="1">+'N° de Obs.'!N23</f>
        <v>7616</v>
      </c>
      <c r="D66" s="57">
        <f t="shared" ca="1" si="6"/>
        <v>98.56</v>
      </c>
      <c r="E66" s="53">
        <f t="shared" ca="1" si="7"/>
        <v>100</v>
      </c>
      <c r="F66" s="57">
        <f t="shared" ca="1" si="8"/>
        <v>0</v>
      </c>
      <c r="G66" s="53"/>
      <c r="H66" s="53">
        <f t="shared" ca="1" si="9"/>
        <v>98.6</v>
      </c>
      <c r="I66" s="64" t="str">
        <f t="shared" ca="1" si="10"/>
        <v>86</v>
      </c>
      <c r="J66" s="53" cm="1">
        <f t="array" aca="1" ref="J66" ca="1">+_xlfn.IFS(AND(I66&gt;="0",I66&lt;"25"),H66-(I66/10),AND(I66&gt;="25",I66&lt;"50"),H66+(5-(I66/10)),AND(I66&gt;="50",I66&lt;"75"),H66-((I66-50)/10),I66&gt;="75",H66+(10-(I66/10)))</f>
        <v>100</v>
      </c>
      <c r="K66" s="53">
        <f t="shared" ca="1" si="11"/>
        <v>0</v>
      </c>
      <c r="L66" s="53"/>
      <c r="M66" s="53"/>
    </row>
    <row r="67" spans="1:13" ht="15.6" x14ac:dyDescent="0.3">
      <c r="A67" s="53"/>
      <c r="B67" s="57">
        <f ca="1">+'N° de Obs.'!M24</f>
        <v>105</v>
      </c>
      <c r="C67" s="53">
        <f ca="1">+'N° de Obs.'!N24</f>
        <v>7609</v>
      </c>
      <c r="D67" s="57">
        <f t="shared" ca="1" si="6"/>
        <v>98.65</v>
      </c>
      <c r="E67" s="53">
        <f t="shared" ca="1" si="7"/>
        <v>100</v>
      </c>
      <c r="F67" s="57">
        <f t="shared" ca="1" si="8"/>
        <v>5</v>
      </c>
      <c r="G67" s="53"/>
      <c r="H67" s="53">
        <f t="shared" ca="1" si="9"/>
        <v>98.7</v>
      </c>
      <c r="I67" s="64" t="str">
        <f t="shared" ca="1" si="10"/>
        <v>87</v>
      </c>
      <c r="J67" s="53" cm="1">
        <f t="array" aca="1" ref="J67" ca="1">+_xlfn.IFS(AND(I67&gt;="0",I67&lt;"25"),H67-(I67/10),AND(I67&gt;="25",I67&lt;"50"),H67+(5-(I67/10)),AND(I67&gt;="50",I67&lt;"75"),H67-((I67-50)/10),I67&gt;="75",H67+(10-(I67/10)))</f>
        <v>100</v>
      </c>
      <c r="K67" s="53">
        <f t="shared" ca="1" si="11"/>
        <v>5</v>
      </c>
      <c r="L67" s="53"/>
      <c r="M67" s="53"/>
    </row>
    <row r="68" spans="1:13" ht="15.6" x14ac:dyDescent="0.3">
      <c r="A68" s="53"/>
      <c r="B68" s="58">
        <f ca="1">+'N° de Obs.'!M25</f>
        <v>95</v>
      </c>
      <c r="C68" s="53">
        <f ca="1">+'N° de Obs.'!N25</f>
        <v>7681</v>
      </c>
      <c r="D68" s="58">
        <f t="shared" ca="1" si="6"/>
        <v>97.72</v>
      </c>
      <c r="E68" s="54">
        <f t="shared" ca="1" si="7"/>
        <v>100</v>
      </c>
      <c r="F68" s="58">
        <f t="shared" ca="1" si="8"/>
        <v>-5</v>
      </c>
      <c r="G68" s="53"/>
      <c r="H68" s="53">
        <f t="shared" ca="1" si="9"/>
        <v>97.7</v>
      </c>
      <c r="I68" s="64" t="str">
        <f t="shared" ca="1" si="10"/>
        <v>77</v>
      </c>
      <c r="J68" s="53" cm="1">
        <f t="array" aca="1" ref="J68" ca="1">+_xlfn.IFS(AND(I68&gt;="0",I68&lt;"25"),H68-(I68/10),AND(I68&gt;="25",I68&lt;"50"),H68+(5-(I68/10)),AND(I68&gt;="50",I68&lt;"75"),H68-((I68-50)/10),I68&gt;="75",H68+(10-(I68/10)))</f>
        <v>100</v>
      </c>
      <c r="K68" s="53">
        <f t="shared" ca="1" si="11"/>
        <v>5</v>
      </c>
      <c r="L68" s="53"/>
      <c r="M68" s="53"/>
    </row>
    <row r="69" spans="1:13" ht="15.6" x14ac:dyDescent="0.3">
      <c r="A69" s="53"/>
      <c r="B69" s="123" t="s">
        <v>91</v>
      </c>
      <c r="C69" s="133"/>
      <c r="D69" s="133"/>
      <c r="E69" s="133"/>
      <c r="F69" s="60">
        <f ca="1">+SUMIF(K49:K68,"&lt;=10",F49:F68)</f>
        <v>-5</v>
      </c>
      <c r="G69" s="53"/>
      <c r="H69" s="53"/>
      <c r="I69" s="53"/>
      <c r="J69" s="53"/>
      <c r="K69" s="53">
        <f ca="1">+COUNTIF(K49:K68,"&lt;=10")</f>
        <v>20</v>
      </c>
      <c r="L69" s="53"/>
      <c r="M69" s="53"/>
    </row>
    <row r="70" spans="1:13" ht="15.6" x14ac:dyDescent="0.3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</row>
    <row r="71" spans="1:13" ht="15.6" x14ac:dyDescent="0.3">
      <c r="A71" s="53"/>
      <c r="B71" s="53">
        <v>100</v>
      </c>
      <c r="C71" s="53">
        <f ca="1">+AVERAGE('N° de Obs.'!O6:O25)</f>
        <v>7506.0000000000018</v>
      </c>
      <c r="D71" s="53"/>
      <c r="E71" s="53"/>
      <c r="F71" s="53"/>
      <c r="G71" s="53"/>
      <c r="H71" s="53"/>
      <c r="I71" s="53"/>
      <c r="J71" s="53"/>
      <c r="K71" s="53"/>
      <c r="L71" s="53"/>
      <c r="M71" s="53"/>
    </row>
    <row r="72" spans="1:13" ht="15.6" x14ac:dyDescent="0.3">
      <c r="A72" s="53"/>
      <c r="B72" s="53"/>
      <c r="C72" s="53"/>
      <c r="D72" s="54"/>
      <c r="E72" s="54"/>
      <c r="F72" s="53"/>
      <c r="G72" s="53"/>
      <c r="H72" s="53"/>
      <c r="I72" s="53"/>
      <c r="J72" s="53"/>
      <c r="K72" s="53"/>
      <c r="L72" s="53"/>
      <c r="M72" s="53"/>
    </row>
    <row r="73" spans="1:13" ht="15.6" x14ac:dyDescent="0.3">
      <c r="A73" s="53"/>
      <c r="B73" s="53"/>
      <c r="C73" s="53"/>
      <c r="D73" s="52" t="s">
        <v>85</v>
      </c>
      <c r="E73" s="52" t="s">
        <v>86</v>
      </c>
      <c r="F73" s="53"/>
      <c r="G73" s="53"/>
      <c r="H73" s="53"/>
      <c r="I73" s="53"/>
      <c r="J73" s="53"/>
      <c r="K73" s="53"/>
      <c r="L73" s="53"/>
      <c r="M73" s="53"/>
    </row>
    <row r="74" spans="1:13" ht="15.6" x14ac:dyDescent="0.3">
      <c r="A74" s="53"/>
      <c r="B74" s="53"/>
      <c r="C74" s="53"/>
      <c r="D74" s="57" t="s">
        <v>88</v>
      </c>
      <c r="E74" s="57" t="s">
        <v>25</v>
      </c>
      <c r="F74" s="53"/>
      <c r="G74" s="53"/>
      <c r="H74" s="53"/>
      <c r="I74" s="53"/>
      <c r="J74" s="53"/>
      <c r="K74" s="53"/>
      <c r="L74" s="53"/>
      <c r="M74" s="53"/>
    </row>
    <row r="75" spans="1:13" ht="15.6" x14ac:dyDescent="0.3">
      <c r="A75" s="53"/>
      <c r="B75" s="53"/>
      <c r="C75" s="53"/>
      <c r="D75" s="57" t="s">
        <v>96</v>
      </c>
      <c r="E75" s="67">
        <v>100</v>
      </c>
      <c r="F75" s="53"/>
      <c r="G75" s="53"/>
      <c r="H75" s="53"/>
      <c r="I75" s="53"/>
      <c r="J75" s="53"/>
      <c r="K75" s="53"/>
      <c r="L75" s="53"/>
      <c r="M75" s="53"/>
    </row>
    <row r="76" spans="1:13" ht="15.6" x14ac:dyDescent="0.3">
      <c r="A76" s="53"/>
      <c r="B76" s="53"/>
      <c r="C76" s="53"/>
      <c r="D76" s="57" t="s">
        <v>20</v>
      </c>
      <c r="E76" s="57">
        <f ca="1">+C71</f>
        <v>7506.0000000000018</v>
      </c>
      <c r="F76" s="53"/>
      <c r="G76" s="53"/>
      <c r="H76" s="53"/>
      <c r="I76" s="53"/>
      <c r="J76" s="53"/>
      <c r="K76" s="53"/>
      <c r="L76" s="53"/>
      <c r="M76" s="53"/>
    </row>
    <row r="77" spans="1:13" ht="31.2" x14ac:dyDescent="0.3">
      <c r="A77" s="53"/>
      <c r="B77" s="53"/>
      <c r="C77" s="53"/>
      <c r="D77" s="65" t="s">
        <v>98</v>
      </c>
      <c r="E77" s="57">
        <f ca="1">+K69</f>
        <v>20</v>
      </c>
      <c r="F77" s="53"/>
      <c r="G77" s="53"/>
      <c r="H77" s="53"/>
      <c r="I77" s="53"/>
      <c r="J77" s="53"/>
      <c r="K77" s="53"/>
      <c r="L77" s="53"/>
      <c r="M77" s="53"/>
    </row>
    <row r="78" spans="1:13" ht="15.6" x14ac:dyDescent="0.3">
      <c r="A78" s="53"/>
      <c r="B78" s="53"/>
      <c r="C78" s="53"/>
      <c r="D78" s="66" t="s">
        <v>95</v>
      </c>
      <c r="E78" s="58">
        <f ca="1">+F69</f>
        <v>-5</v>
      </c>
      <c r="F78" s="53"/>
      <c r="G78" s="53"/>
      <c r="H78" s="53"/>
      <c r="I78" s="53"/>
      <c r="J78" s="53"/>
      <c r="K78" s="53"/>
      <c r="L78" s="53"/>
      <c r="M78" s="53"/>
    </row>
    <row r="79" spans="1:13" ht="31.2" x14ac:dyDescent="0.3">
      <c r="A79" s="53"/>
      <c r="B79" s="53"/>
      <c r="C79" s="53"/>
      <c r="D79" s="40" t="s">
        <v>97</v>
      </c>
      <c r="E79" s="56" t="str">
        <f ca="1">+CONCATENATE(ROUND((F69/K69*5)/5,2)," %")</f>
        <v>-0.25 %</v>
      </c>
      <c r="F79" s="53"/>
      <c r="G79" s="53"/>
      <c r="H79" s="53"/>
      <c r="I79" s="53"/>
      <c r="J79" s="53"/>
      <c r="K79" s="53"/>
      <c r="L79" s="53"/>
      <c r="M79" s="53"/>
    </row>
    <row r="80" spans="1:13" ht="15.6" x14ac:dyDescent="0.3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</row>
    <row r="81" spans="1:13" ht="15.6" x14ac:dyDescent="0.3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</row>
    <row r="82" spans="1:13" ht="15.6" x14ac:dyDescent="0.3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</row>
    <row r="83" spans="1:13" ht="15.6" x14ac:dyDescent="0.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</row>
    <row r="84" spans="1:13" ht="15.6" x14ac:dyDescent="0.3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</row>
    <row r="87" spans="1:13" x14ac:dyDescent="0.3">
      <c r="C87" s="16"/>
      <c r="D87" s="16"/>
      <c r="E87" s="132" t="str">
        <f>+'N° de Obs.'!G30</f>
        <v>Elemento Q</v>
      </c>
      <c r="F87" s="132"/>
      <c r="G87" s="16"/>
    </row>
    <row r="88" spans="1:13" x14ac:dyDescent="0.3">
      <c r="C88" s="16"/>
      <c r="D88" s="16"/>
      <c r="E88" s="16"/>
      <c r="F88" s="16"/>
      <c r="G88" s="16"/>
    </row>
    <row r="89" spans="1:13" ht="15.6" x14ac:dyDescent="0.3">
      <c r="A89" s="53"/>
      <c r="B89" s="54"/>
      <c r="C89" s="54"/>
      <c r="D89" s="54"/>
      <c r="E89" s="54"/>
      <c r="F89" s="54"/>
      <c r="G89" s="53"/>
      <c r="H89" s="53"/>
      <c r="I89" s="53"/>
      <c r="J89" s="53"/>
      <c r="K89" s="53"/>
      <c r="L89" s="53"/>
      <c r="M89" s="53"/>
    </row>
    <row r="90" spans="1:13" ht="15.6" x14ac:dyDescent="0.3">
      <c r="A90" s="53"/>
      <c r="B90" s="52" t="s">
        <v>26</v>
      </c>
      <c r="C90" s="68" t="s">
        <v>93</v>
      </c>
      <c r="D90" s="52" t="s">
        <v>94</v>
      </c>
      <c r="E90" s="68" t="s">
        <v>27</v>
      </c>
      <c r="F90" s="52" t="s">
        <v>95</v>
      </c>
      <c r="G90" s="53"/>
      <c r="H90" s="53"/>
      <c r="I90" s="53"/>
      <c r="J90" s="53"/>
      <c r="K90" s="53"/>
      <c r="L90" s="53"/>
      <c r="M90" s="53"/>
    </row>
    <row r="91" spans="1:13" ht="15.6" x14ac:dyDescent="0.3">
      <c r="A91" s="53"/>
      <c r="B91" s="57">
        <f ca="1">+'N° de Obs.'!D34</f>
        <v>90</v>
      </c>
      <c r="C91" s="53">
        <f ca="1">+'N° de Obs.'!E34</f>
        <v>2143</v>
      </c>
      <c r="D91" s="57">
        <f ca="1">+ROUND($B$113*$C$113/C91,2)</f>
        <v>96.03</v>
      </c>
      <c r="E91" s="53">
        <f ca="1">+J91</f>
        <v>95</v>
      </c>
      <c r="F91" s="57">
        <f ca="1">+B91-E91</f>
        <v>-5</v>
      </c>
      <c r="G91" s="53"/>
      <c r="H91" s="53">
        <f ca="1">+ROUND(D91,1)</f>
        <v>96</v>
      </c>
      <c r="I91" s="64" t="str">
        <f ca="1">+RIGHT(H91*10,2)</f>
        <v>60</v>
      </c>
      <c r="J91" s="53" cm="1">
        <f t="array" aca="1" ref="J91" ca="1">+_xlfn.IFS(AND(I91&gt;="0",I91&lt;"25"),H91-(I91/10),AND(I91&gt;="25",I91&lt;"50"),H91+(5-(I91/10)),AND(I91&gt;="50",I91&lt;"75"),H91-((I91-50)/10),I91&gt;="75",H91+(10-(I91/10)))</f>
        <v>95</v>
      </c>
      <c r="K91" s="53">
        <f ca="1">+ABS(F91)</f>
        <v>5</v>
      </c>
      <c r="L91" s="53"/>
      <c r="M91" s="53"/>
    </row>
    <row r="92" spans="1:13" ht="15.6" x14ac:dyDescent="0.3">
      <c r="A92" s="53"/>
      <c r="B92" s="57">
        <f ca="1">+'N° de Obs.'!D35</f>
        <v>85</v>
      </c>
      <c r="C92" s="53">
        <f ca="1">+'N° de Obs.'!E35</f>
        <v>2280</v>
      </c>
      <c r="D92" s="57">
        <f t="shared" ref="D92:D110" ca="1" si="12">+ROUND($B$113*$C$113/C92,2)</f>
        <v>90.26</v>
      </c>
      <c r="E92" s="53">
        <f t="shared" ref="E92:E110" ca="1" si="13">+J92</f>
        <v>90</v>
      </c>
      <c r="F92" s="57">
        <f t="shared" ref="F92:F110" ca="1" si="14">+B92-E92</f>
        <v>-5</v>
      </c>
      <c r="G92" s="53"/>
      <c r="H92" s="53">
        <f t="shared" ref="H92:H110" ca="1" si="15">+ROUND(D92,1)</f>
        <v>90.3</v>
      </c>
      <c r="I92" s="64" t="str">
        <f t="shared" ref="I92:I110" ca="1" si="16">+RIGHT(H92*10,2)</f>
        <v>03</v>
      </c>
      <c r="J92" s="53" cm="1">
        <f t="array" aca="1" ref="J92" ca="1">+_xlfn.IFS(AND(I92&gt;="0",I92&lt;"25"),H92-(I92/10),AND(I92&gt;="25",I92&lt;"50"),H92+(5-(I92/10)),AND(I92&gt;="50",I92&lt;"75"),H92-((I92-50)/10),I92&gt;="75",H92+(10-(I92/10)))</f>
        <v>90</v>
      </c>
      <c r="K92" s="53">
        <f t="shared" ref="K92:K110" ca="1" si="17">+ABS(F92)</f>
        <v>5</v>
      </c>
      <c r="L92" s="53"/>
      <c r="M92" s="53"/>
    </row>
    <row r="93" spans="1:13" ht="15.6" x14ac:dyDescent="0.3">
      <c r="A93" s="53"/>
      <c r="B93" s="57">
        <f ca="1">+'N° de Obs.'!D36</f>
        <v>100</v>
      </c>
      <c r="C93" s="53">
        <f ca="1">+'N° de Obs.'!E36</f>
        <v>2025</v>
      </c>
      <c r="D93" s="57">
        <f t="shared" ca="1" si="12"/>
        <v>101.63</v>
      </c>
      <c r="E93" s="53">
        <f t="shared" ca="1" si="13"/>
        <v>100</v>
      </c>
      <c r="F93" s="57">
        <f t="shared" ca="1" si="14"/>
        <v>0</v>
      </c>
      <c r="G93" s="53"/>
      <c r="H93" s="53">
        <f t="shared" ca="1" si="15"/>
        <v>101.6</v>
      </c>
      <c r="I93" s="64" t="str">
        <f t="shared" ca="1" si="16"/>
        <v>16</v>
      </c>
      <c r="J93" s="53" cm="1">
        <f t="array" aca="1" ref="J93" ca="1">+_xlfn.IFS(AND(I93&gt;="0",I93&lt;"25"),H93-(I93/10),AND(I93&gt;="25",I93&lt;"50"),H93+(5-(I93/10)),AND(I93&gt;="50",I93&lt;"75"),H93-((I93-50)/10),I93&gt;="75",H93+(10-(I93/10)))</f>
        <v>100</v>
      </c>
      <c r="K93" s="53">
        <f t="shared" ca="1" si="17"/>
        <v>0</v>
      </c>
      <c r="L93" s="53"/>
      <c r="M93" s="53"/>
    </row>
    <row r="94" spans="1:13" ht="15.6" x14ac:dyDescent="0.3">
      <c r="A94" s="53"/>
      <c r="B94" s="57">
        <f ca="1">+'N° de Obs.'!D37</f>
        <v>90</v>
      </c>
      <c r="C94" s="53">
        <f ca="1">+'N° de Obs.'!E37</f>
        <v>2017</v>
      </c>
      <c r="D94" s="57">
        <f t="shared" ca="1" si="12"/>
        <v>102.03</v>
      </c>
      <c r="E94" s="53">
        <f t="shared" ca="1" si="13"/>
        <v>100</v>
      </c>
      <c r="F94" s="57">
        <f t="shared" ca="1" si="14"/>
        <v>-10</v>
      </c>
      <c r="G94" s="53"/>
      <c r="H94" s="53">
        <f t="shared" ca="1" si="15"/>
        <v>102</v>
      </c>
      <c r="I94" s="64" t="str">
        <f t="shared" ca="1" si="16"/>
        <v>20</v>
      </c>
      <c r="J94" s="53" cm="1">
        <f t="array" aca="1" ref="J94" ca="1">+_xlfn.IFS(AND(I94&gt;="0",I94&lt;"25"),H94-(I94/10),AND(I94&gt;="25",I94&lt;"50"),H94+(5-(I94/10)),AND(I94&gt;="50",I94&lt;"75"),H94-((I94-50)/10),I94&gt;="75",H94+(10-(I94/10)))</f>
        <v>100</v>
      </c>
      <c r="K94" s="53">
        <f t="shared" ca="1" si="17"/>
        <v>10</v>
      </c>
      <c r="L94" s="53"/>
      <c r="M94" s="53"/>
    </row>
    <row r="95" spans="1:13" ht="15.6" x14ac:dyDescent="0.3">
      <c r="A95" s="53"/>
      <c r="B95" s="57">
        <f ca="1">+'N° de Obs.'!D38</f>
        <v>100</v>
      </c>
      <c r="C95" s="53">
        <f ca="1">+'N° de Obs.'!E38</f>
        <v>2177</v>
      </c>
      <c r="D95" s="57">
        <f t="shared" ca="1" si="12"/>
        <v>94.53</v>
      </c>
      <c r="E95" s="53">
        <f t="shared" ca="1" si="13"/>
        <v>95</v>
      </c>
      <c r="F95" s="57">
        <f t="shared" ca="1" si="14"/>
        <v>5</v>
      </c>
      <c r="G95" s="53"/>
      <c r="H95" s="53">
        <f t="shared" ca="1" si="15"/>
        <v>94.5</v>
      </c>
      <c r="I95" s="64" t="str">
        <f t="shared" ca="1" si="16"/>
        <v>45</v>
      </c>
      <c r="J95" s="53" cm="1">
        <f t="array" aca="1" ref="J95" ca="1">+_xlfn.IFS(AND(I95&gt;="0",I95&lt;"25"),H95-(I95/10),AND(I95&gt;="25",I95&lt;"50"),H95+(5-(I95/10)),AND(I95&gt;="50",I95&lt;"75"),H95-((I95-50)/10),I95&gt;="75",H95+(10-(I95/10)))</f>
        <v>95</v>
      </c>
      <c r="K95" s="53">
        <f t="shared" ca="1" si="17"/>
        <v>5</v>
      </c>
      <c r="L95" s="53"/>
      <c r="M95" s="53"/>
    </row>
    <row r="96" spans="1:13" ht="15.6" x14ac:dyDescent="0.3">
      <c r="A96" s="53"/>
      <c r="B96" s="57">
        <f ca="1">+'N° de Obs.'!D39</f>
        <v>95</v>
      </c>
      <c r="C96" s="53">
        <f ca="1">+'N° de Obs.'!E39</f>
        <v>2039</v>
      </c>
      <c r="D96" s="57">
        <f t="shared" ca="1" si="12"/>
        <v>100.93</v>
      </c>
      <c r="E96" s="53">
        <f t="shared" ca="1" si="13"/>
        <v>100</v>
      </c>
      <c r="F96" s="57">
        <f t="shared" ca="1" si="14"/>
        <v>-5</v>
      </c>
      <c r="G96" s="53"/>
      <c r="H96" s="53">
        <f t="shared" ca="1" si="15"/>
        <v>100.9</v>
      </c>
      <c r="I96" s="64" t="str">
        <f t="shared" ca="1" si="16"/>
        <v>09</v>
      </c>
      <c r="J96" s="53" cm="1">
        <f t="array" aca="1" ref="J96" ca="1">+_xlfn.IFS(AND(I96&gt;="0",I96&lt;"25"),H96-(I96/10),AND(I96&gt;="25",I96&lt;"50"),H96+(5-(I96/10)),AND(I96&gt;="50",I96&lt;"75"),H96-((I96-50)/10),I96&gt;="75",H96+(10-(I96/10)))</f>
        <v>100</v>
      </c>
      <c r="K96" s="53">
        <f t="shared" ca="1" si="17"/>
        <v>5</v>
      </c>
      <c r="L96" s="53"/>
      <c r="M96" s="53"/>
    </row>
    <row r="97" spans="1:13" ht="15.6" x14ac:dyDescent="0.3">
      <c r="A97" s="53"/>
      <c r="B97" s="57">
        <f ca="1">+'N° de Obs.'!D40</f>
        <v>100</v>
      </c>
      <c r="C97" s="53">
        <f ca="1">+'N° de Obs.'!E40</f>
        <v>2201</v>
      </c>
      <c r="D97" s="57">
        <f t="shared" ca="1" si="12"/>
        <v>93.5</v>
      </c>
      <c r="E97" s="53">
        <f t="shared" ca="1" si="13"/>
        <v>95</v>
      </c>
      <c r="F97" s="57">
        <f t="shared" ca="1" si="14"/>
        <v>5</v>
      </c>
      <c r="G97" s="53"/>
      <c r="H97" s="53">
        <f t="shared" ca="1" si="15"/>
        <v>93.5</v>
      </c>
      <c r="I97" s="64" t="str">
        <f t="shared" ca="1" si="16"/>
        <v>35</v>
      </c>
      <c r="J97" s="53" cm="1">
        <f t="array" aca="1" ref="J97" ca="1">+_xlfn.IFS(AND(I97&gt;="0",I97&lt;"25"),H97-(I97/10),AND(I97&gt;="25",I97&lt;"50"),H97+(5-(I97/10)),AND(I97&gt;="50",I97&lt;"75"),H97-((I97-50)/10),I97&gt;="75",H97+(10-(I97/10)))</f>
        <v>95</v>
      </c>
      <c r="K97" s="53">
        <f t="shared" ca="1" si="17"/>
        <v>5</v>
      </c>
      <c r="L97" s="53"/>
      <c r="M97" s="53"/>
    </row>
    <row r="98" spans="1:13" ht="15.6" x14ac:dyDescent="0.3">
      <c r="A98" s="53"/>
      <c r="B98" s="57">
        <f ca="1">+'N° de Obs.'!D41</f>
        <v>95</v>
      </c>
      <c r="C98" s="53">
        <f ca="1">+'N° de Obs.'!E41</f>
        <v>2292</v>
      </c>
      <c r="D98" s="57">
        <f t="shared" ca="1" si="12"/>
        <v>89.79</v>
      </c>
      <c r="E98" s="53">
        <f t="shared" ca="1" si="13"/>
        <v>90</v>
      </c>
      <c r="F98" s="57">
        <f t="shared" ca="1" si="14"/>
        <v>5</v>
      </c>
      <c r="G98" s="53"/>
      <c r="H98" s="53">
        <f t="shared" ca="1" si="15"/>
        <v>89.8</v>
      </c>
      <c r="I98" s="64" t="str">
        <f t="shared" ca="1" si="16"/>
        <v>98</v>
      </c>
      <c r="J98" s="53" cm="1">
        <f t="array" aca="1" ref="J98" ca="1">+_xlfn.IFS(AND(I98&gt;="0",I98&lt;"25"),H98-(I98/10),AND(I98&gt;="25",I98&lt;"50"),H98+(5-(I98/10)),AND(I98&gt;="50",I98&lt;"75"),H98-((I98-50)/10),I98&gt;="75",H98+(10-(I98/10)))</f>
        <v>90</v>
      </c>
      <c r="K98" s="53">
        <f t="shared" ca="1" si="17"/>
        <v>5</v>
      </c>
      <c r="L98" s="53"/>
      <c r="M98" s="53"/>
    </row>
    <row r="99" spans="1:13" ht="15.6" x14ac:dyDescent="0.3">
      <c r="A99" s="53"/>
      <c r="B99" s="57">
        <f ca="1">+'N° de Obs.'!D42</f>
        <v>95</v>
      </c>
      <c r="C99" s="53">
        <f ca="1">+'N° de Obs.'!E42</f>
        <v>2125</v>
      </c>
      <c r="D99" s="57">
        <f t="shared" ca="1" si="12"/>
        <v>96.85</v>
      </c>
      <c r="E99" s="53">
        <f t="shared" ca="1" si="13"/>
        <v>95</v>
      </c>
      <c r="F99" s="57">
        <f t="shared" ca="1" si="14"/>
        <v>0</v>
      </c>
      <c r="G99" s="53"/>
      <c r="H99" s="53">
        <f t="shared" ca="1" si="15"/>
        <v>96.9</v>
      </c>
      <c r="I99" s="64" t="str">
        <f t="shared" ca="1" si="16"/>
        <v>69</v>
      </c>
      <c r="J99" s="53" cm="1">
        <f t="array" aca="1" ref="J99" ca="1">+_xlfn.IFS(AND(I99&gt;="0",I99&lt;"25"),H99-(I99/10),AND(I99&gt;="25",I99&lt;"50"),H99+(5-(I99/10)),AND(I99&gt;="50",I99&lt;"75"),H99-((I99-50)/10),I99&gt;="75",H99+(10-(I99/10)))</f>
        <v>95</v>
      </c>
      <c r="K99" s="53">
        <f t="shared" ca="1" si="17"/>
        <v>0</v>
      </c>
      <c r="L99" s="53"/>
      <c r="M99" s="53"/>
    </row>
    <row r="100" spans="1:13" ht="15.6" x14ac:dyDescent="0.3">
      <c r="A100" s="53"/>
      <c r="B100" s="57">
        <f ca="1">+'N° de Obs.'!D43</f>
        <v>90</v>
      </c>
      <c r="C100" s="53">
        <f ca="1">+'N° de Obs.'!E43</f>
        <v>2193</v>
      </c>
      <c r="D100" s="57">
        <f t="shared" ca="1" si="12"/>
        <v>93.84</v>
      </c>
      <c r="E100" s="53">
        <f t="shared" ca="1" si="13"/>
        <v>95</v>
      </c>
      <c r="F100" s="57">
        <f t="shared" ca="1" si="14"/>
        <v>-5</v>
      </c>
      <c r="G100" s="53"/>
      <c r="H100" s="53">
        <f t="shared" ca="1" si="15"/>
        <v>93.8</v>
      </c>
      <c r="I100" s="64" t="str">
        <f t="shared" ca="1" si="16"/>
        <v>38</v>
      </c>
      <c r="J100" s="53" cm="1">
        <f t="array" aca="1" ref="J100" ca="1">+_xlfn.IFS(AND(I100&gt;="0",I100&lt;"25"),H100-(I100/10),AND(I100&gt;="25",I100&lt;"50"),H100+(5-(I100/10)),AND(I100&gt;="50",I100&lt;"75"),H100-((I100-50)/10),I100&gt;="75",H100+(10-(I100/10)))</f>
        <v>95</v>
      </c>
      <c r="K100" s="53">
        <f t="shared" ca="1" si="17"/>
        <v>5</v>
      </c>
      <c r="L100" s="53"/>
      <c r="M100" s="53"/>
    </row>
    <row r="101" spans="1:13" ht="15.6" x14ac:dyDescent="0.3">
      <c r="A101" s="53"/>
      <c r="B101" s="57">
        <f ca="1">+'N° de Obs.'!D44</f>
        <v>90</v>
      </c>
      <c r="C101" s="53">
        <f ca="1">+'N° de Obs.'!E44</f>
        <v>2259</v>
      </c>
      <c r="D101" s="57">
        <f t="shared" ca="1" si="12"/>
        <v>91.1</v>
      </c>
      <c r="E101" s="53">
        <f t="shared" ca="1" si="13"/>
        <v>90</v>
      </c>
      <c r="F101" s="57">
        <f t="shared" ca="1" si="14"/>
        <v>0</v>
      </c>
      <c r="G101" s="53"/>
      <c r="H101" s="53">
        <f t="shared" ca="1" si="15"/>
        <v>91.1</v>
      </c>
      <c r="I101" s="64" t="str">
        <f t="shared" ca="1" si="16"/>
        <v>11</v>
      </c>
      <c r="J101" s="53" cm="1">
        <f t="array" aca="1" ref="J101" ca="1">+_xlfn.IFS(AND(I101&gt;="0",I101&lt;"25"),H101-(I101/10),AND(I101&gt;="25",I101&lt;"50"),H101+(5-(I101/10)),AND(I101&gt;="50",I101&lt;"75"),H101-((I101-50)/10),I101&gt;="75",H101+(10-(I101/10)))</f>
        <v>90</v>
      </c>
      <c r="K101" s="53">
        <f t="shared" ca="1" si="17"/>
        <v>0</v>
      </c>
      <c r="L101" s="53"/>
      <c r="M101" s="53"/>
    </row>
    <row r="102" spans="1:13" ht="15.6" x14ac:dyDescent="0.3">
      <c r="A102" s="53"/>
      <c r="B102" s="57">
        <f ca="1">+'N° de Obs.'!D45</f>
        <v>100</v>
      </c>
      <c r="C102" s="53">
        <f ca="1">+'N° de Obs.'!E45</f>
        <v>2057</v>
      </c>
      <c r="D102" s="57">
        <f t="shared" ca="1" si="12"/>
        <v>100.05</v>
      </c>
      <c r="E102" s="53">
        <f t="shared" ca="1" si="13"/>
        <v>100</v>
      </c>
      <c r="F102" s="57">
        <f t="shared" ca="1" si="14"/>
        <v>0</v>
      </c>
      <c r="G102" s="53"/>
      <c r="H102" s="53">
        <f t="shared" ca="1" si="15"/>
        <v>100.1</v>
      </c>
      <c r="I102" s="64" t="str">
        <f t="shared" ca="1" si="16"/>
        <v>01</v>
      </c>
      <c r="J102" s="53" cm="1">
        <f t="array" aca="1" ref="J102" ca="1">+_xlfn.IFS(AND(I102&gt;="0",I102&lt;"25"),H102-(I102/10),AND(I102&gt;="25",I102&lt;"50"),H102+(5-(I102/10)),AND(I102&gt;="50",I102&lt;"75"),H102-((I102-50)/10),I102&gt;="75",H102+(10-(I102/10)))</f>
        <v>100</v>
      </c>
      <c r="K102" s="53">
        <f t="shared" ca="1" si="17"/>
        <v>0</v>
      </c>
      <c r="L102" s="53"/>
      <c r="M102" s="53"/>
    </row>
    <row r="103" spans="1:13" ht="15.6" x14ac:dyDescent="0.3">
      <c r="A103" s="53"/>
      <c r="B103" s="57">
        <f ca="1">+'N° de Obs.'!D46</f>
        <v>100</v>
      </c>
      <c r="C103" s="53">
        <f ca="1">+'N° de Obs.'!E46</f>
        <v>2203</v>
      </c>
      <c r="D103" s="57">
        <f t="shared" ca="1" si="12"/>
        <v>93.42</v>
      </c>
      <c r="E103" s="53">
        <f t="shared" ca="1" si="13"/>
        <v>95</v>
      </c>
      <c r="F103" s="57">
        <f t="shared" ca="1" si="14"/>
        <v>5</v>
      </c>
      <c r="G103" s="53"/>
      <c r="H103" s="53">
        <f t="shared" ca="1" si="15"/>
        <v>93.4</v>
      </c>
      <c r="I103" s="64" t="str">
        <f t="shared" ca="1" si="16"/>
        <v>34</v>
      </c>
      <c r="J103" s="53" cm="1">
        <f t="array" aca="1" ref="J103" ca="1">+_xlfn.IFS(AND(I103&gt;="0",I103&lt;"25"),H103-(I103/10),AND(I103&gt;="25",I103&lt;"50"),H103+(5-(I103/10)),AND(I103&gt;="50",I103&lt;"75"),H103-((I103-50)/10),I103&gt;="75",H103+(10-(I103/10)))</f>
        <v>95</v>
      </c>
      <c r="K103" s="53">
        <f t="shared" ca="1" si="17"/>
        <v>5</v>
      </c>
      <c r="L103" s="53"/>
      <c r="M103" s="53"/>
    </row>
    <row r="104" spans="1:13" ht="15.6" x14ac:dyDescent="0.3">
      <c r="A104" s="53"/>
      <c r="B104" s="57">
        <f ca="1">+'N° de Obs.'!D47</f>
        <v>100</v>
      </c>
      <c r="C104" s="53">
        <f ca="1">+'N° de Obs.'!E47</f>
        <v>2187</v>
      </c>
      <c r="D104" s="57">
        <f t="shared" ca="1" si="12"/>
        <v>94.1</v>
      </c>
      <c r="E104" s="53">
        <f t="shared" ca="1" si="13"/>
        <v>95</v>
      </c>
      <c r="F104" s="57">
        <f t="shared" ca="1" si="14"/>
        <v>5</v>
      </c>
      <c r="G104" s="53"/>
      <c r="H104" s="53">
        <f t="shared" ca="1" si="15"/>
        <v>94.1</v>
      </c>
      <c r="I104" s="64" t="str">
        <f t="shared" ca="1" si="16"/>
        <v>41</v>
      </c>
      <c r="J104" s="53" cm="1">
        <f t="array" aca="1" ref="J104" ca="1">+_xlfn.IFS(AND(I104&gt;="0",I104&lt;"25"),H104-(I104/10),AND(I104&gt;="25",I104&lt;"50"),H104+(5-(I104/10)),AND(I104&gt;="50",I104&lt;"75"),H104-((I104-50)/10),I104&gt;="75",H104+(10-(I104/10)))</f>
        <v>95</v>
      </c>
      <c r="K104" s="53">
        <f t="shared" ca="1" si="17"/>
        <v>5</v>
      </c>
      <c r="L104" s="53"/>
      <c r="M104" s="53"/>
    </row>
    <row r="105" spans="1:13" ht="15.6" x14ac:dyDescent="0.3">
      <c r="A105" s="53"/>
      <c r="B105" s="57">
        <f ca="1">+'N° de Obs.'!D48</f>
        <v>105</v>
      </c>
      <c r="C105" s="53">
        <f ca="1">+'N° de Obs.'!E48</f>
        <v>2084</v>
      </c>
      <c r="D105" s="57">
        <f t="shared" ca="1" si="12"/>
        <v>98.75</v>
      </c>
      <c r="E105" s="53">
        <f t="shared" ca="1" si="13"/>
        <v>100</v>
      </c>
      <c r="F105" s="57">
        <f t="shared" ca="1" si="14"/>
        <v>5</v>
      </c>
      <c r="G105" s="53"/>
      <c r="H105" s="53">
        <f t="shared" ca="1" si="15"/>
        <v>98.8</v>
      </c>
      <c r="I105" s="64" t="str">
        <f t="shared" ca="1" si="16"/>
        <v>88</v>
      </c>
      <c r="J105" s="53" cm="1">
        <f t="array" aca="1" ref="J105" ca="1">+_xlfn.IFS(AND(I105&gt;="0",I105&lt;"25"),H105-(I105/10),AND(I105&gt;="25",I105&lt;"50"),H105+(5-(I105/10)),AND(I105&gt;="50",I105&lt;"75"),H105-((I105-50)/10),I105&gt;="75",H105+(10-(I105/10)))</f>
        <v>100</v>
      </c>
      <c r="K105" s="53">
        <f t="shared" ca="1" si="17"/>
        <v>5</v>
      </c>
      <c r="L105" s="53"/>
      <c r="M105" s="53"/>
    </row>
    <row r="106" spans="1:13" ht="15.6" x14ac:dyDescent="0.3">
      <c r="A106" s="53"/>
      <c r="B106" s="57">
        <f ca="1">+'N° de Obs.'!D49</f>
        <v>90</v>
      </c>
      <c r="C106" s="53">
        <f ca="1">+'N° de Obs.'!E49</f>
        <v>2194</v>
      </c>
      <c r="D106" s="57">
        <f t="shared" ca="1" si="12"/>
        <v>93.8</v>
      </c>
      <c r="E106" s="53">
        <f t="shared" ca="1" si="13"/>
        <v>95</v>
      </c>
      <c r="F106" s="57">
        <f t="shared" ca="1" si="14"/>
        <v>-5</v>
      </c>
      <c r="G106" s="53"/>
      <c r="H106" s="53">
        <f t="shared" ca="1" si="15"/>
        <v>93.8</v>
      </c>
      <c r="I106" s="64" t="str">
        <f t="shared" ca="1" si="16"/>
        <v>38</v>
      </c>
      <c r="J106" s="53" cm="1">
        <f t="array" aca="1" ref="J106" ca="1">+_xlfn.IFS(AND(I106&gt;="0",I106&lt;"25"),H106-(I106/10),AND(I106&gt;="25",I106&lt;"50"),H106+(5-(I106/10)),AND(I106&gt;="50",I106&lt;"75"),H106-((I106-50)/10),I106&gt;="75",H106+(10-(I106/10)))</f>
        <v>95</v>
      </c>
      <c r="K106" s="53">
        <f t="shared" ca="1" si="17"/>
        <v>5</v>
      </c>
      <c r="L106" s="53"/>
      <c r="M106" s="53"/>
    </row>
    <row r="107" spans="1:13" ht="15.6" x14ac:dyDescent="0.3">
      <c r="A107" s="53"/>
      <c r="B107" s="57">
        <f ca="1">+'N° de Obs.'!D50</f>
        <v>95</v>
      </c>
      <c r="C107" s="53">
        <f ca="1">+'N° de Obs.'!E50</f>
        <v>2245</v>
      </c>
      <c r="D107" s="57">
        <f t="shared" ca="1" si="12"/>
        <v>91.67</v>
      </c>
      <c r="E107" s="53">
        <f t="shared" ca="1" si="13"/>
        <v>90</v>
      </c>
      <c r="F107" s="57">
        <f t="shared" ca="1" si="14"/>
        <v>5</v>
      </c>
      <c r="G107" s="53"/>
      <c r="H107" s="53">
        <f t="shared" ca="1" si="15"/>
        <v>91.7</v>
      </c>
      <c r="I107" s="64" t="str">
        <f t="shared" ca="1" si="16"/>
        <v>17</v>
      </c>
      <c r="J107" s="53" cm="1">
        <f t="array" aca="1" ref="J107" ca="1">+_xlfn.IFS(AND(I107&gt;="0",I107&lt;"25"),H107-(I107/10),AND(I107&gt;="25",I107&lt;"50"),H107+(5-(I107/10)),AND(I107&gt;="50",I107&lt;"75"),H107-((I107-50)/10),I107&gt;="75",H107+(10-(I107/10)))</f>
        <v>90</v>
      </c>
      <c r="K107" s="53">
        <f t="shared" ca="1" si="17"/>
        <v>5</v>
      </c>
      <c r="L107" s="53"/>
      <c r="M107" s="53"/>
    </row>
    <row r="108" spans="1:13" ht="15.6" x14ac:dyDescent="0.3">
      <c r="A108" s="53"/>
      <c r="B108" s="57">
        <f ca="1">+'N° de Obs.'!D51</f>
        <v>105</v>
      </c>
      <c r="C108" s="53">
        <f ca="1">+'N° de Obs.'!E51</f>
        <v>2002</v>
      </c>
      <c r="D108" s="57">
        <f t="shared" ca="1" si="12"/>
        <v>102.8</v>
      </c>
      <c r="E108" s="53">
        <f t="shared" ca="1" si="13"/>
        <v>105</v>
      </c>
      <c r="F108" s="57">
        <f t="shared" ca="1" si="14"/>
        <v>0</v>
      </c>
      <c r="G108" s="53"/>
      <c r="H108" s="53">
        <f t="shared" ca="1" si="15"/>
        <v>102.8</v>
      </c>
      <c r="I108" s="64" t="str">
        <f t="shared" ca="1" si="16"/>
        <v>28</v>
      </c>
      <c r="J108" s="53" cm="1">
        <f t="array" aca="1" ref="J108" ca="1">+_xlfn.IFS(AND(I108&gt;="0",I108&lt;"25"),H108-(I108/10),AND(I108&gt;="25",I108&lt;"50"),H108+(5-(I108/10)),AND(I108&gt;="50",I108&lt;"75"),H108-((I108-50)/10),I108&gt;="75",H108+(10-(I108/10)))</f>
        <v>105</v>
      </c>
      <c r="K108" s="53">
        <f t="shared" ca="1" si="17"/>
        <v>0</v>
      </c>
      <c r="L108" s="53"/>
      <c r="M108" s="53"/>
    </row>
    <row r="109" spans="1:13" ht="15.6" x14ac:dyDescent="0.3">
      <c r="A109" s="53"/>
      <c r="B109" s="57">
        <f ca="1">+'N° de Obs.'!D52</f>
        <v>90</v>
      </c>
      <c r="C109" s="53">
        <f ca="1">+'N° de Obs.'!E52</f>
        <v>2255</v>
      </c>
      <c r="D109" s="57">
        <f t="shared" ca="1" si="12"/>
        <v>91.26</v>
      </c>
      <c r="E109" s="53">
        <f t="shared" ca="1" si="13"/>
        <v>90</v>
      </c>
      <c r="F109" s="57">
        <f t="shared" ca="1" si="14"/>
        <v>0</v>
      </c>
      <c r="G109" s="53"/>
      <c r="H109" s="53">
        <f t="shared" ca="1" si="15"/>
        <v>91.3</v>
      </c>
      <c r="I109" s="64" t="str">
        <f t="shared" ca="1" si="16"/>
        <v>13</v>
      </c>
      <c r="J109" s="53" cm="1">
        <f t="array" aca="1" ref="J109" ca="1">+_xlfn.IFS(AND(I109&gt;="0",I109&lt;"25"),H109-(I109/10),AND(I109&gt;="25",I109&lt;"50"),H109+(5-(I109/10)),AND(I109&gt;="50",I109&lt;"75"),H109-((I109-50)/10),I109&gt;="75",H109+(10-(I109/10)))</f>
        <v>90</v>
      </c>
      <c r="K109" s="53">
        <f t="shared" ca="1" si="17"/>
        <v>0</v>
      </c>
      <c r="L109" s="53"/>
      <c r="M109" s="53"/>
    </row>
    <row r="110" spans="1:13" ht="15.6" x14ac:dyDescent="0.3">
      <c r="A110" s="53"/>
      <c r="B110" s="58">
        <f ca="1">+'N° de Obs.'!D53</f>
        <v>100</v>
      </c>
      <c r="C110" s="53">
        <f ca="1">+'N° de Obs.'!E53</f>
        <v>2068</v>
      </c>
      <c r="D110" s="58">
        <f t="shared" ca="1" si="12"/>
        <v>99.52</v>
      </c>
      <c r="E110" s="54">
        <f t="shared" ca="1" si="13"/>
        <v>100</v>
      </c>
      <c r="F110" s="58">
        <f t="shared" ca="1" si="14"/>
        <v>0</v>
      </c>
      <c r="G110" s="53"/>
      <c r="H110" s="53">
        <f t="shared" ca="1" si="15"/>
        <v>99.5</v>
      </c>
      <c r="I110" s="64" t="str">
        <f t="shared" ca="1" si="16"/>
        <v>95</v>
      </c>
      <c r="J110" s="53" cm="1">
        <f t="array" aca="1" ref="J110" ca="1">+_xlfn.IFS(AND(I110&gt;="0",I110&lt;"25"),H110-(I110/10),AND(I110&gt;="25",I110&lt;"50"),H110+(5-(I110/10)),AND(I110&gt;="50",I110&lt;"75"),H110-((I110-50)/10),I110&gt;="75",H110+(10-(I110/10)))</f>
        <v>100</v>
      </c>
      <c r="K110" s="53">
        <f t="shared" ca="1" si="17"/>
        <v>0</v>
      </c>
      <c r="L110" s="53"/>
      <c r="M110" s="53"/>
    </row>
    <row r="111" spans="1:13" ht="15.6" x14ac:dyDescent="0.3">
      <c r="A111" s="53"/>
      <c r="B111" s="123" t="s">
        <v>91</v>
      </c>
      <c r="C111" s="133"/>
      <c r="D111" s="133"/>
      <c r="E111" s="133"/>
      <c r="F111" s="60">
        <f ca="1">+SUMIF(K91:K110,"&lt;=10",F91:F110)</f>
        <v>0</v>
      </c>
      <c r="G111" s="53"/>
      <c r="H111" s="53"/>
      <c r="I111" s="53"/>
      <c r="J111" s="53"/>
      <c r="K111" s="53">
        <f ca="1">+COUNTIF(K91:K110,"&lt;=10")</f>
        <v>20</v>
      </c>
      <c r="L111" s="53"/>
      <c r="M111" s="53"/>
    </row>
    <row r="112" spans="1:13" ht="15.6" x14ac:dyDescent="0.3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</row>
    <row r="113" spans="1:13" ht="15.6" x14ac:dyDescent="0.3">
      <c r="A113" s="53"/>
      <c r="B113" s="53">
        <v>100</v>
      </c>
      <c r="C113" s="53">
        <f ca="1">+ROUND(AVERAGE('N° de Obs.'!F34:F53),0)</f>
        <v>2058</v>
      </c>
      <c r="D113" s="53"/>
      <c r="E113" s="53"/>
      <c r="F113" s="53"/>
      <c r="G113" s="53"/>
      <c r="H113" s="53"/>
      <c r="I113" s="53"/>
      <c r="J113" s="53"/>
      <c r="K113" s="53"/>
      <c r="L113" s="53"/>
      <c r="M113" s="53"/>
    </row>
    <row r="114" spans="1:13" ht="15.6" x14ac:dyDescent="0.3">
      <c r="A114" s="53"/>
      <c r="B114" s="53"/>
      <c r="C114" s="53"/>
      <c r="D114" s="54"/>
      <c r="E114" s="54"/>
      <c r="F114" s="53"/>
      <c r="G114" s="53"/>
      <c r="H114" s="53"/>
      <c r="I114" s="53"/>
      <c r="J114" s="53"/>
      <c r="K114" s="53"/>
      <c r="L114" s="53"/>
      <c r="M114" s="53"/>
    </row>
    <row r="115" spans="1:13" ht="15.6" x14ac:dyDescent="0.3">
      <c r="A115" s="53"/>
      <c r="B115" s="53"/>
      <c r="C115" s="53"/>
      <c r="D115" s="52" t="s">
        <v>85</v>
      </c>
      <c r="E115" s="52" t="s">
        <v>86</v>
      </c>
      <c r="F115" s="53"/>
      <c r="G115" s="53"/>
      <c r="H115" s="53"/>
      <c r="I115" s="53"/>
      <c r="J115" s="53"/>
      <c r="K115" s="53"/>
      <c r="L115" s="53"/>
      <c r="M115" s="53"/>
    </row>
    <row r="116" spans="1:13" ht="15.6" x14ac:dyDescent="0.3">
      <c r="A116" s="53"/>
      <c r="B116" s="53"/>
      <c r="C116" s="53"/>
      <c r="D116" s="57" t="s">
        <v>88</v>
      </c>
      <c r="E116" s="57" t="s">
        <v>25</v>
      </c>
      <c r="F116" s="53"/>
      <c r="G116" s="53"/>
      <c r="H116" s="53"/>
      <c r="I116" s="53"/>
      <c r="J116" s="53"/>
      <c r="K116" s="53"/>
      <c r="L116" s="53"/>
      <c r="M116" s="53"/>
    </row>
    <row r="117" spans="1:13" ht="15.6" x14ac:dyDescent="0.3">
      <c r="A117" s="53"/>
      <c r="B117" s="53"/>
      <c r="C117" s="53"/>
      <c r="D117" s="57" t="s">
        <v>96</v>
      </c>
      <c r="E117" s="67">
        <v>100</v>
      </c>
      <c r="F117" s="53"/>
      <c r="G117" s="53"/>
      <c r="H117" s="53"/>
      <c r="I117" s="53"/>
      <c r="J117" s="53"/>
      <c r="K117" s="53"/>
      <c r="L117" s="53"/>
      <c r="M117" s="53"/>
    </row>
    <row r="118" spans="1:13" ht="15.6" x14ac:dyDescent="0.3">
      <c r="A118" s="53"/>
      <c r="B118" s="53"/>
      <c r="C118" s="53"/>
      <c r="D118" s="57" t="s">
        <v>20</v>
      </c>
      <c r="E118" s="57">
        <f ca="1">+C113</f>
        <v>2058</v>
      </c>
      <c r="F118" s="53"/>
      <c r="G118" s="53"/>
      <c r="H118" s="53"/>
      <c r="I118" s="53"/>
      <c r="J118" s="53"/>
      <c r="K118" s="53"/>
      <c r="L118" s="53"/>
      <c r="M118" s="53"/>
    </row>
    <row r="119" spans="1:13" ht="31.2" x14ac:dyDescent="0.3">
      <c r="A119" s="53"/>
      <c r="B119" s="53"/>
      <c r="C119" s="53"/>
      <c r="D119" s="65" t="s">
        <v>98</v>
      </c>
      <c r="E119" s="57">
        <f ca="1">+K111</f>
        <v>20</v>
      </c>
      <c r="F119" s="53"/>
      <c r="G119" s="53"/>
      <c r="H119" s="53"/>
      <c r="I119" s="53"/>
      <c r="J119" s="53"/>
      <c r="K119" s="53"/>
      <c r="L119" s="53"/>
      <c r="M119" s="53"/>
    </row>
    <row r="120" spans="1:13" ht="15.6" x14ac:dyDescent="0.3">
      <c r="A120" s="53"/>
      <c r="B120" s="53"/>
      <c r="C120" s="53"/>
      <c r="D120" s="66" t="s">
        <v>95</v>
      </c>
      <c r="E120" s="58">
        <f ca="1">+F111</f>
        <v>0</v>
      </c>
      <c r="F120" s="53"/>
      <c r="G120" s="53"/>
      <c r="H120" s="53"/>
      <c r="I120" s="53"/>
      <c r="J120" s="53"/>
      <c r="K120" s="53"/>
      <c r="L120" s="53"/>
      <c r="M120" s="53"/>
    </row>
    <row r="121" spans="1:13" ht="31.2" x14ac:dyDescent="0.3">
      <c r="A121" s="53"/>
      <c r="B121" s="53"/>
      <c r="C121" s="53"/>
      <c r="D121" s="40" t="s">
        <v>97</v>
      </c>
      <c r="E121" s="56" t="str">
        <f ca="1">+CONCATENATE(ROUND((F111/K111*5)/5,2)," %")</f>
        <v>0 %</v>
      </c>
      <c r="F121" s="53"/>
      <c r="G121" s="53"/>
      <c r="H121" s="53"/>
      <c r="I121" s="53"/>
      <c r="J121" s="53"/>
      <c r="K121" s="53"/>
      <c r="L121" s="53"/>
      <c r="M121" s="53"/>
    </row>
    <row r="122" spans="1:13" ht="15.6" x14ac:dyDescent="0.3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</row>
    <row r="123" spans="1:13" ht="15.6" x14ac:dyDescent="0.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</row>
    <row r="127" spans="1:13" x14ac:dyDescent="0.3">
      <c r="C127" s="16"/>
      <c r="D127" s="16"/>
      <c r="E127" s="132" t="str">
        <f>+'N° de Obs.'!P30</f>
        <v>Elemento T</v>
      </c>
      <c r="F127" s="132"/>
      <c r="G127" s="16"/>
    </row>
    <row r="128" spans="1:13" ht="15.6" x14ac:dyDescent="0.3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</row>
    <row r="129" spans="1:13" ht="15.6" x14ac:dyDescent="0.3">
      <c r="A129" s="53"/>
      <c r="B129" s="54"/>
      <c r="C129" s="54"/>
      <c r="D129" s="54"/>
      <c r="E129" s="54"/>
      <c r="F129" s="54"/>
      <c r="G129" s="53"/>
      <c r="H129" s="53"/>
      <c r="I129" s="53"/>
      <c r="J129" s="53"/>
      <c r="K129" s="53"/>
      <c r="L129" s="53"/>
      <c r="M129" s="53"/>
    </row>
    <row r="130" spans="1:13" ht="15.6" x14ac:dyDescent="0.3">
      <c r="A130" s="53"/>
      <c r="B130" s="52" t="s">
        <v>26</v>
      </c>
      <c r="C130" s="68" t="s">
        <v>93</v>
      </c>
      <c r="D130" s="52" t="s">
        <v>94</v>
      </c>
      <c r="E130" s="68" t="s">
        <v>27</v>
      </c>
      <c r="F130" s="52" t="s">
        <v>95</v>
      </c>
      <c r="G130" s="53"/>
      <c r="H130" s="53"/>
      <c r="I130" s="53"/>
      <c r="J130" s="53"/>
      <c r="K130" s="53"/>
      <c r="L130" s="53"/>
      <c r="M130" s="53"/>
    </row>
    <row r="131" spans="1:13" ht="15.6" x14ac:dyDescent="0.3">
      <c r="A131" s="53"/>
      <c r="B131" s="57">
        <f ca="1">+'N° de Obs.'!M34</f>
        <v>90</v>
      </c>
      <c r="C131" s="53">
        <f ca="1">+'N° de Obs.'!N34</f>
        <v>1306</v>
      </c>
      <c r="D131" s="57">
        <f ca="1">+ROUND($B$153*$C$153/C131,2)</f>
        <v>100.38</v>
      </c>
      <c r="E131" s="53">
        <f ca="1">+J131</f>
        <v>100</v>
      </c>
      <c r="F131" s="57">
        <f ca="1">+B131-E131</f>
        <v>-10</v>
      </c>
      <c r="G131" s="53"/>
      <c r="H131" s="53">
        <f ca="1">+ROUND(D131,1)</f>
        <v>100.4</v>
      </c>
      <c r="I131" s="64" t="str">
        <f ca="1">+RIGHT(H131*10,2)</f>
        <v>04</v>
      </c>
      <c r="J131" s="53" cm="1">
        <f t="array" aca="1" ref="J131" ca="1">+_xlfn.IFS(AND(I131&gt;="0",I131&lt;"25"),H131-(I131/10),AND(I131&gt;="25",I131&lt;"50"),H131+(5-(I131/10)),AND(I131&gt;="50",I131&lt;"75"),H131-((I131-50)/10),I131&gt;="75",H131+(10-(I131/10)))</f>
        <v>100</v>
      </c>
      <c r="K131" s="53">
        <f ca="1">+ABS(F131)</f>
        <v>10</v>
      </c>
      <c r="L131" s="53"/>
      <c r="M131" s="53"/>
    </row>
    <row r="132" spans="1:13" ht="15.6" x14ac:dyDescent="0.3">
      <c r="A132" s="53"/>
      <c r="B132" s="57">
        <f ca="1">+'N° de Obs.'!M35</f>
        <v>100</v>
      </c>
      <c r="C132" s="53">
        <f ca="1">+'N° de Obs.'!N35</f>
        <v>1359</v>
      </c>
      <c r="D132" s="57">
        <f t="shared" ref="D132:D150" ca="1" si="18">+ROUND($B$153*$C$153/C132,2)</f>
        <v>96.47</v>
      </c>
      <c r="E132" s="53">
        <f t="shared" ref="E132:E150" ca="1" si="19">+J132</f>
        <v>95</v>
      </c>
      <c r="F132" s="57">
        <f t="shared" ref="F132:F150" ca="1" si="20">+B132-E132</f>
        <v>5</v>
      </c>
      <c r="G132" s="53"/>
      <c r="H132" s="53">
        <f t="shared" ref="H132:H150" ca="1" si="21">+ROUND(D132,1)</f>
        <v>96.5</v>
      </c>
      <c r="I132" s="64" t="str">
        <f t="shared" ref="I132:I150" ca="1" si="22">+RIGHT(H132*10,2)</f>
        <v>65</v>
      </c>
      <c r="J132" s="53" cm="1">
        <f t="array" aca="1" ref="J132" ca="1">+_xlfn.IFS(AND(I132&gt;="0",I132&lt;"25"),H132-(I132/10),AND(I132&gt;="25",I132&lt;"50"),H132+(5-(I132/10)),AND(I132&gt;="50",I132&lt;"75"),H132-((I132-50)/10),I132&gt;="75",H132+(10-(I132/10)))</f>
        <v>95</v>
      </c>
      <c r="K132" s="53">
        <f t="shared" ref="K132:K150" ca="1" si="23">+ABS(F132)</f>
        <v>5</v>
      </c>
      <c r="L132" s="53"/>
      <c r="M132" s="53"/>
    </row>
    <row r="133" spans="1:13" ht="15.6" x14ac:dyDescent="0.3">
      <c r="A133" s="53"/>
      <c r="B133" s="57">
        <f ca="1">+'N° de Obs.'!M36</f>
        <v>105</v>
      </c>
      <c r="C133" s="53">
        <f ca="1">+'N° de Obs.'!N36</f>
        <v>1429</v>
      </c>
      <c r="D133" s="57">
        <f t="shared" ca="1" si="18"/>
        <v>91.74</v>
      </c>
      <c r="E133" s="53">
        <f t="shared" ca="1" si="19"/>
        <v>90</v>
      </c>
      <c r="F133" s="57">
        <f t="shared" ca="1" si="20"/>
        <v>15</v>
      </c>
      <c r="G133" s="53"/>
      <c r="H133" s="53">
        <f t="shared" ca="1" si="21"/>
        <v>91.7</v>
      </c>
      <c r="I133" s="64" t="str">
        <f t="shared" ca="1" si="22"/>
        <v>17</v>
      </c>
      <c r="J133" s="53" cm="1">
        <f t="array" aca="1" ref="J133" ca="1">+_xlfn.IFS(AND(I133&gt;="0",I133&lt;"25"),H133-(I133/10),AND(I133&gt;="25",I133&lt;"50"),H133+(5-(I133/10)),AND(I133&gt;="50",I133&lt;"75"),H133-((I133-50)/10),I133&gt;="75",H133+(10-(I133/10)))</f>
        <v>90</v>
      </c>
      <c r="K133" s="53">
        <f t="shared" ca="1" si="23"/>
        <v>15</v>
      </c>
      <c r="L133" s="53"/>
      <c r="M133" s="53"/>
    </row>
    <row r="134" spans="1:13" ht="15.6" x14ac:dyDescent="0.3">
      <c r="A134" s="53"/>
      <c r="B134" s="57">
        <f ca="1">+'N° de Obs.'!M37</f>
        <v>100</v>
      </c>
      <c r="C134" s="53">
        <f ca="1">+'N° de Obs.'!N37</f>
        <v>1318</v>
      </c>
      <c r="D134" s="57">
        <f t="shared" ca="1" si="18"/>
        <v>99.47</v>
      </c>
      <c r="E134" s="53">
        <f t="shared" ca="1" si="19"/>
        <v>100</v>
      </c>
      <c r="F134" s="57">
        <f t="shared" ca="1" si="20"/>
        <v>0</v>
      </c>
      <c r="G134" s="53"/>
      <c r="H134" s="53">
        <f t="shared" ca="1" si="21"/>
        <v>99.5</v>
      </c>
      <c r="I134" s="64" t="str">
        <f t="shared" ca="1" si="22"/>
        <v>95</v>
      </c>
      <c r="J134" s="53" cm="1">
        <f t="array" aca="1" ref="J134" ca="1">+_xlfn.IFS(AND(I134&gt;="0",I134&lt;"25"),H134-(I134/10),AND(I134&gt;="25",I134&lt;"50"),H134+(5-(I134/10)),AND(I134&gt;="50",I134&lt;"75"),H134-((I134-50)/10),I134&gt;="75",H134+(10-(I134/10)))</f>
        <v>100</v>
      </c>
      <c r="K134" s="53">
        <f t="shared" ca="1" si="23"/>
        <v>0</v>
      </c>
      <c r="L134" s="53"/>
      <c r="M134" s="53"/>
    </row>
    <row r="135" spans="1:13" ht="15.6" x14ac:dyDescent="0.3">
      <c r="A135" s="53"/>
      <c r="B135" s="57">
        <f ca="1">+'N° de Obs.'!M38</f>
        <v>100</v>
      </c>
      <c r="C135" s="53">
        <f ca="1">+'N° de Obs.'!N38</f>
        <v>1364</v>
      </c>
      <c r="D135" s="57">
        <f t="shared" ca="1" si="18"/>
        <v>96.11</v>
      </c>
      <c r="E135" s="53">
        <f t="shared" ca="1" si="19"/>
        <v>95</v>
      </c>
      <c r="F135" s="57">
        <f t="shared" ca="1" si="20"/>
        <v>5</v>
      </c>
      <c r="G135" s="53"/>
      <c r="H135" s="53">
        <f t="shared" ca="1" si="21"/>
        <v>96.1</v>
      </c>
      <c r="I135" s="64" t="str">
        <f t="shared" ca="1" si="22"/>
        <v>61</v>
      </c>
      <c r="J135" s="53" cm="1">
        <f t="array" aca="1" ref="J135" ca="1">+_xlfn.IFS(AND(I135&gt;="0",I135&lt;"25"),H135-(I135/10),AND(I135&gt;="25",I135&lt;"50"),H135+(5-(I135/10)),AND(I135&gt;="50",I135&lt;"75"),H135-((I135-50)/10),I135&gt;="75",H135+(10-(I135/10)))</f>
        <v>95</v>
      </c>
      <c r="K135" s="53">
        <f t="shared" ca="1" si="23"/>
        <v>5</v>
      </c>
      <c r="L135" s="53"/>
      <c r="M135" s="53"/>
    </row>
    <row r="136" spans="1:13" ht="15.6" x14ac:dyDescent="0.3">
      <c r="A136" s="53"/>
      <c r="B136" s="57">
        <f ca="1">+'N° de Obs.'!M39</f>
        <v>90</v>
      </c>
      <c r="C136" s="53">
        <f ca="1">+'N° de Obs.'!N39</f>
        <v>1476</v>
      </c>
      <c r="D136" s="57">
        <f t="shared" ca="1" si="18"/>
        <v>88.82</v>
      </c>
      <c r="E136" s="53">
        <f t="shared" ca="1" si="19"/>
        <v>90</v>
      </c>
      <c r="F136" s="57">
        <f t="shared" ca="1" si="20"/>
        <v>0</v>
      </c>
      <c r="G136" s="53"/>
      <c r="H136" s="53">
        <f t="shared" ca="1" si="21"/>
        <v>88.8</v>
      </c>
      <c r="I136" s="64" t="str">
        <f t="shared" ca="1" si="22"/>
        <v>88</v>
      </c>
      <c r="J136" s="53" cm="1">
        <f t="array" aca="1" ref="J136" ca="1">+_xlfn.IFS(AND(I136&gt;="0",I136&lt;"25"),H136-(I136/10),AND(I136&gt;="25",I136&lt;"50"),H136+(5-(I136/10)),AND(I136&gt;="50",I136&lt;"75"),H136-((I136-50)/10),I136&gt;="75",H136+(10-(I136/10)))</f>
        <v>90</v>
      </c>
      <c r="K136" s="53">
        <f t="shared" ca="1" si="23"/>
        <v>0</v>
      </c>
      <c r="L136" s="53"/>
      <c r="M136" s="53"/>
    </row>
    <row r="137" spans="1:13" ht="15.6" x14ac:dyDescent="0.3">
      <c r="A137" s="53"/>
      <c r="B137" s="57">
        <f ca="1">+'N° de Obs.'!M40</f>
        <v>95</v>
      </c>
      <c r="C137" s="53">
        <f ca="1">+'N° de Obs.'!N40</f>
        <v>1434</v>
      </c>
      <c r="D137" s="57">
        <f t="shared" ca="1" si="18"/>
        <v>91.42</v>
      </c>
      <c r="E137" s="53">
        <f t="shared" ca="1" si="19"/>
        <v>90</v>
      </c>
      <c r="F137" s="57">
        <f t="shared" ca="1" si="20"/>
        <v>5</v>
      </c>
      <c r="G137" s="53"/>
      <c r="H137" s="53">
        <f t="shared" ca="1" si="21"/>
        <v>91.4</v>
      </c>
      <c r="I137" s="64" t="str">
        <f t="shared" ca="1" si="22"/>
        <v>14</v>
      </c>
      <c r="J137" s="53" cm="1">
        <f t="array" aca="1" ref="J137" ca="1">+_xlfn.IFS(AND(I137&gt;="0",I137&lt;"25"),H137-(I137/10),AND(I137&gt;="25",I137&lt;"50"),H137+(5-(I137/10)),AND(I137&gt;="50",I137&lt;"75"),H137-((I137-50)/10),I137&gt;="75",H137+(10-(I137/10)))</f>
        <v>90</v>
      </c>
      <c r="K137" s="53">
        <f t="shared" ca="1" si="23"/>
        <v>5</v>
      </c>
      <c r="L137" s="53"/>
      <c r="M137" s="53"/>
    </row>
    <row r="138" spans="1:13" ht="15.6" x14ac:dyDescent="0.3">
      <c r="A138" s="53"/>
      <c r="B138" s="57">
        <f ca="1">+'N° de Obs.'!M41</f>
        <v>105</v>
      </c>
      <c r="C138" s="53">
        <f ca="1">+'N° de Obs.'!N41</f>
        <v>1207</v>
      </c>
      <c r="D138" s="57">
        <f t="shared" ca="1" si="18"/>
        <v>108.62</v>
      </c>
      <c r="E138" s="53">
        <f t="shared" ca="1" si="19"/>
        <v>110</v>
      </c>
      <c r="F138" s="57">
        <f t="shared" ca="1" si="20"/>
        <v>-5</v>
      </c>
      <c r="G138" s="53"/>
      <c r="H138" s="53">
        <f t="shared" ca="1" si="21"/>
        <v>108.6</v>
      </c>
      <c r="I138" s="64" t="str">
        <f t="shared" ca="1" si="22"/>
        <v>86</v>
      </c>
      <c r="J138" s="53" cm="1">
        <f t="array" aca="1" ref="J138" ca="1">+_xlfn.IFS(AND(I138&gt;="0",I138&lt;"25"),H138-(I138/10),AND(I138&gt;="25",I138&lt;"50"),H138+(5-(I138/10)),AND(I138&gt;="50",I138&lt;"75"),H138-((I138-50)/10),I138&gt;="75",H138+(10-(I138/10)))</f>
        <v>110</v>
      </c>
      <c r="K138" s="53">
        <f t="shared" ca="1" si="23"/>
        <v>5</v>
      </c>
      <c r="L138" s="53"/>
      <c r="M138" s="53"/>
    </row>
    <row r="139" spans="1:13" ht="15.6" x14ac:dyDescent="0.3">
      <c r="A139" s="53"/>
      <c r="B139" s="57">
        <f ca="1">+'N° de Obs.'!M42</f>
        <v>90</v>
      </c>
      <c r="C139" s="53">
        <f ca="1">+'N° de Obs.'!N42</f>
        <v>1332</v>
      </c>
      <c r="D139" s="57">
        <f t="shared" ca="1" si="18"/>
        <v>98.42</v>
      </c>
      <c r="E139" s="53">
        <f t="shared" ca="1" si="19"/>
        <v>100</v>
      </c>
      <c r="F139" s="57">
        <f t="shared" ca="1" si="20"/>
        <v>-10</v>
      </c>
      <c r="G139" s="53"/>
      <c r="H139" s="53">
        <f t="shared" ca="1" si="21"/>
        <v>98.4</v>
      </c>
      <c r="I139" s="64" t="str">
        <f t="shared" ca="1" si="22"/>
        <v>84</v>
      </c>
      <c r="J139" s="53" cm="1">
        <f t="array" aca="1" ref="J139" ca="1">+_xlfn.IFS(AND(I139&gt;="0",I139&lt;"25"),H139-(I139/10),AND(I139&gt;="25",I139&lt;"50"),H139+(5-(I139/10)),AND(I139&gt;="50",I139&lt;"75"),H139-((I139-50)/10),I139&gt;="75",H139+(10-(I139/10)))</f>
        <v>100</v>
      </c>
      <c r="K139" s="53">
        <f t="shared" ca="1" si="23"/>
        <v>10</v>
      </c>
      <c r="L139" s="53"/>
      <c r="M139" s="53"/>
    </row>
    <row r="140" spans="1:13" ht="15.6" x14ac:dyDescent="0.3">
      <c r="A140" s="53"/>
      <c r="B140" s="57">
        <f ca="1">+'N° de Obs.'!M43</f>
        <v>90</v>
      </c>
      <c r="C140" s="53">
        <f ca="1">+'N° de Obs.'!N43</f>
        <v>1458</v>
      </c>
      <c r="D140" s="57">
        <f t="shared" ca="1" si="18"/>
        <v>89.92</v>
      </c>
      <c r="E140" s="53">
        <f t="shared" ca="1" si="19"/>
        <v>90</v>
      </c>
      <c r="F140" s="57">
        <f t="shared" ca="1" si="20"/>
        <v>0</v>
      </c>
      <c r="G140" s="53"/>
      <c r="H140" s="53">
        <f t="shared" ca="1" si="21"/>
        <v>89.9</v>
      </c>
      <c r="I140" s="64" t="str">
        <f t="shared" ca="1" si="22"/>
        <v>99</v>
      </c>
      <c r="J140" s="53" cm="1">
        <f t="array" aca="1" ref="J140" ca="1">+_xlfn.IFS(AND(I140&gt;="0",I140&lt;"25"),H140-(I140/10),AND(I140&gt;="25",I140&lt;"50"),H140+(5-(I140/10)),AND(I140&gt;="50",I140&lt;"75"),H140-((I140-50)/10),I140&gt;="75",H140+(10-(I140/10)))</f>
        <v>90</v>
      </c>
      <c r="K140" s="53">
        <f t="shared" ca="1" si="23"/>
        <v>0</v>
      </c>
      <c r="L140" s="53"/>
      <c r="M140" s="53"/>
    </row>
    <row r="141" spans="1:13" ht="15.6" x14ac:dyDescent="0.3">
      <c r="A141" s="53"/>
      <c r="B141" s="57">
        <f ca="1">+'N° de Obs.'!M44</f>
        <v>105</v>
      </c>
      <c r="C141" s="53">
        <f ca="1">+'N° de Obs.'!N44</f>
        <v>1239</v>
      </c>
      <c r="D141" s="57">
        <f t="shared" ca="1" si="18"/>
        <v>105.81</v>
      </c>
      <c r="E141" s="53">
        <f t="shared" ca="1" si="19"/>
        <v>105</v>
      </c>
      <c r="F141" s="57">
        <f t="shared" ca="1" si="20"/>
        <v>0</v>
      </c>
      <c r="G141" s="53"/>
      <c r="H141" s="53">
        <f t="shared" ca="1" si="21"/>
        <v>105.8</v>
      </c>
      <c r="I141" s="64" t="str">
        <f t="shared" ca="1" si="22"/>
        <v>58</v>
      </c>
      <c r="J141" s="53" cm="1">
        <f t="array" aca="1" ref="J141" ca="1">+_xlfn.IFS(AND(I141&gt;="0",I141&lt;"25"),H141-(I141/10),AND(I141&gt;="25",I141&lt;"50"),H141+(5-(I141/10)),AND(I141&gt;="50",I141&lt;"75"),H141-((I141-50)/10),I141&gt;="75",H141+(10-(I141/10)))</f>
        <v>105</v>
      </c>
      <c r="K141" s="53">
        <f t="shared" ca="1" si="23"/>
        <v>0</v>
      </c>
      <c r="L141" s="53"/>
      <c r="M141" s="53"/>
    </row>
    <row r="142" spans="1:13" ht="15.6" x14ac:dyDescent="0.3">
      <c r="A142" s="53"/>
      <c r="B142" s="57">
        <f ca="1">+'N° de Obs.'!M45</f>
        <v>95</v>
      </c>
      <c r="C142" s="53">
        <f ca="1">+'N° de Obs.'!N45</f>
        <v>1386</v>
      </c>
      <c r="D142" s="57">
        <f t="shared" ca="1" si="18"/>
        <v>94.59</v>
      </c>
      <c r="E142" s="53">
        <f t="shared" ca="1" si="19"/>
        <v>95</v>
      </c>
      <c r="F142" s="57">
        <f t="shared" ca="1" si="20"/>
        <v>0</v>
      </c>
      <c r="G142" s="53"/>
      <c r="H142" s="53">
        <f t="shared" ca="1" si="21"/>
        <v>94.6</v>
      </c>
      <c r="I142" s="64" t="str">
        <f t="shared" ca="1" si="22"/>
        <v>46</v>
      </c>
      <c r="J142" s="53" cm="1">
        <f t="array" aca="1" ref="J142" ca="1">+_xlfn.IFS(AND(I142&gt;="0",I142&lt;"25"),H142-(I142/10),AND(I142&gt;="25",I142&lt;"50"),H142+(5-(I142/10)),AND(I142&gt;="50",I142&lt;"75"),H142-((I142-50)/10),I142&gt;="75",H142+(10-(I142/10)))</f>
        <v>95</v>
      </c>
      <c r="K142" s="53">
        <f t="shared" ca="1" si="23"/>
        <v>0</v>
      </c>
      <c r="L142" s="53"/>
      <c r="M142" s="53"/>
    </row>
    <row r="143" spans="1:13" ht="15.6" x14ac:dyDescent="0.3">
      <c r="A143" s="53"/>
      <c r="B143" s="57">
        <f ca="1">+'N° de Obs.'!M46</f>
        <v>105</v>
      </c>
      <c r="C143" s="53">
        <f ca="1">+'N° de Obs.'!N46</f>
        <v>1348</v>
      </c>
      <c r="D143" s="57">
        <f t="shared" ca="1" si="18"/>
        <v>97.26</v>
      </c>
      <c r="E143" s="53">
        <f t="shared" ca="1" si="19"/>
        <v>95</v>
      </c>
      <c r="F143" s="57">
        <f t="shared" ca="1" si="20"/>
        <v>10</v>
      </c>
      <c r="G143" s="53"/>
      <c r="H143" s="53">
        <f t="shared" ca="1" si="21"/>
        <v>97.3</v>
      </c>
      <c r="I143" s="64" t="str">
        <f t="shared" ca="1" si="22"/>
        <v>73</v>
      </c>
      <c r="J143" s="53" cm="1">
        <f t="array" aca="1" ref="J143" ca="1">+_xlfn.IFS(AND(I143&gt;="0",I143&lt;"25"),H143-(I143/10),AND(I143&gt;="25",I143&lt;"50"),H143+(5-(I143/10)),AND(I143&gt;="50",I143&lt;"75"),H143-((I143-50)/10),I143&gt;="75",H143+(10-(I143/10)))</f>
        <v>95</v>
      </c>
      <c r="K143" s="53">
        <f t="shared" ca="1" si="23"/>
        <v>10</v>
      </c>
      <c r="L143" s="53"/>
      <c r="M143" s="53"/>
    </row>
    <row r="144" spans="1:13" ht="15.6" x14ac:dyDescent="0.3">
      <c r="A144" s="53"/>
      <c r="B144" s="57">
        <f ca="1">+'N° de Obs.'!M47</f>
        <v>100</v>
      </c>
      <c r="C144" s="53">
        <f ca="1">+'N° de Obs.'!N47</f>
        <v>1290</v>
      </c>
      <c r="D144" s="57">
        <f t="shared" ca="1" si="18"/>
        <v>101.63</v>
      </c>
      <c r="E144" s="53">
        <f t="shared" ca="1" si="19"/>
        <v>100</v>
      </c>
      <c r="F144" s="57">
        <f t="shared" ca="1" si="20"/>
        <v>0</v>
      </c>
      <c r="G144" s="53"/>
      <c r="H144" s="53">
        <f t="shared" ca="1" si="21"/>
        <v>101.6</v>
      </c>
      <c r="I144" s="64" t="str">
        <f t="shared" ca="1" si="22"/>
        <v>16</v>
      </c>
      <c r="J144" s="53" cm="1">
        <f t="array" aca="1" ref="J144" ca="1">+_xlfn.IFS(AND(I144&gt;="0",I144&lt;"25"),H144-(I144/10),AND(I144&gt;="25",I144&lt;"50"),H144+(5-(I144/10)),AND(I144&gt;="50",I144&lt;"75"),H144-((I144-50)/10),I144&gt;="75",H144+(10-(I144/10)))</f>
        <v>100</v>
      </c>
      <c r="K144" s="53">
        <f t="shared" ca="1" si="23"/>
        <v>0</v>
      </c>
      <c r="L144" s="53"/>
      <c r="M144" s="53"/>
    </row>
    <row r="145" spans="1:13" ht="15.6" x14ac:dyDescent="0.3">
      <c r="A145" s="53"/>
      <c r="B145" s="57">
        <f ca="1">+'N° de Obs.'!M48</f>
        <v>85</v>
      </c>
      <c r="C145" s="53">
        <f ca="1">+'N° de Obs.'!N48</f>
        <v>1392</v>
      </c>
      <c r="D145" s="57">
        <f t="shared" ca="1" si="18"/>
        <v>94.18</v>
      </c>
      <c r="E145" s="53">
        <f t="shared" ca="1" si="19"/>
        <v>95</v>
      </c>
      <c r="F145" s="57">
        <f t="shared" ca="1" si="20"/>
        <v>-10</v>
      </c>
      <c r="G145" s="53"/>
      <c r="H145" s="53">
        <f t="shared" ca="1" si="21"/>
        <v>94.2</v>
      </c>
      <c r="I145" s="64" t="str">
        <f t="shared" ca="1" si="22"/>
        <v>42</v>
      </c>
      <c r="J145" s="53" cm="1">
        <f t="array" aca="1" ref="J145" ca="1">+_xlfn.IFS(AND(I145&gt;="0",I145&lt;"25"),H145-(I145/10),AND(I145&gt;="25",I145&lt;"50"),H145+(5-(I145/10)),AND(I145&gt;="50",I145&lt;"75"),H145-((I145-50)/10),I145&gt;="75",H145+(10-(I145/10)))</f>
        <v>95</v>
      </c>
      <c r="K145" s="53">
        <f t="shared" ca="1" si="23"/>
        <v>10</v>
      </c>
      <c r="L145" s="53"/>
      <c r="M145" s="53"/>
    </row>
    <row r="146" spans="1:13" ht="15.6" x14ac:dyDescent="0.3">
      <c r="A146" s="53"/>
      <c r="B146" s="57">
        <f ca="1">+'N° de Obs.'!M49</f>
        <v>95</v>
      </c>
      <c r="C146" s="53">
        <f ca="1">+'N° de Obs.'!N49</f>
        <v>1337</v>
      </c>
      <c r="D146" s="57">
        <f t="shared" ca="1" si="18"/>
        <v>98.06</v>
      </c>
      <c r="E146" s="53">
        <f t="shared" ca="1" si="19"/>
        <v>100</v>
      </c>
      <c r="F146" s="57">
        <f t="shared" ca="1" si="20"/>
        <v>-5</v>
      </c>
      <c r="G146" s="53"/>
      <c r="H146" s="53">
        <f t="shared" ca="1" si="21"/>
        <v>98.1</v>
      </c>
      <c r="I146" s="64" t="str">
        <f t="shared" ca="1" si="22"/>
        <v>81</v>
      </c>
      <c r="J146" s="53" cm="1">
        <f t="array" aca="1" ref="J146" ca="1">+_xlfn.IFS(AND(I146&gt;="0",I146&lt;"25"),H146-(I146/10),AND(I146&gt;="25",I146&lt;"50"),H146+(5-(I146/10)),AND(I146&gt;="50",I146&lt;"75"),H146-((I146-50)/10),I146&gt;="75",H146+(10-(I146/10)))</f>
        <v>100</v>
      </c>
      <c r="K146" s="53">
        <f t="shared" ca="1" si="23"/>
        <v>5</v>
      </c>
      <c r="L146" s="53"/>
      <c r="M146" s="53"/>
    </row>
    <row r="147" spans="1:13" ht="15.6" x14ac:dyDescent="0.3">
      <c r="A147" s="53"/>
      <c r="B147" s="57">
        <f ca="1">+'N° de Obs.'!M50</f>
        <v>105</v>
      </c>
      <c r="C147" s="53">
        <f ca="1">+'N° de Obs.'!N50</f>
        <v>1259</v>
      </c>
      <c r="D147" s="57">
        <f t="shared" ca="1" si="18"/>
        <v>104.13</v>
      </c>
      <c r="E147" s="53">
        <f t="shared" ca="1" si="19"/>
        <v>105</v>
      </c>
      <c r="F147" s="57">
        <f t="shared" ca="1" si="20"/>
        <v>0</v>
      </c>
      <c r="G147" s="53"/>
      <c r="H147" s="53">
        <f t="shared" ca="1" si="21"/>
        <v>104.1</v>
      </c>
      <c r="I147" s="64" t="str">
        <f t="shared" ca="1" si="22"/>
        <v>41</v>
      </c>
      <c r="J147" s="53" cm="1">
        <f t="array" aca="1" ref="J147" ca="1">+_xlfn.IFS(AND(I147&gt;="0",I147&lt;"25"),H147-(I147/10),AND(I147&gt;="25",I147&lt;"50"),H147+(5-(I147/10)),AND(I147&gt;="50",I147&lt;"75"),H147-((I147-50)/10),I147&gt;="75",H147+(10-(I147/10)))</f>
        <v>105</v>
      </c>
      <c r="K147" s="53">
        <f t="shared" ca="1" si="23"/>
        <v>0</v>
      </c>
      <c r="L147" s="53"/>
      <c r="M147" s="53"/>
    </row>
    <row r="148" spans="1:13" ht="15.6" x14ac:dyDescent="0.3">
      <c r="A148" s="53"/>
      <c r="B148" s="57">
        <f ca="1">+'N° de Obs.'!M51</f>
        <v>85</v>
      </c>
      <c r="C148" s="53">
        <f ca="1">+'N° de Obs.'!N51</f>
        <v>1449</v>
      </c>
      <c r="D148" s="57">
        <f t="shared" ca="1" si="18"/>
        <v>90.48</v>
      </c>
      <c r="E148" s="53">
        <f t="shared" ca="1" si="19"/>
        <v>90</v>
      </c>
      <c r="F148" s="57">
        <f t="shared" ca="1" si="20"/>
        <v>-5</v>
      </c>
      <c r="G148" s="53"/>
      <c r="H148" s="53">
        <f t="shared" ca="1" si="21"/>
        <v>90.5</v>
      </c>
      <c r="I148" s="64" t="str">
        <f t="shared" ca="1" si="22"/>
        <v>05</v>
      </c>
      <c r="J148" s="53" cm="1">
        <f t="array" aca="1" ref="J148" ca="1">+_xlfn.IFS(AND(I148&gt;="0",I148&lt;"25"),H148-(I148/10),AND(I148&gt;="25",I148&lt;"50"),H148+(5-(I148/10)),AND(I148&gt;="50",I148&lt;"75"),H148-((I148-50)/10),I148&gt;="75",H148+(10-(I148/10)))</f>
        <v>90</v>
      </c>
      <c r="K148" s="53">
        <f t="shared" ca="1" si="23"/>
        <v>5</v>
      </c>
      <c r="L148" s="53"/>
      <c r="M148" s="53"/>
    </row>
    <row r="149" spans="1:13" ht="15.6" x14ac:dyDescent="0.3">
      <c r="A149" s="53"/>
      <c r="B149" s="57">
        <f ca="1">+'N° de Obs.'!M52</f>
        <v>105</v>
      </c>
      <c r="C149" s="53">
        <f ca="1">+'N° de Obs.'!N52</f>
        <v>1227</v>
      </c>
      <c r="D149" s="57">
        <f t="shared" ca="1" si="18"/>
        <v>106.85</v>
      </c>
      <c r="E149" s="53">
        <f t="shared" ca="1" si="19"/>
        <v>105</v>
      </c>
      <c r="F149" s="57">
        <f t="shared" ca="1" si="20"/>
        <v>0</v>
      </c>
      <c r="G149" s="53"/>
      <c r="H149" s="53">
        <f t="shared" ca="1" si="21"/>
        <v>106.9</v>
      </c>
      <c r="I149" s="64" t="str">
        <f t="shared" ca="1" si="22"/>
        <v>69</v>
      </c>
      <c r="J149" s="53" cm="1">
        <f t="array" aca="1" ref="J149" ca="1">+_xlfn.IFS(AND(I149&gt;="0",I149&lt;"25"),H149-(I149/10),AND(I149&gt;="25",I149&lt;"50"),H149+(5-(I149/10)),AND(I149&gt;="50",I149&lt;"75"),H149-((I149-50)/10),I149&gt;="75",H149+(10-(I149/10)))</f>
        <v>105</v>
      </c>
      <c r="K149" s="53">
        <f t="shared" ca="1" si="23"/>
        <v>0</v>
      </c>
      <c r="L149" s="53"/>
      <c r="M149" s="53"/>
    </row>
    <row r="150" spans="1:13" ht="15.6" x14ac:dyDescent="0.3">
      <c r="A150" s="53"/>
      <c r="B150" s="58">
        <f ca="1">+'N° de Obs.'!M53</f>
        <v>105</v>
      </c>
      <c r="C150" s="53">
        <f ca="1">+'N° de Obs.'!N53</f>
        <v>1339</v>
      </c>
      <c r="D150" s="58">
        <f t="shared" ca="1" si="18"/>
        <v>97.91</v>
      </c>
      <c r="E150" s="54">
        <f t="shared" ca="1" si="19"/>
        <v>100</v>
      </c>
      <c r="F150" s="58">
        <f t="shared" ca="1" si="20"/>
        <v>5</v>
      </c>
      <c r="G150" s="53"/>
      <c r="H150" s="53">
        <f t="shared" ca="1" si="21"/>
        <v>97.9</v>
      </c>
      <c r="I150" s="64" t="str">
        <f t="shared" ca="1" si="22"/>
        <v>79</v>
      </c>
      <c r="J150" s="53" cm="1">
        <f t="array" aca="1" ref="J150" ca="1">+_xlfn.IFS(AND(I150&gt;="0",I150&lt;"25"),H150-(I150/10),AND(I150&gt;="25",I150&lt;"50"),H150+(5-(I150/10)),AND(I150&gt;="50",I150&lt;"75"),H150-((I150-50)/10),I150&gt;="75",H150+(10-(I150/10)))</f>
        <v>100</v>
      </c>
      <c r="K150" s="53">
        <f t="shared" ca="1" si="23"/>
        <v>5</v>
      </c>
      <c r="L150" s="53"/>
      <c r="M150" s="53"/>
    </row>
    <row r="151" spans="1:13" ht="15.6" x14ac:dyDescent="0.3">
      <c r="A151" s="53"/>
      <c r="B151" s="123" t="s">
        <v>91</v>
      </c>
      <c r="C151" s="133"/>
      <c r="D151" s="133"/>
      <c r="E151" s="133"/>
      <c r="F151" s="60">
        <f ca="1">+SUMIF(K131:K150,"&lt;=10",F131:F150)</f>
        <v>-15</v>
      </c>
      <c r="G151" s="53"/>
      <c r="H151" s="53"/>
      <c r="I151" s="53"/>
      <c r="J151" s="53"/>
      <c r="K151" s="53">
        <f ca="1">+COUNTIF(K131:K150,"&lt;=10")</f>
        <v>19</v>
      </c>
      <c r="L151" s="53"/>
      <c r="M151" s="53"/>
    </row>
    <row r="152" spans="1:13" ht="15.6" x14ac:dyDescent="0.3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</row>
    <row r="153" spans="1:13" ht="15.6" x14ac:dyDescent="0.3">
      <c r="A153" s="53"/>
      <c r="B153" s="53">
        <v>100</v>
      </c>
      <c r="C153" s="53">
        <f ca="1">+ROUND(AVERAGE('N° de Obs.'!O34:O53),0)</f>
        <v>1311</v>
      </c>
      <c r="D153" s="53"/>
      <c r="E153" s="53"/>
      <c r="F153" s="53"/>
      <c r="G153" s="53"/>
      <c r="H153" s="53"/>
      <c r="I153" s="53"/>
      <c r="J153" s="53"/>
      <c r="K153" s="53"/>
      <c r="L153" s="53"/>
      <c r="M153" s="53"/>
    </row>
    <row r="154" spans="1:13" ht="15.6" x14ac:dyDescent="0.3">
      <c r="A154" s="53"/>
      <c r="B154" s="53"/>
      <c r="C154" s="53"/>
      <c r="D154" s="54"/>
      <c r="E154" s="54"/>
      <c r="F154" s="53"/>
      <c r="G154" s="53"/>
      <c r="H154" s="53"/>
      <c r="I154" s="53"/>
      <c r="J154" s="53"/>
      <c r="K154" s="53"/>
      <c r="L154" s="53"/>
      <c r="M154" s="53"/>
    </row>
    <row r="155" spans="1:13" ht="15.6" x14ac:dyDescent="0.3">
      <c r="A155" s="53"/>
      <c r="B155" s="53"/>
      <c r="C155" s="53"/>
      <c r="D155" s="52" t="s">
        <v>85</v>
      </c>
      <c r="E155" s="52" t="s">
        <v>86</v>
      </c>
      <c r="F155" s="53"/>
      <c r="G155" s="53"/>
      <c r="H155" s="53"/>
      <c r="I155" s="53"/>
      <c r="J155" s="53"/>
      <c r="K155" s="53"/>
      <c r="L155" s="53"/>
      <c r="M155" s="53"/>
    </row>
    <row r="156" spans="1:13" ht="15.6" x14ac:dyDescent="0.3">
      <c r="A156" s="53"/>
      <c r="B156" s="53"/>
      <c r="C156" s="53"/>
      <c r="D156" s="57" t="s">
        <v>88</v>
      </c>
      <c r="E156" s="57" t="s">
        <v>25</v>
      </c>
      <c r="F156" s="53"/>
      <c r="G156" s="53"/>
      <c r="H156" s="53"/>
      <c r="I156" s="53"/>
      <c r="J156" s="53"/>
      <c r="K156" s="53"/>
      <c r="L156" s="53"/>
      <c r="M156" s="53"/>
    </row>
    <row r="157" spans="1:13" ht="15.6" x14ac:dyDescent="0.3">
      <c r="A157" s="53"/>
      <c r="B157" s="53"/>
      <c r="C157" s="53"/>
      <c r="D157" s="57" t="s">
        <v>96</v>
      </c>
      <c r="E157" s="67">
        <v>100</v>
      </c>
      <c r="F157" s="53"/>
      <c r="G157" s="53"/>
      <c r="H157" s="53"/>
      <c r="I157" s="53"/>
      <c r="J157" s="53"/>
      <c r="K157" s="53"/>
      <c r="L157" s="53"/>
      <c r="M157" s="53"/>
    </row>
    <row r="158" spans="1:13" ht="15.6" x14ac:dyDescent="0.3">
      <c r="A158" s="53"/>
      <c r="B158" s="53"/>
      <c r="C158" s="53"/>
      <c r="D158" s="57" t="s">
        <v>20</v>
      </c>
      <c r="E158" s="57">
        <f ca="1">+C153</f>
        <v>1311</v>
      </c>
      <c r="F158" s="53"/>
      <c r="G158" s="53"/>
      <c r="H158" s="53"/>
      <c r="I158" s="53"/>
      <c r="J158" s="53"/>
      <c r="K158" s="53"/>
      <c r="L158" s="53"/>
      <c r="M158" s="53"/>
    </row>
    <row r="159" spans="1:13" ht="31.2" x14ac:dyDescent="0.3">
      <c r="A159" s="53"/>
      <c r="B159" s="53"/>
      <c r="C159" s="53"/>
      <c r="D159" s="65" t="s">
        <v>98</v>
      </c>
      <c r="E159" s="57">
        <f ca="1">+K151</f>
        <v>19</v>
      </c>
      <c r="F159" s="53"/>
      <c r="G159" s="53"/>
      <c r="H159" s="53"/>
      <c r="I159" s="53"/>
      <c r="J159" s="53"/>
      <c r="K159" s="53"/>
      <c r="L159" s="53"/>
      <c r="M159" s="53"/>
    </row>
    <row r="160" spans="1:13" ht="15.6" x14ac:dyDescent="0.3">
      <c r="A160" s="53"/>
      <c r="B160" s="53"/>
      <c r="C160" s="53"/>
      <c r="D160" s="66" t="s">
        <v>95</v>
      </c>
      <c r="E160" s="58">
        <f ca="1">+F151</f>
        <v>-15</v>
      </c>
      <c r="F160" s="53"/>
      <c r="G160" s="53"/>
      <c r="H160" s="53"/>
      <c r="I160" s="53"/>
      <c r="J160" s="53"/>
      <c r="K160" s="53"/>
      <c r="L160" s="53"/>
      <c r="M160" s="53"/>
    </row>
    <row r="161" spans="1:13" ht="31.2" x14ac:dyDescent="0.3">
      <c r="A161" s="53"/>
      <c r="B161" s="53"/>
      <c r="C161" s="53"/>
      <c r="D161" s="40" t="s">
        <v>97</v>
      </c>
      <c r="E161" s="56" t="str">
        <f ca="1">+CONCATENATE(ROUND((F151/K151*5)/5,2)," %")</f>
        <v>-0.79 %</v>
      </c>
      <c r="F161" s="53"/>
      <c r="G161" s="53"/>
      <c r="H161" s="53"/>
      <c r="I161" s="53"/>
      <c r="J161" s="53"/>
      <c r="K161" s="53"/>
      <c r="L161" s="53"/>
      <c r="M161" s="53"/>
    </row>
    <row r="162" spans="1:13" ht="15.6" x14ac:dyDescent="0.3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</row>
    <row r="163" spans="1:13" ht="15.6" x14ac:dyDescent="0.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</row>
    <row r="168" spans="1:13" x14ac:dyDescent="0.3">
      <c r="C168" s="16"/>
      <c r="D168" s="16"/>
      <c r="E168" s="132" t="str">
        <f>+'N° de Obs.'!G64</f>
        <v>Elemento J</v>
      </c>
      <c r="F168" s="132"/>
      <c r="G168" s="16"/>
    </row>
    <row r="169" spans="1:13" ht="15.6" x14ac:dyDescent="0.3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</row>
    <row r="170" spans="1:13" ht="15.6" x14ac:dyDescent="0.3">
      <c r="A170" s="53"/>
      <c r="B170" s="54"/>
      <c r="C170" s="54"/>
      <c r="D170" s="54"/>
      <c r="E170" s="54"/>
      <c r="F170" s="54"/>
      <c r="G170" s="53"/>
      <c r="H170" s="53"/>
      <c r="I170" s="53"/>
      <c r="J170" s="53"/>
      <c r="K170" s="53"/>
      <c r="L170" s="53"/>
      <c r="M170" s="53"/>
    </row>
    <row r="171" spans="1:13" ht="15.6" x14ac:dyDescent="0.3">
      <c r="A171" s="53"/>
      <c r="B171" s="52" t="s">
        <v>26</v>
      </c>
      <c r="C171" s="68" t="s">
        <v>93</v>
      </c>
      <c r="D171" s="52" t="s">
        <v>94</v>
      </c>
      <c r="E171" s="68" t="s">
        <v>27</v>
      </c>
      <c r="F171" s="52" t="s">
        <v>95</v>
      </c>
      <c r="G171" s="53"/>
      <c r="H171" s="53"/>
      <c r="I171" s="53"/>
      <c r="J171" s="53"/>
      <c r="K171" s="53"/>
      <c r="L171" s="53"/>
      <c r="M171" s="53"/>
    </row>
    <row r="172" spans="1:13" ht="15.6" x14ac:dyDescent="0.3">
      <c r="A172" s="53"/>
      <c r="B172" s="57">
        <f ca="1">+'N° de Obs.'!D68</f>
        <v>95</v>
      </c>
      <c r="C172" s="53">
        <f ca="1">+'N° de Obs.'!E68</f>
        <v>2350</v>
      </c>
      <c r="D172" s="57">
        <f ca="1">+ROUND($B$194*$C$194/C172,2)</f>
        <v>91.96</v>
      </c>
      <c r="E172" s="53">
        <f ca="1">+J172</f>
        <v>90</v>
      </c>
      <c r="F172" s="57">
        <f ca="1">+B172-E172</f>
        <v>5</v>
      </c>
      <c r="G172" s="53"/>
      <c r="H172" s="53">
        <f ca="1">+ROUND(D172,1)</f>
        <v>92</v>
      </c>
      <c r="I172" s="64" t="str">
        <f ca="1">+RIGHT(H172*10,2)</f>
        <v>20</v>
      </c>
      <c r="J172" s="53" cm="1">
        <f t="array" aca="1" ref="J172" ca="1">+_xlfn.IFS(AND(I172&gt;="0",I172&lt;"25"),H172-(I172/10),AND(I172&gt;="25",I172&lt;"50"),H172+(5-(I172/10)),AND(I172&gt;="50",I172&lt;"75"),H172-((I172-50)/10),I172&gt;="75",H172+(10-(I172/10)))</f>
        <v>90</v>
      </c>
      <c r="K172" s="53">
        <f ca="1">+ABS(F172)</f>
        <v>5</v>
      </c>
      <c r="L172" s="53"/>
      <c r="M172" s="53"/>
    </row>
    <row r="173" spans="1:13" ht="15.6" x14ac:dyDescent="0.3">
      <c r="A173" s="53"/>
      <c r="B173" s="57">
        <f ca="1">+'N° de Obs.'!D69</f>
        <v>95</v>
      </c>
      <c r="C173" s="53">
        <f ca="1">+'N° de Obs.'!E69</f>
        <v>2382</v>
      </c>
      <c r="D173" s="57">
        <f t="shared" ref="D173:D191" ca="1" si="24">+ROUND($B$194*$C$194/C173,2)</f>
        <v>90.72</v>
      </c>
      <c r="E173" s="53">
        <f t="shared" ref="E173:E191" ca="1" si="25">+J173</f>
        <v>90</v>
      </c>
      <c r="F173" s="57">
        <f t="shared" ref="F173:F191" ca="1" si="26">+B173-E173</f>
        <v>5</v>
      </c>
      <c r="G173" s="53"/>
      <c r="H173" s="53">
        <f t="shared" ref="H173:H191" ca="1" si="27">+ROUND(D173,1)</f>
        <v>90.7</v>
      </c>
      <c r="I173" s="64" t="str">
        <f t="shared" ref="I173:I191" ca="1" si="28">+RIGHT(H173*10,2)</f>
        <v>07</v>
      </c>
      <c r="J173" s="53" cm="1">
        <f t="array" aca="1" ref="J173" ca="1">+_xlfn.IFS(AND(I173&gt;="0",I173&lt;"25"),H173-(I173/10),AND(I173&gt;="25",I173&lt;"50"),H173+(5-(I173/10)),AND(I173&gt;="50",I173&lt;"75"),H173-((I173-50)/10),I173&gt;="75",H173+(10-(I173/10)))</f>
        <v>90</v>
      </c>
      <c r="K173" s="53">
        <f t="shared" ref="K173:K191" ca="1" si="29">+ABS(F173)</f>
        <v>5</v>
      </c>
      <c r="L173" s="53"/>
      <c r="M173" s="53"/>
    </row>
    <row r="174" spans="1:13" ht="15.6" x14ac:dyDescent="0.3">
      <c r="A174" s="53"/>
      <c r="B174" s="57">
        <f ca="1">+'N° de Obs.'!D70</f>
        <v>100</v>
      </c>
      <c r="C174" s="53">
        <f ca="1">+'N° de Obs.'!E70</f>
        <v>2301</v>
      </c>
      <c r="D174" s="57">
        <f t="shared" ca="1" si="24"/>
        <v>93.92</v>
      </c>
      <c r="E174" s="53">
        <f t="shared" ca="1" si="25"/>
        <v>95</v>
      </c>
      <c r="F174" s="57">
        <f t="shared" ca="1" si="26"/>
        <v>5</v>
      </c>
      <c r="G174" s="53"/>
      <c r="H174" s="53">
        <f t="shared" ca="1" si="27"/>
        <v>93.9</v>
      </c>
      <c r="I174" s="64" t="str">
        <f t="shared" ca="1" si="28"/>
        <v>39</v>
      </c>
      <c r="J174" s="53" cm="1">
        <f t="array" aca="1" ref="J174" ca="1">+_xlfn.IFS(AND(I174&gt;="0",I174&lt;"25"),H174-(I174/10),AND(I174&gt;="25",I174&lt;"50"),H174+(5-(I174/10)),AND(I174&gt;="50",I174&lt;"75"),H174-((I174-50)/10),I174&gt;="75",H174+(10-(I174/10)))</f>
        <v>95</v>
      </c>
      <c r="K174" s="53">
        <f t="shared" ca="1" si="29"/>
        <v>5</v>
      </c>
      <c r="L174" s="53"/>
      <c r="M174" s="53"/>
    </row>
    <row r="175" spans="1:13" ht="15.6" x14ac:dyDescent="0.3">
      <c r="A175" s="53"/>
      <c r="B175" s="57">
        <f ca="1">+'N° de Obs.'!D71</f>
        <v>100</v>
      </c>
      <c r="C175" s="53">
        <f ca="1">+'N° de Obs.'!E71</f>
        <v>2257</v>
      </c>
      <c r="D175" s="57">
        <f t="shared" ca="1" si="24"/>
        <v>95.75</v>
      </c>
      <c r="E175" s="53">
        <f t="shared" ca="1" si="25"/>
        <v>95</v>
      </c>
      <c r="F175" s="57">
        <f t="shared" ca="1" si="26"/>
        <v>5</v>
      </c>
      <c r="G175" s="53"/>
      <c r="H175" s="53">
        <f t="shared" ca="1" si="27"/>
        <v>95.8</v>
      </c>
      <c r="I175" s="64" t="str">
        <f t="shared" ca="1" si="28"/>
        <v>58</v>
      </c>
      <c r="J175" s="53" cm="1">
        <f t="array" aca="1" ref="J175" ca="1">+_xlfn.IFS(AND(I175&gt;="0",I175&lt;"25"),H175-(I175/10),AND(I175&gt;="25",I175&lt;"50"),H175+(5-(I175/10)),AND(I175&gt;="50",I175&lt;"75"),H175-((I175-50)/10),I175&gt;="75",H175+(10-(I175/10)))</f>
        <v>95</v>
      </c>
      <c r="K175" s="53">
        <f t="shared" ca="1" si="29"/>
        <v>5</v>
      </c>
      <c r="L175" s="53"/>
      <c r="M175" s="53"/>
    </row>
    <row r="176" spans="1:13" ht="15.6" x14ac:dyDescent="0.3">
      <c r="A176" s="53"/>
      <c r="B176" s="57">
        <f ca="1">+'N° de Obs.'!D72</f>
        <v>95</v>
      </c>
      <c r="C176" s="53">
        <f ca="1">+'N° de Obs.'!E72</f>
        <v>2254</v>
      </c>
      <c r="D176" s="57">
        <f t="shared" ca="1" si="24"/>
        <v>95.87</v>
      </c>
      <c r="E176" s="53">
        <f t="shared" ca="1" si="25"/>
        <v>95</v>
      </c>
      <c r="F176" s="57">
        <f t="shared" ca="1" si="26"/>
        <v>0</v>
      </c>
      <c r="G176" s="53"/>
      <c r="H176" s="53">
        <f t="shared" ca="1" si="27"/>
        <v>95.9</v>
      </c>
      <c r="I176" s="64" t="str">
        <f t="shared" ca="1" si="28"/>
        <v>59</v>
      </c>
      <c r="J176" s="53" cm="1">
        <f t="array" aca="1" ref="J176" ca="1">+_xlfn.IFS(AND(I176&gt;="0",I176&lt;"25"),H176-(I176/10),AND(I176&gt;="25",I176&lt;"50"),H176+(5-(I176/10)),AND(I176&gt;="50",I176&lt;"75"),H176-((I176-50)/10),I176&gt;="75",H176+(10-(I176/10)))</f>
        <v>95</v>
      </c>
      <c r="K176" s="53">
        <f t="shared" ca="1" si="29"/>
        <v>0</v>
      </c>
      <c r="L176" s="53"/>
      <c r="M176" s="53"/>
    </row>
    <row r="177" spans="1:13" ht="15.6" x14ac:dyDescent="0.3">
      <c r="A177" s="53"/>
      <c r="B177" s="57">
        <f ca="1">+'N° de Obs.'!D73</f>
        <v>95</v>
      </c>
      <c r="C177" s="53">
        <f ca="1">+'N° de Obs.'!E73</f>
        <v>2328</v>
      </c>
      <c r="D177" s="57">
        <f t="shared" ca="1" si="24"/>
        <v>92.83</v>
      </c>
      <c r="E177" s="53">
        <f t="shared" ca="1" si="25"/>
        <v>95</v>
      </c>
      <c r="F177" s="57">
        <f t="shared" ca="1" si="26"/>
        <v>0</v>
      </c>
      <c r="G177" s="53"/>
      <c r="H177" s="53">
        <f t="shared" ca="1" si="27"/>
        <v>92.8</v>
      </c>
      <c r="I177" s="64" t="str">
        <f t="shared" ca="1" si="28"/>
        <v>28</v>
      </c>
      <c r="J177" s="53" cm="1">
        <f t="array" aca="1" ref="J177" ca="1">+_xlfn.IFS(AND(I177&gt;="0",I177&lt;"25"),H177-(I177/10),AND(I177&gt;="25",I177&lt;"50"),H177+(5-(I177/10)),AND(I177&gt;="50",I177&lt;"75"),H177-((I177-50)/10),I177&gt;="75",H177+(10-(I177/10)))</f>
        <v>95</v>
      </c>
      <c r="K177" s="53">
        <f t="shared" ca="1" si="29"/>
        <v>0</v>
      </c>
      <c r="L177" s="53"/>
      <c r="M177" s="53"/>
    </row>
    <row r="178" spans="1:13" ht="15.6" x14ac:dyDescent="0.3">
      <c r="A178" s="53"/>
      <c r="B178" s="57">
        <f ca="1">+'N° de Obs.'!D74</f>
        <v>100</v>
      </c>
      <c r="C178" s="53">
        <f ca="1">+'N° de Obs.'!E74</f>
        <v>2354</v>
      </c>
      <c r="D178" s="57">
        <f t="shared" ca="1" si="24"/>
        <v>91.8</v>
      </c>
      <c r="E178" s="53">
        <f t="shared" ca="1" si="25"/>
        <v>90</v>
      </c>
      <c r="F178" s="57">
        <f t="shared" ca="1" si="26"/>
        <v>10</v>
      </c>
      <c r="G178" s="53"/>
      <c r="H178" s="53">
        <f t="shared" ca="1" si="27"/>
        <v>91.8</v>
      </c>
      <c r="I178" s="64" t="str">
        <f t="shared" ca="1" si="28"/>
        <v>18</v>
      </c>
      <c r="J178" s="53" cm="1">
        <f t="array" aca="1" ref="J178" ca="1">+_xlfn.IFS(AND(I178&gt;="0",I178&lt;"25"),H178-(I178/10),AND(I178&gt;="25",I178&lt;"50"),H178+(5-(I178/10)),AND(I178&gt;="50",I178&lt;"75"),H178-((I178-50)/10),I178&gt;="75",H178+(10-(I178/10)))</f>
        <v>90</v>
      </c>
      <c r="K178" s="53">
        <f t="shared" ca="1" si="29"/>
        <v>10</v>
      </c>
      <c r="L178" s="53"/>
      <c r="M178" s="53"/>
    </row>
    <row r="179" spans="1:13" ht="15.6" x14ac:dyDescent="0.3">
      <c r="A179" s="53"/>
      <c r="B179" s="57">
        <f ca="1">+'N° de Obs.'!D75</f>
        <v>85</v>
      </c>
      <c r="C179" s="53">
        <f ca="1">+'N° de Obs.'!E75</f>
        <v>2372</v>
      </c>
      <c r="D179" s="57">
        <f t="shared" ca="1" si="24"/>
        <v>91.1</v>
      </c>
      <c r="E179" s="53">
        <f t="shared" ca="1" si="25"/>
        <v>90</v>
      </c>
      <c r="F179" s="57">
        <f t="shared" ca="1" si="26"/>
        <v>-5</v>
      </c>
      <c r="G179" s="53"/>
      <c r="H179" s="53">
        <f t="shared" ca="1" si="27"/>
        <v>91.1</v>
      </c>
      <c r="I179" s="64" t="str">
        <f t="shared" ca="1" si="28"/>
        <v>11</v>
      </c>
      <c r="J179" s="53" cm="1">
        <f t="array" aca="1" ref="J179" ca="1">+_xlfn.IFS(AND(I179&gt;="0",I179&lt;"25"),H179-(I179/10),AND(I179&gt;="25",I179&lt;"50"),H179+(5-(I179/10)),AND(I179&gt;="50",I179&lt;"75"),H179-((I179-50)/10),I179&gt;="75",H179+(10-(I179/10)))</f>
        <v>90</v>
      </c>
      <c r="K179" s="53">
        <f t="shared" ca="1" si="29"/>
        <v>5</v>
      </c>
      <c r="L179" s="53"/>
      <c r="M179" s="53"/>
    </row>
    <row r="180" spans="1:13" ht="15.6" x14ac:dyDescent="0.3">
      <c r="A180" s="53"/>
      <c r="B180" s="57">
        <f ca="1">+'N° de Obs.'!D76</f>
        <v>90</v>
      </c>
      <c r="C180" s="53">
        <f ca="1">+'N° de Obs.'!E76</f>
        <v>2310</v>
      </c>
      <c r="D180" s="57">
        <f t="shared" ca="1" si="24"/>
        <v>93.55</v>
      </c>
      <c r="E180" s="53">
        <f t="shared" ca="1" si="25"/>
        <v>95</v>
      </c>
      <c r="F180" s="57">
        <f t="shared" ca="1" si="26"/>
        <v>-5</v>
      </c>
      <c r="G180" s="53"/>
      <c r="H180" s="53">
        <f t="shared" ca="1" si="27"/>
        <v>93.6</v>
      </c>
      <c r="I180" s="64" t="str">
        <f t="shared" ca="1" si="28"/>
        <v>36</v>
      </c>
      <c r="J180" s="53" cm="1">
        <f t="array" aca="1" ref="J180" ca="1">+_xlfn.IFS(AND(I180&gt;="0",I180&lt;"25"),H180-(I180/10),AND(I180&gt;="25",I180&lt;"50"),H180+(5-(I180/10)),AND(I180&gt;="50",I180&lt;"75"),H180-((I180-50)/10),I180&gt;="75",H180+(10-(I180/10)))</f>
        <v>95</v>
      </c>
      <c r="K180" s="53">
        <f t="shared" ca="1" si="29"/>
        <v>5</v>
      </c>
      <c r="L180" s="53"/>
      <c r="M180" s="53"/>
    </row>
    <row r="181" spans="1:13" ht="15.6" x14ac:dyDescent="0.3">
      <c r="A181" s="53"/>
      <c r="B181" s="57">
        <f ca="1">+'N° de Obs.'!D77</f>
        <v>95</v>
      </c>
      <c r="C181" s="53">
        <f ca="1">+'N° de Obs.'!E77</f>
        <v>2263</v>
      </c>
      <c r="D181" s="57">
        <f t="shared" ca="1" si="24"/>
        <v>95.49</v>
      </c>
      <c r="E181" s="53">
        <f t="shared" ca="1" si="25"/>
        <v>95</v>
      </c>
      <c r="F181" s="57">
        <f t="shared" ca="1" si="26"/>
        <v>0</v>
      </c>
      <c r="G181" s="53"/>
      <c r="H181" s="53">
        <f t="shared" ca="1" si="27"/>
        <v>95.5</v>
      </c>
      <c r="I181" s="64" t="str">
        <f t="shared" ca="1" si="28"/>
        <v>55</v>
      </c>
      <c r="J181" s="53" cm="1">
        <f t="array" aca="1" ref="J181" ca="1">+_xlfn.IFS(AND(I181&gt;="0",I181&lt;"25"),H181-(I181/10),AND(I181&gt;="25",I181&lt;"50"),H181+(5-(I181/10)),AND(I181&gt;="50",I181&lt;"75"),H181-((I181-50)/10),I181&gt;="75",H181+(10-(I181/10)))</f>
        <v>95</v>
      </c>
      <c r="K181" s="53">
        <f t="shared" ca="1" si="29"/>
        <v>0</v>
      </c>
      <c r="L181" s="53"/>
      <c r="M181" s="53"/>
    </row>
    <row r="182" spans="1:13" ht="15.6" x14ac:dyDescent="0.3">
      <c r="A182" s="53"/>
      <c r="B182" s="57">
        <f ca="1">+'N° de Obs.'!D78</f>
        <v>90</v>
      </c>
      <c r="C182" s="53">
        <f ca="1">+'N° de Obs.'!E78</f>
        <v>2368</v>
      </c>
      <c r="D182" s="57">
        <f t="shared" ca="1" si="24"/>
        <v>91.26</v>
      </c>
      <c r="E182" s="53">
        <f t="shared" ca="1" si="25"/>
        <v>90</v>
      </c>
      <c r="F182" s="57">
        <f t="shared" ca="1" si="26"/>
        <v>0</v>
      </c>
      <c r="G182" s="53"/>
      <c r="H182" s="53">
        <f t="shared" ca="1" si="27"/>
        <v>91.3</v>
      </c>
      <c r="I182" s="64" t="str">
        <f t="shared" ca="1" si="28"/>
        <v>13</v>
      </c>
      <c r="J182" s="53" cm="1">
        <f t="array" aca="1" ref="J182" ca="1">+_xlfn.IFS(AND(I182&gt;="0",I182&lt;"25"),H182-(I182/10),AND(I182&gt;="25",I182&lt;"50"),H182+(5-(I182/10)),AND(I182&gt;="50",I182&lt;"75"),H182-((I182-50)/10),I182&gt;="75",H182+(10-(I182/10)))</f>
        <v>90</v>
      </c>
      <c r="K182" s="53">
        <f t="shared" ca="1" si="29"/>
        <v>0</v>
      </c>
      <c r="L182" s="53"/>
      <c r="M182" s="53"/>
    </row>
    <row r="183" spans="1:13" ht="15.6" x14ac:dyDescent="0.3">
      <c r="A183" s="53"/>
      <c r="B183" s="57">
        <f ca="1">+'N° de Obs.'!D79</f>
        <v>100</v>
      </c>
      <c r="C183" s="53">
        <f ca="1">+'N° de Obs.'!E79</f>
        <v>2248</v>
      </c>
      <c r="D183" s="57">
        <f t="shared" ca="1" si="24"/>
        <v>96.13</v>
      </c>
      <c r="E183" s="53">
        <f t="shared" ca="1" si="25"/>
        <v>95</v>
      </c>
      <c r="F183" s="57">
        <f t="shared" ca="1" si="26"/>
        <v>5</v>
      </c>
      <c r="G183" s="53"/>
      <c r="H183" s="53">
        <f t="shared" ca="1" si="27"/>
        <v>96.1</v>
      </c>
      <c r="I183" s="64" t="str">
        <f t="shared" ca="1" si="28"/>
        <v>61</v>
      </c>
      <c r="J183" s="53" cm="1">
        <f t="array" aca="1" ref="J183" ca="1">+_xlfn.IFS(AND(I183&gt;="0",I183&lt;"25"),H183-(I183/10),AND(I183&gt;="25",I183&lt;"50"),H183+(5-(I183/10)),AND(I183&gt;="50",I183&lt;"75"),H183-((I183-50)/10),I183&gt;="75",H183+(10-(I183/10)))</f>
        <v>95</v>
      </c>
      <c r="K183" s="53">
        <f t="shared" ca="1" si="29"/>
        <v>5</v>
      </c>
      <c r="L183" s="53"/>
      <c r="M183" s="53"/>
    </row>
    <row r="184" spans="1:13" ht="15.6" x14ac:dyDescent="0.3">
      <c r="A184" s="53"/>
      <c r="B184" s="57">
        <f ca="1">+'N° de Obs.'!D80</f>
        <v>85</v>
      </c>
      <c r="C184" s="53">
        <f ca="1">+'N° de Obs.'!E80</f>
        <v>2284</v>
      </c>
      <c r="D184" s="57">
        <f t="shared" ca="1" si="24"/>
        <v>94.61</v>
      </c>
      <c r="E184" s="53">
        <f t="shared" ca="1" si="25"/>
        <v>95</v>
      </c>
      <c r="F184" s="57">
        <f t="shared" ca="1" si="26"/>
        <v>-10</v>
      </c>
      <c r="G184" s="53"/>
      <c r="H184" s="53">
        <f t="shared" ca="1" si="27"/>
        <v>94.6</v>
      </c>
      <c r="I184" s="64" t="str">
        <f t="shared" ca="1" si="28"/>
        <v>46</v>
      </c>
      <c r="J184" s="53" cm="1">
        <f t="array" aca="1" ref="J184" ca="1">+_xlfn.IFS(AND(I184&gt;="0",I184&lt;"25"),H184-(I184/10),AND(I184&gt;="25",I184&lt;"50"),H184+(5-(I184/10)),AND(I184&gt;="50",I184&lt;"75"),H184-((I184-50)/10),I184&gt;="75",H184+(10-(I184/10)))</f>
        <v>95</v>
      </c>
      <c r="K184" s="53">
        <f t="shared" ca="1" si="29"/>
        <v>10</v>
      </c>
      <c r="L184" s="53"/>
      <c r="M184" s="53"/>
    </row>
    <row r="185" spans="1:13" ht="15.6" x14ac:dyDescent="0.3">
      <c r="A185" s="53"/>
      <c r="B185" s="57">
        <f ca="1">+'N° de Obs.'!D81</f>
        <v>85</v>
      </c>
      <c r="C185" s="53">
        <f ca="1">+'N° de Obs.'!E81</f>
        <v>2329</v>
      </c>
      <c r="D185" s="57">
        <f t="shared" ca="1" si="24"/>
        <v>92.79</v>
      </c>
      <c r="E185" s="53">
        <f t="shared" ca="1" si="25"/>
        <v>95</v>
      </c>
      <c r="F185" s="57">
        <f t="shared" ca="1" si="26"/>
        <v>-10</v>
      </c>
      <c r="G185" s="53"/>
      <c r="H185" s="53">
        <f t="shared" ca="1" si="27"/>
        <v>92.8</v>
      </c>
      <c r="I185" s="64" t="str">
        <f t="shared" ca="1" si="28"/>
        <v>28</v>
      </c>
      <c r="J185" s="53" cm="1">
        <f t="array" aca="1" ref="J185" ca="1">+_xlfn.IFS(AND(I185&gt;="0",I185&lt;"25"),H185-(I185/10),AND(I185&gt;="25",I185&lt;"50"),H185+(5-(I185/10)),AND(I185&gt;="50",I185&lt;"75"),H185-((I185-50)/10),I185&gt;="75",H185+(10-(I185/10)))</f>
        <v>95</v>
      </c>
      <c r="K185" s="53">
        <f t="shared" ca="1" si="29"/>
        <v>10</v>
      </c>
      <c r="L185" s="53"/>
      <c r="M185" s="53"/>
    </row>
    <row r="186" spans="1:13" ht="15.6" x14ac:dyDescent="0.3">
      <c r="A186" s="53"/>
      <c r="B186" s="57">
        <f ca="1">+'N° de Obs.'!D82</f>
        <v>100</v>
      </c>
      <c r="C186" s="53">
        <f ca="1">+'N° de Obs.'!E82</f>
        <v>2209</v>
      </c>
      <c r="D186" s="57">
        <f t="shared" ca="1" si="24"/>
        <v>97.83</v>
      </c>
      <c r="E186" s="53">
        <f t="shared" ca="1" si="25"/>
        <v>100</v>
      </c>
      <c r="F186" s="57">
        <f t="shared" ca="1" si="26"/>
        <v>0</v>
      </c>
      <c r="G186" s="53"/>
      <c r="H186" s="53">
        <f t="shared" ca="1" si="27"/>
        <v>97.8</v>
      </c>
      <c r="I186" s="64" t="str">
        <f t="shared" ca="1" si="28"/>
        <v>78</v>
      </c>
      <c r="J186" s="53" cm="1">
        <f t="array" aca="1" ref="J186" ca="1">+_xlfn.IFS(AND(I186&gt;="0",I186&lt;"25"),H186-(I186/10),AND(I186&gt;="25",I186&lt;"50"),H186+(5-(I186/10)),AND(I186&gt;="50",I186&lt;"75"),H186-((I186-50)/10),I186&gt;="75",H186+(10-(I186/10)))</f>
        <v>100</v>
      </c>
      <c r="K186" s="53">
        <f t="shared" ca="1" si="29"/>
        <v>0</v>
      </c>
      <c r="L186" s="53"/>
      <c r="M186" s="53"/>
    </row>
    <row r="187" spans="1:13" ht="15.6" x14ac:dyDescent="0.3">
      <c r="A187" s="53"/>
      <c r="B187" s="57">
        <f ca="1">+'N° de Obs.'!D83</f>
        <v>95</v>
      </c>
      <c r="C187" s="53">
        <f ca="1">+'N° de Obs.'!E83</f>
        <v>2251</v>
      </c>
      <c r="D187" s="57">
        <f t="shared" ca="1" si="24"/>
        <v>96</v>
      </c>
      <c r="E187" s="53">
        <f t="shared" ca="1" si="25"/>
        <v>95</v>
      </c>
      <c r="F187" s="57">
        <f t="shared" ca="1" si="26"/>
        <v>0</v>
      </c>
      <c r="G187" s="53"/>
      <c r="H187" s="53">
        <f t="shared" ca="1" si="27"/>
        <v>96</v>
      </c>
      <c r="I187" s="64" t="str">
        <f t="shared" ca="1" si="28"/>
        <v>60</v>
      </c>
      <c r="J187" s="53" cm="1">
        <f t="array" aca="1" ref="J187" ca="1">+_xlfn.IFS(AND(I187&gt;="0",I187&lt;"25"),H187-(I187/10),AND(I187&gt;="25",I187&lt;"50"),H187+(5-(I187/10)),AND(I187&gt;="50",I187&lt;"75"),H187-((I187-50)/10),I187&gt;="75",H187+(10-(I187/10)))</f>
        <v>95</v>
      </c>
      <c r="K187" s="53">
        <f t="shared" ca="1" si="29"/>
        <v>0</v>
      </c>
      <c r="L187" s="53"/>
      <c r="M187" s="53"/>
    </row>
    <row r="188" spans="1:13" ht="15.6" x14ac:dyDescent="0.3">
      <c r="A188" s="53"/>
      <c r="B188" s="57">
        <f ca="1">+'N° de Obs.'!D84</f>
        <v>90</v>
      </c>
      <c r="C188" s="53">
        <f ca="1">+'N° de Obs.'!E84</f>
        <v>2352</v>
      </c>
      <c r="D188" s="57">
        <f t="shared" ca="1" si="24"/>
        <v>91.88</v>
      </c>
      <c r="E188" s="53">
        <f t="shared" ca="1" si="25"/>
        <v>90</v>
      </c>
      <c r="F188" s="57">
        <f t="shared" ca="1" si="26"/>
        <v>0</v>
      </c>
      <c r="G188" s="53"/>
      <c r="H188" s="53">
        <f t="shared" ca="1" si="27"/>
        <v>91.9</v>
      </c>
      <c r="I188" s="64" t="str">
        <f t="shared" ca="1" si="28"/>
        <v>19</v>
      </c>
      <c r="J188" s="53" cm="1">
        <f t="array" aca="1" ref="J188" ca="1">+_xlfn.IFS(AND(I188&gt;="0",I188&lt;"25"),H188-(I188/10),AND(I188&gt;="25",I188&lt;"50"),H188+(5-(I188/10)),AND(I188&gt;="50",I188&lt;"75"),H188-((I188-50)/10),I188&gt;="75",H188+(10-(I188/10)))</f>
        <v>90</v>
      </c>
      <c r="K188" s="53">
        <f t="shared" ca="1" si="29"/>
        <v>0</v>
      </c>
      <c r="L188" s="53"/>
      <c r="M188" s="53"/>
    </row>
    <row r="189" spans="1:13" ht="15.6" x14ac:dyDescent="0.3">
      <c r="A189" s="53"/>
      <c r="B189" s="57">
        <f ca="1">+'N° de Obs.'!D85</f>
        <v>95</v>
      </c>
      <c r="C189" s="53">
        <f ca="1">+'N° de Obs.'!E85</f>
        <v>2268</v>
      </c>
      <c r="D189" s="57">
        <f t="shared" ca="1" si="24"/>
        <v>95.28</v>
      </c>
      <c r="E189" s="53">
        <f t="shared" ca="1" si="25"/>
        <v>95</v>
      </c>
      <c r="F189" s="57">
        <f t="shared" ca="1" si="26"/>
        <v>0</v>
      </c>
      <c r="G189" s="53"/>
      <c r="H189" s="53">
        <f t="shared" ca="1" si="27"/>
        <v>95.3</v>
      </c>
      <c r="I189" s="64" t="str">
        <f t="shared" ca="1" si="28"/>
        <v>53</v>
      </c>
      <c r="J189" s="53" cm="1">
        <f t="array" aca="1" ref="J189" ca="1">+_xlfn.IFS(AND(I189&gt;="0",I189&lt;"25"),H189-(I189/10),AND(I189&gt;="25",I189&lt;"50"),H189+(5-(I189/10)),AND(I189&gt;="50",I189&lt;"75"),H189-((I189-50)/10),I189&gt;="75",H189+(10-(I189/10)))</f>
        <v>95</v>
      </c>
      <c r="K189" s="53">
        <f t="shared" ca="1" si="29"/>
        <v>0</v>
      </c>
      <c r="L189" s="53"/>
      <c r="M189" s="53"/>
    </row>
    <row r="190" spans="1:13" ht="15.6" x14ac:dyDescent="0.3">
      <c r="A190" s="53"/>
      <c r="B190" s="57">
        <f ca="1">+'N° de Obs.'!D86</f>
        <v>90</v>
      </c>
      <c r="C190" s="53">
        <f ca="1">+'N° de Obs.'!E86</f>
        <v>2336</v>
      </c>
      <c r="D190" s="57">
        <f t="shared" ca="1" si="24"/>
        <v>92.51</v>
      </c>
      <c r="E190" s="53">
        <f t="shared" ca="1" si="25"/>
        <v>95</v>
      </c>
      <c r="F190" s="57">
        <f t="shared" ca="1" si="26"/>
        <v>-5</v>
      </c>
      <c r="G190" s="53"/>
      <c r="H190" s="53">
        <f t="shared" ca="1" si="27"/>
        <v>92.5</v>
      </c>
      <c r="I190" s="64" t="str">
        <f t="shared" ca="1" si="28"/>
        <v>25</v>
      </c>
      <c r="J190" s="53" cm="1">
        <f t="array" aca="1" ref="J190" ca="1">+_xlfn.IFS(AND(I190&gt;="0",I190&lt;"25"),H190-(I190/10),AND(I190&gt;="25",I190&lt;"50"),H190+(5-(I190/10)),AND(I190&gt;="50",I190&lt;"75"),H190-((I190-50)/10),I190&gt;="75",H190+(10-(I190/10)))</f>
        <v>95</v>
      </c>
      <c r="K190" s="53">
        <f t="shared" ca="1" si="29"/>
        <v>5</v>
      </c>
      <c r="L190" s="53"/>
      <c r="M190" s="53"/>
    </row>
    <row r="191" spans="1:13" ht="15.6" x14ac:dyDescent="0.3">
      <c r="A191" s="53"/>
      <c r="B191" s="58">
        <f ca="1">+'N° de Obs.'!D87</f>
        <v>95</v>
      </c>
      <c r="C191" s="53">
        <f ca="1">+'N° de Obs.'!E87</f>
        <v>2307</v>
      </c>
      <c r="D191" s="58">
        <f t="shared" ca="1" si="24"/>
        <v>93.67</v>
      </c>
      <c r="E191" s="54">
        <f t="shared" ca="1" si="25"/>
        <v>95</v>
      </c>
      <c r="F191" s="58">
        <f t="shared" ca="1" si="26"/>
        <v>0</v>
      </c>
      <c r="G191" s="53"/>
      <c r="H191" s="53">
        <f t="shared" ca="1" si="27"/>
        <v>93.7</v>
      </c>
      <c r="I191" s="64" t="str">
        <f t="shared" ca="1" si="28"/>
        <v>37</v>
      </c>
      <c r="J191" s="53" cm="1">
        <f t="array" aca="1" ref="J191" ca="1">+_xlfn.IFS(AND(I191&gt;="0",I191&lt;"25"),H191-(I191/10),AND(I191&gt;="25",I191&lt;"50"),H191+(5-(I191/10)),AND(I191&gt;="50",I191&lt;"75"),H191-((I191-50)/10),I191&gt;="75",H191+(10-(I191/10)))</f>
        <v>95</v>
      </c>
      <c r="K191" s="53">
        <f t="shared" ca="1" si="29"/>
        <v>0</v>
      </c>
      <c r="L191" s="53"/>
      <c r="M191" s="53"/>
    </row>
    <row r="192" spans="1:13" ht="15.6" x14ac:dyDescent="0.3">
      <c r="A192" s="53"/>
      <c r="B192" s="123" t="s">
        <v>91</v>
      </c>
      <c r="C192" s="133"/>
      <c r="D192" s="133"/>
      <c r="E192" s="133"/>
      <c r="F192" s="60">
        <f ca="1">+SUMIF(K172:K191,"&lt;=10",F172:F191)</f>
        <v>0</v>
      </c>
      <c r="G192" s="53"/>
      <c r="H192" s="53"/>
      <c r="I192" s="53"/>
      <c r="J192" s="53"/>
      <c r="K192" s="53">
        <f ca="1">+COUNTIF(K172:K191,"&lt;=10")</f>
        <v>20</v>
      </c>
      <c r="L192" s="53"/>
      <c r="M192" s="53"/>
    </row>
    <row r="193" spans="1:13" ht="15.6" x14ac:dyDescent="0.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</row>
    <row r="194" spans="1:13" ht="15.6" x14ac:dyDescent="0.3">
      <c r="A194" s="53"/>
      <c r="B194" s="53">
        <v>100</v>
      </c>
      <c r="C194" s="53">
        <f ca="1">+ROUND(AVERAGE('N° de Obs.'!F68:F87),0)</f>
        <v>2161</v>
      </c>
      <c r="D194" s="53"/>
      <c r="E194" s="53"/>
      <c r="F194" s="53"/>
      <c r="G194" s="53"/>
      <c r="H194" s="53"/>
      <c r="I194" s="53"/>
      <c r="J194" s="53"/>
      <c r="K194" s="53"/>
      <c r="L194" s="53"/>
      <c r="M194" s="53"/>
    </row>
    <row r="195" spans="1:13" ht="15.6" x14ac:dyDescent="0.3">
      <c r="A195" s="53"/>
      <c r="B195" s="53"/>
      <c r="C195" s="53"/>
      <c r="D195" s="54"/>
      <c r="E195" s="54"/>
      <c r="F195" s="53"/>
      <c r="G195" s="53"/>
      <c r="H195" s="53"/>
      <c r="I195" s="53"/>
      <c r="J195" s="53"/>
      <c r="K195" s="53"/>
      <c r="L195" s="53"/>
      <c r="M195" s="53"/>
    </row>
    <row r="196" spans="1:13" ht="15.6" x14ac:dyDescent="0.3">
      <c r="A196" s="53"/>
      <c r="B196" s="53"/>
      <c r="C196" s="53"/>
      <c r="D196" s="52" t="s">
        <v>85</v>
      </c>
      <c r="E196" s="52" t="s">
        <v>86</v>
      </c>
      <c r="F196" s="53"/>
      <c r="G196" s="53"/>
      <c r="H196" s="53"/>
      <c r="I196" s="53"/>
      <c r="J196" s="53"/>
      <c r="K196" s="53"/>
      <c r="L196" s="53"/>
      <c r="M196" s="53"/>
    </row>
    <row r="197" spans="1:13" ht="15.6" x14ac:dyDescent="0.3">
      <c r="A197" s="53"/>
      <c r="B197" s="53"/>
      <c r="C197" s="53"/>
      <c r="D197" s="57" t="s">
        <v>88</v>
      </c>
      <c r="E197" s="57" t="s">
        <v>25</v>
      </c>
      <c r="F197" s="53"/>
      <c r="G197" s="53"/>
      <c r="H197" s="53"/>
      <c r="I197" s="53"/>
      <c r="J197" s="53"/>
      <c r="K197" s="53"/>
      <c r="L197" s="53"/>
      <c r="M197" s="53"/>
    </row>
    <row r="198" spans="1:13" ht="15.6" x14ac:dyDescent="0.3">
      <c r="A198" s="53"/>
      <c r="B198" s="53"/>
      <c r="C198" s="53"/>
      <c r="D198" s="57" t="s">
        <v>96</v>
      </c>
      <c r="E198" s="67">
        <v>100</v>
      </c>
      <c r="F198" s="53"/>
      <c r="G198" s="53"/>
      <c r="H198" s="53"/>
      <c r="I198" s="53"/>
      <c r="J198" s="53"/>
      <c r="K198" s="53"/>
      <c r="L198" s="53"/>
      <c r="M198" s="53"/>
    </row>
    <row r="199" spans="1:13" ht="15.6" x14ac:dyDescent="0.3">
      <c r="A199" s="53"/>
      <c r="B199" s="53"/>
      <c r="C199" s="53"/>
      <c r="D199" s="57" t="s">
        <v>20</v>
      </c>
      <c r="E199" s="57">
        <f ca="1">+C194</f>
        <v>2161</v>
      </c>
      <c r="F199" s="53"/>
      <c r="G199" s="53"/>
      <c r="H199" s="53"/>
      <c r="I199" s="53"/>
      <c r="J199" s="53"/>
      <c r="K199" s="53"/>
      <c r="L199" s="53"/>
      <c r="M199" s="53"/>
    </row>
    <row r="200" spans="1:13" ht="31.2" x14ac:dyDescent="0.3">
      <c r="A200" s="53"/>
      <c r="B200" s="53"/>
      <c r="C200" s="53"/>
      <c r="D200" s="65" t="s">
        <v>98</v>
      </c>
      <c r="E200" s="57">
        <f ca="1">+K192</f>
        <v>20</v>
      </c>
      <c r="F200" s="53"/>
      <c r="G200" s="53"/>
      <c r="H200" s="53"/>
      <c r="I200" s="53"/>
      <c r="J200" s="53"/>
      <c r="K200" s="53"/>
      <c r="L200" s="53"/>
      <c r="M200" s="53"/>
    </row>
    <row r="201" spans="1:13" ht="15.6" x14ac:dyDescent="0.3">
      <c r="A201" s="53"/>
      <c r="B201" s="53"/>
      <c r="C201" s="53"/>
      <c r="D201" s="66" t="s">
        <v>95</v>
      </c>
      <c r="E201" s="58">
        <f ca="1">+F192</f>
        <v>0</v>
      </c>
      <c r="F201" s="53"/>
      <c r="G201" s="53"/>
      <c r="H201" s="53"/>
      <c r="I201" s="53"/>
      <c r="J201" s="53"/>
      <c r="K201" s="53"/>
      <c r="L201" s="53"/>
      <c r="M201" s="53"/>
    </row>
    <row r="202" spans="1:13" ht="31.2" x14ac:dyDescent="0.3">
      <c r="A202" s="53"/>
      <c r="B202" s="53"/>
      <c r="C202" s="53"/>
      <c r="D202" s="40" t="s">
        <v>97</v>
      </c>
      <c r="E202" s="56" t="str">
        <f ca="1">+CONCATENATE(ROUND((F192/K192*5)/5,2)," %")</f>
        <v>0 %</v>
      </c>
      <c r="F202" s="53"/>
      <c r="G202" s="53"/>
      <c r="H202" s="53"/>
      <c r="I202" s="53"/>
      <c r="J202" s="53"/>
      <c r="K202" s="53"/>
      <c r="L202" s="53"/>
      <c r="M202" s="53"/>
    </row>
    <row r="203" spans="1:13" ht="15.6" x14ac:dyDescent="0.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</row>
    <row r="204" spans="1:13" ht="15.6" x14ac:dyDescent="0.3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</row>
    <row r="205" spans="1:13" ht="15.6" x14ac:dyDescent="0.3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</row>
  </sheetData>
  <mergeCells count="11">
    <mergeCell ref="B111:E111"/>
    <mergeCell ref="E127:F127"/>
    <mergeCell ref="B151:E151"/>
    <mergeCell ref="E168:F168"/>
    <mergeCell ref="B192:E192"/>
    <mergeCell ref="K32:M35"/>
    <mergeCell ref="E3:F3"/>
    <mergeCell ref="E45:F45"/>
    <mergeCell ref="B69:E69"/>
    <mergeCell ref="E87:F87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F2D5-2C64-473B-A005-858449BC7DA4}">
  <dimension ref="A2:S228"/>
  <sheetViews>
    <sheetView topLeftCell="A137" workbookViewId="0">
      <selection activeCell="S8" sqref="S8"/>
    </sheetView>
  </sheetViews>
  <sheetFormatPr baseColWidth="10" defaultRowHeight="14.4" x14ac:dyDescent="0.3"/>
  <cols>
    <col min="10" max="10" width="2.44140625" customWidth="1"/>
    <col min="16" max="16" width="2.5546875" bestFit="1" customWidth="1"/>
  </cols>
  <sheetData>
    <row r="2" spans="1:18" x14ac:dyDescent="0.3">
      <c r="D2" s="127" t="str">
        <f>+'N° de Obs.'!G2</f>
        <v>Elemento P</v>
      </c>
      <c r="E2" s="128"/>
    </row>
    <row r="3" spans="1:18" s="36" customFormat="1" ht="15.6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18" ht="15.6" x14ac:dyDescent="0.3">
      <c r="A4" s="53"/>
      <c r="B4" s="69" t="s">
        <v>18</v>
      </c>
      <c r="C4" s="69" t="s">
        <v>19</v>
      </c>
      <c r="D4" s="69" t="s">
        <v>20</v>
      </c>
      <c r="E4" s="70" t="s">
        <v>123</v>
      </c>
      <c r="F4" s="70" t="s">
        <v>124</v>
      </c>
      <c r="G4" s="70" t="s">
        <v>125</v>
      </c>
      <c r="H4" s="70" t="s">
        <v>126</v>
      </c>
      <c r="I4" s="71" t="s">
        <v>87</v>
      </c>
      <c r="J4" s="71" t="s">
        <v>127</v>
      </c>
      <c r="K4" s="72">
        <f ca="1">ROUNDDOWN(H28,0)</f>
        <v>182</v>
      </c>
      <c r="L4" s="53"/>
      <c r="M4" s="53"/>
      <c r="N4" s="53"/>
      <c r="O4" s="53"/>
      <c r="P4" s="53"/>
      <c r="Q4" s="53"/>
      <c r="R4" s="36"/>
    </row>
    <row r="5" spans="1:18" ht="15.6" x14ac:dyDescent="0.3">
      <c r="A5" s="53"/>
      <c r="B5" s="56">
        <f ca="1">+'N° de Obs.'!D6</f>
        <v>90</v>
      </c>
      <c r="C5" s="56">
        <f ca="1">+'N° de Obs.'!E6</f>
        <v>4192</v>
      </c>
      <c r="D5" s="56">
        <f ca="1">+'N° de Obs.'!F6</f>
        <v>3772.8</v>
      </c>
      <c r="E5" s="56">
        <f ca="1">IF(I5="","",IFERROR(F5*G5,""))</f>
        <v>0</v>
      </c>
      <c r="F5" s="56">
        <f ca="1">IF(I5="","",IFERROR(G5*H5,""))</f>
        <v>0</v>
      </c>
      <c r="G5" s="56">
        <f ca="1">IF(I5="","",ROW($V1)-1)</f>
        <v>0</v>
      </c>
      <c r="H5" s="56">
        <f ca="1">IF(I5="","",COUNTIF($D$5:$D$24,"&lt;="&amp;$J6))</f>
        <v>3</v>
      </c>
      <c r="I5" s="56">
        <f ca="1">ROUND(H27,0)</f>
        <v>3652</v>
      </c>
      <c r="J5" s="75"/>
      <c r="K5" s="60" t="s">
        <v>136</v>
      </c>
      <c r="L5" s="53"/>
      <c r="M5" s="53"/>
      <c r="N5" s="56" t="s">
        <v>128</v>
      </c>
      <c r="O5" s="56">
        <f ca="1">F10/H10</f>
        <v>2</v>
      </c>
      <c r="P5" s="53"/>
      <c r="Q5" s="53"/>
      <c r="R5" s="36"/>
    </row>
    <row r="6" spans="1:18" ht="15.6" x14ac:dyDescent="0.3">
      <c r="A6" s="53"/>
      <c r="B6" s="56">
        <f ca="1">+'N° de Obs.'!D7</f>
        <v>100</v>
      </c>
      <c r="C6" s="56">
        <f ca="1">+'N° de Obs.'!E7</f>
        <v>4144</v>
      </c>
      <c r="D6" s="56">
        <f ca="1">+'N° de Obs.'!F7</f>
        <v>4144</v>
      </c>
      <c r="E6" s="56">
        <f t="shared" ref="E6:E9" ca="1" si="0">IF(I6="","",IFERROR(F6*G6,""))</f>
        <v>4</v>
      </c>
      <c r="F6" s="56">
        <f t="shared" ref="F6:F9" ca="1" si="1">IF(I6="","",IFERROR(G6*H6,""))</f>
        <v>4</v>
      </c>
      <c r="G6" s="56">
        <f t="shared" ref="G6:G9" ca="1" si="2">IF(I6="","",ROW($V2)-1)</f>
        <v>1</v>
      </c>
      <c r="H6" s="56">
        <f ca="1">IF(I6="","",COUNTIFS($D$5:$D$24,"&lt;="&amp;$J7,$D$5:$D$24,"&gt;"&amp;$J6))</f>
        <v>4</v>
      </c>
      <c r="I6" s="56">
        <f ca="1">IFERROR(IF($I5+$K$4&lt;=$M$28,$I5+$K$4,""),"")</f>
        <v>3834</v>
      </c>
      <c r="J6" s="76">
        <f ca="1">IF(I5="","",IFERROR(($I5+$I6)/2,MAX($D$5:$D$24)))</f>
        <v>3743</v>
      </c>
      <c r="K6" s="60" t="s">
        <v>137</v>
      </c>
      <c r="L6" s="53"/>
      <c r="M6" s="53"/>
      <c r="N6" s="56" t="s">
        <v>129</v>
      </c>
      <c r="O6" s="56">
        <f ca="1">E10/H10</f>
        <v>5.6</v>
      </c>
      <c r="P6" s="53"/>
      <c r="Q6" s="53"/>
      <c r="R6" s="36"/>
    </row>
    <row r="7" spans="1:18" ht="15.6" x14ac:dyDescent="0.3">
      <c r="A7" s="53"/>
      <c r="B7" s="56">
        <f ca="1">+'N° de Obs.'!D8</f>
        <v>95</v>
      </c>
      <c r="C7" s="56">
        <f ca="1">+'N° de Obs.'!E8</f>
        <v>4286</v>
      </c>
      <c r="D7" s="56">
        <f ca="1">+'N° de Obs.'!F8</f>
        <v>4071.7</v>
      </c>
      <c r="E7" s="56">
        <f t="shared" ca="1" si="0"/>
        <v>24</v>
      </c>
      <c r="F7" s="56">
        <f t="shared" ca="1" si="1"/>
        <v>12</v>
      </c>
      <c r="G7" s="56">
        <f t="shared" ca="1" si="2"/>
        <v>2</v>
      </c>
      <c r="H7" s="56">
        <f t="shared" ref="H7:H9" ca="1" si="3">IF(I7="","",COUNTIFS($D$5:$D$24,"&lt;="&amp;$J8,$D$5:$D$24,"&gt;"&amp;$J7))</f>
        <v>6</v>
      </c>
      <c r="I7" s="56">
        <f ca="1">IFERROR(IF($I6+$K$4&lt;=$M$28,$I6+$K$4,""),"")</f>
        <v>4016</v>
      </c>
      <c r="J7" s="76">
        <f t="shared" ref="J7:J10" ca="1" si="4">IF(I6="","",IFERROR(($I6+$I7)/2,MAX($D$5:$D$24)))</f>
        <v>3925</v>
      </c>
      <c r="K7" s="60" t="s">
        <v>138</v>
      </c>
      <c r="L7" s="53"/>
      <c r="M7" s="53"/>
      <c r="N7" s="53"/>
      <c r="O7" s="53"/>
      <c r="P7" s="53"/>
      <c r="Q7" s="53"/>
      <c r="R7" s="36"/>
    </row>
    <row r="8" spans="1:18" ht="15.6" x14ac:dyDescent="0.3">
      <c r="A8" s="53"/>
      <c r="B8" s="56">
        <f ca="1">+'N° de Obs.'!D9</f>
        <v>90</v>
      </c>
      <c r="C8" s="56">
        <f ca="1">+'N° de Obs.'!E9</f>
        <v>4217</v>
      </c>
      <c r="D8" s="56">
        <f ca="1">+'N° de Obs.'!F9</f>
        <v>3795.3</v>
      </c>
      <c r="E8" s="56">
        <f t="shared" ca="1" si="0"/>
        <v>36</v>
      </c>
      <c r="F8" s="56">
        <f t="shared" ca="1" si="1"/>
        <v>12</v>
      </c>
      <c r="G8" s="56">
        <f t="shared" ca="1" si="2"/>
        <v>3</v>
      </c>
      <c r="H8" s="56">
        <f t="shared" ca="1" si="3"/>
        <v>4</v>
      </c>
      <c r="I8" s="56">
        <f ca="1">IFERROR(IF($I7+$K$4&lt;=$M$28,$I7+$K$4,""),"")</f>
        <v>4198</v>
      </c>
      <c r="J8" s="76">
        <f t="shared" ca="1" si="4"/>
        <v>4107</v>
      </c>
      <c r="K8" s="60" t="s">
        <v>137</v>
      </c>
      <c r="L8" s="53"/>
      <c r="M8" s="53"/>
      <c r="N8" s="56" t="s">
        <v>130</v>
      </c>
      <c r="O8" s="56">
        <f ca="1">H27+(K4*O5)</f>
        <v>4015.6</v>
      </c>
      <c r="P8" s="53"/>
      <c r="Q8" s="53"/>
      <c r="R8" s="36"/>
    </row>
    <row r="9" spans="1:18" ht="16.2" thickBot="1" x14ac:dyDescent="0.35">
      <c r="A9" s="53"/>
      <c r="B9" s="56">
        <f ca="1">+'N° de Obs.'!D10</f>
        <v>105</v>
      </c>
      <c r="C9" s="56">
        <f ca="1">+'N° de Obs.'!E10</f>
        <v>4268</v>
      </c>
      <c r="D9" s="56">
        <f ca="1">+'N° de Obs.'!F10</f>
        <v>4481.3999999999996</v>
      </c>
      <c r="E9" s="56">
        <f t="shared" ca="1" si="0"/>
        <v>48</v>
      </c>
      <c r="F9" s="56">
        <f t="shared" ca="1" si="1"/>
        <v>12</v>
      </c>
      <c r="G9" s="56">
        <f t="shared" ca="1" si="2"/>
        <v>4</v>
      </c>
      <c r="H9" s="56">
        <f t="shared" ca="1" si="3"/>
        <v>3</v>
      </c>
      <c r="I9" s="56">
        <f ca="1">IFERROR(IF($I8+$K$4&lt;=$M$28,$I8+$K$4,""),"")</f>
        <v>4380</v>
      </c>
      <c r="J9" s="76">
        <f t="shared" ca="1" si="4"/>
        <v>4289</v>
      </c>
      <c r="K9" s="60" t="s">
        <v>136</v>
      </c>
      <c r="L9" s="53"/>
      <c r="M9" s="53"/>
      <c r="N9" s="56" t="s">
        <v>131</v>
      </c>
      <c r="O9" s="77">
        <f ca="1">K4*(SQRT(O6-POWER(O5,2)))</f>
        <v>230.21381366025798</v>
      </c>
      <c r="P9" s="53"/>
      <c r="Q9" s="53"/>
      <c r="R9" s="36"/>
    </row>
    <row r="10" spans="1:18" ht="16.2" thickBot="1" x14ac:dyDescent="0.35">
      <c r="A10" s="53"/>
      <c r="B10" s="56">
        <f ca="1">+'N° de Obs.'!D11</f>
        <v>95</v>
      </c>
      <c r="C10" s="56">
        <f ca="1">+'N° de Obs.'!E11</f>
        <v>4255</v>
      </c>
      <c r="D10" s="56">
        <f ca="1">+'N° de Obs.'!F11</f>
        <v>4042.25</v>
      </c>
      <c r="E10" s="73">
        <f ca="1">SUM(E5:E17)</f>
        <v>112</v>
      </c>
      <c r="F10" s="74">
        <f ca="1">SUM(F5:F17)</f>
        <v>40</v>
      </c>
      <c r="G10" s="53"/>
      <c r="H10" s="74">
        <f ca="1">SUM(H5:H17)</f>
        <v>20</v>
      </c>
      <c r="I10" s="78" t="str">
        <f ca="1">IFERROR(IF($I9+$K$4&lt;=$M$28,$I9+$K$4,""),"")</f>
        <v/>
      </c>
      <c r="J10" s="79">
        <f t="shared" ca="1" si="4"/>
        <v>4487.7</v>
      </c>
      <c r="K10" s="53"/>
      <c r="L10" s="53"/>
      <c r="M10" s="53"/>
      <c r="N10" s="53"/>
      <c r="O10" s="53"/>
      <c r="P10" s="53"/>
      <c r="Q10" s="53"/>
      <c r="R10" s="36"/>
    </row>
    <row r="11" spans="1:18" ht="15.6" x14ac:dyDescent="0.3">
      <c r="A11" s="53"/>
      <c r="B11" s="56">
        <f ca="1">+'N° de Obs.'!D12</f>
        <v>95</v>
      </c>
      <c r="C11" s="56">
        <f ca="1">+'N° de Obs.'!E12</f>
        <v>4167</v>
      </c>
      <c r="D11" s="56">
        <f ca="1">+'N° de Obs.'!F12</f>
        <v>3958.65</v>
      </c>
      <c r="E11" s="53"/>
      <c r="F11" s="53"/>
      <c r="G11" s="53"/>
      <c r="H11" s="53"/>
      <c r="I11" s="53"/>
      <c r="J11" s="53"/>
      <c r="K11" s="53"/>
      <c r="L11" s="53"/>
      <c r="M11" s="53"/>
      <c r="N11" s="56" t="s">
        <v>132</v>
      </c>
      <c r="O11" s="56">
        <f ca="1">(O9*100)/O8</f>
        <v>5.7329866934021814</v>
      </c>
      <c r="P11" s="56" t="s">
        <v>8</v>
      </c>
      <c r="Q11" s="53"/>
      <c r="R11" s="36"/>
    </row>
    <row r="12" spans="1:18" ht="15.6" x14ac:dyDescent="0.3">
      <c r="A12" s="53"/>
      <c r="B12" s="56">
        <f ca="1">+'N° de Obs.'!D13</f>
        <v>90</v>
      </c>
      <c r="C12" s="56">
        <f ca="1">+'N° de Obs.'!E13</f>
        <v>4231</v>
      </c>
      <c r="D12" s="56">
        <f ca="1">+'N° de Obs.'!F13</f>
        <v>3807.9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36"/>
    </row>
    <row r="13" spans="1:18" ht="15.6" x14ac:dyDescent="0.3">
      <c r="A13" s="53"/>
      <c r="B13" s="56">
        <f ca="1">+'N° de Obs.'!D14</f>
        <v>95</v>
      </c>
      <c r="C13" s="56">
        <f ca="1">+'N° de Obs.'!E14</f>
        <v>4177</v>
      </c>
      <c r="D13" s="56">
        <f ca="1">+'N° de Obs.'!F14</f>
        <v>3968.15</v>
      </c>
      <c r="E13" s="53"/>
      <c r="F13" s="53"/>
      <c r="G13" s="53"/>
      <c r="H13" s="53"/>
      <c r="I13" s="53"/>
      <c r="J13" s="53"/>
      <c r="K13" s="53"/>
      <c r="L13" s="53"/>
      <c r="M13" s="53"/>
      <c r="N13" s="134" t="str">
        <f ca="1">IF(O11&lt;6,"Se puede continuar con el estudio","No se puede continuar con el estudio")</f>
        <v>Se puede continuar con el estudio</v>
      </c>
      <c r="O13" s="134"/>
      <c r="P13" s="53"/>
      <c r="Q13" s="53"/>
      <c r="R13" s="36"/>
    </row>
    <row r="14" spans="1:18" ht="15.6" x14ac:dyDescent="0.3">
      <c r="A14" s="53"/>
      <c r="B14" s="56">
        <f ca="1">+'N° de Obs.'!D15</f>
        <v>100</v>
      </c>
      <c r="C14" s="56">
        <f ca="1">+'N° de Obs.'!E15</f>
        <v>4173</v>
      </c>
      <c r="D14" s="56">
        <f ca="1">+'N° de Obs.'!F15</f>
        <v>4173</v>
      </c>
      <c r="E14" s="53"/>
      <c r="F14" s="53"/>
      <c r="G14" s="53"/>
      <c r="H14" s="53"/>
      <c r="I14" s="53"/>
      <c r="J14" s="53"/>
      <c r="K14" s="53"/>
      <c r="L14" s="53"/>
      <c r="M14" s="53"/>
      <c r="N14" s="134"/>
      <c r="O14" s="134"/>
      <c r="P14" s="53"/>
      <c r="Q14" s="53"/>
      <c r="R14" s="36"/>
    </row>
    <row r="15" spans="1:18" ht="15.6" x14ac:dyDescent="0.3">
      <c r="A15" s="53"/>
      <c r="B15" s="56">
        <f ca="1">+'N° de Obs.'!D16</f>
        <v>105</v>
      </c>
      <c r="C15" s="56">
        <f ca="1">+'N° de Obs.'!E16</f>
        <v>4274</v>
      </c>
      <c r="D15" s="56">
        <f ca="1">+'N° de Obs.'!F16</f>
        <v>4487.7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36"/>
    </row>
    <row r="16" spans="1:18" ht="15.6" x14ac:dyDescent="0.3">
      <c r="A16" s="53"/>
      <c r="B16" s="56">
        <f ca="1">+'N° de Obs.'!D17</f>
        <v>95</v>
      </c>
      <c r="C16" s="56">
        <f ca="1">+'N° de Obs.'!E17</f>
        <v>4262</v>
      </c>
      <c r="D16" s="56">
        <f ca="1">+'N° de Obs.'!F17</f>
        <v>4048.9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36"/>
    </row>
    <row r="17" spans="1:18" ht="15.6" x14ac:dyDescent="0.3">
      <c r="A17" s="53"/>
      <c r="B17" s="56">
        <f ca="1">+'N° de Obs.'!D18</f>
        <v>90</v>
      </c>
      <c r="C17" s="56">
        <f ca="1">+'N° de Obs.'!E18</f>
        <v>4277</v>
      </c>
      <c r="D17" s="56">
        <f ca="1">+'N° de Obs.'!F18</f>
        <v>3849.3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36"/>
    </row>
    <row r="18" spans="1:18" ht="15.6" x14ac:dyDescent="0.3">
      <c r="A18" s="53"/>
      <c r="B18" s="56">
        <f ca="1">+'N° de Obs.'!D19</f>
        <v>100</v>
      </c>
      <c r="C18" s="56">
        <f ca="1">+'N° de Obs.'!E19</f>
        <v>4159</v>
      </c>
      <c r="D18" s="56">
        <f ca="1">+'N° de Obs.'!F19</f>
        <v>4159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36"/>
    </row>
    <row r="19" spans="1:18" ht="15.6" x14ac:dyDescent="0.3">
      <c r="A19" s="53"/>
      <c r="B19" s="56">
        <f ca="1">+'N° de Obs.'!D20</f>
        <v>90</v>
      </c>
      <c r="C19" s="56">
        <f ca="1">+'N° de Obs.'!E20</f>
        <v>4103</v>
      </c>
      <c r="D19" s="56">
        <f ca="1">+'N° de Obs.'!F20</f>
        <v>3692.7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36"/>
    </row>
    <row r="20" spans="1:18" ht="15.6" x14ac:dyDescent="0.3">
      <c r="A20" s="53"/>
      <c r="B20" s="56">
        <f ca="1">+'N° de Obs.'!D21</f>
        <v>85</v>
      </c>
      <c r="C20" s="56">
        <f ca="1">+'N° de Obs.'!E21</f>
        <v>4296</v>
      </c>
      <c r="D20" s="56">
        <f ca="1">+'N° de Obs.'!F21</f>
        <v>3651.6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36"/>
    </row>
    <row r="21" spans="1:18" ht="15.6" x14ac:dyDescent="0.3">
      <c r="A21" s="53"/>
      <c r="B21" s="56">
        <f ca="1">+'N° de Obs.'!D22</f>
        <v>105</v>
      </c>
      <c r="C21" s="56">
        <f ca="1">+'N° de Obs.'!E22</f>
        <v>4259</v>
      </c>
      <c r="D21" s="56">
        <f ca="1">+'N° de Obs.'!F22</f>
        <v>4471.95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36"/>
    </row>
    <row r="22" spans="1:18" ht="15.6" x14ac:dyDescent="0.3">
      <c r="A22" s="53"/>
      <c r="B22" s="56">
        <f ca="1">+'N° de Obs.'!D23</f>
        <v>95</v>
      </c>
      <c r="C22" s="56">
        <f ca="1">+'N° de Obs.'!E23</f>
        <v>4176</v>
      </c>
      <c r="D22" s="56">
        <f ca="1">+'N° de Obs.'!F23</f>
        <v>3967.2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36"/>
    </row>
    <row r="23" spans="1:18" ht="15.6" x14ac:dyDescent="0.3">
      <c r="A23" s="53"/>
      <c r="B23" s="56">
        <f ca="1">+'N° de Obs.'!D24</f>
        <v>90</v>
      </c>
      <c r="C23" s="56">
        <f ca="1">+'N° de Obs.'!E24</f>
        <v>4117</v>
      </c>
      <c r="D23" s="56">
        <f ca="1">+'N° de Obs.'!F24</f>
        <v>3705.3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36"/>
    </row>
    <row r="24" spans="1:18" ht="15.6" x14ac:dyDescent="0.3">
      <c r="A24" s="53"/>
      <c r="B24" s="56">
        <f ca="1">+'N° de Obs.'!D25</f>
        <v>100</v>
      </c>
      <c r="C24" s="56">
        <f ca="1">+'N° de Obs.'!E25</f>
        <v>4151</v>
      </c>
      <c r="D24" s="56">
        <f ca="1">+'N° de Obs.'!F25</f>
        <v>4151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36"/>
    </row>
    <row r="25" spans="1:18" ht="15.6" x14ac:dyDescent="0.3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36"/>
    </row>
    <row r="26" spans="1:18" ht="15.6" x14ac:dyDescent="0.3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36"/>
    </row>
    <row r="27" spans="1:18" ht="15.6" x14ac:dyDescent="0.3">
      <c r="A27" s="53"/>
      <c r="B27" s="53"/>
      <c r="C27" s="53"/>
      <c r="D27" s="56" t="s">
        <v>23</v>
      </c>
      <c r="E27" s="56">
        <f ca="1">COUNTA(C5:C24)</f>
        <v>20</v>
      </c>
      <c r="F27" s="53"/>
      <c r="G27" s="53"/>
      <c r="H27" s="56">
        <f ca="1">MIN(D5:D24)</f>
        <v>3651.6</v>
      </c>
      <c r="I27" s="59">
        <v>100</v>
      </c>
      <c r="J27" s="60" t="s">
        <v>8</v>
      </c>
      <c r="K27" s="53"/>
      <c r="L27" s="56" t="s">
        <v>133</v>
      </c>
      <c r="M27" s="56">
        <f ca="1">ROUND(MIN(D5:D24),0)</f>
        <v>3652</v>
      </c>
      <c r="N27" s="53"/>
      <c r="O27" s="53"/>
      <c r="P27" s="53"/>
      <c r="Q27" s="53"/>
      <c r="R27" s="36"/>
    </row>
    <row r="28" spans="1:18" ht="15.6" x14ac:dyDescent="0.3">
      <c r="A28" s="53"/>
      <c r="B28" s="53"/>
      <c r="C28" s="53"/>
      <c r="D28" s="53"/>
      <c r="E28" s="53"/>
      <c r="F28" s="53"/>
      <c r="G28" s="53"/>
      <c r="H28" s="58">
        <f ca="1">(I28*H27)/I27</f>
        <v>182.58</v>
      </c>
      <c r="I28" s="75">
        <v>5</v>
      </c>
      <c r="J28" s="80" t="s">
        <v>8</v>
      </c>
      <c r="K28" s="53"/>
      <c r="L28" s="56" t="s">
        <v>134</v>
      </c>
      <c r="M28" s="56">
        <f ca="1">ROUND(MAX(D5:D24),0)</f>
        <v>4488</v>
      </c>
      <c r="N28" s="53"/>
      <c r="O28" s="53"/>
      <c r="P28" s="53"/>
      <c r="Q28" s="53"/>
      <c r="R28" s="36"/>
    </row>
    <row r="29" spans="1:18" ht="15.6" x14ac:dyDescent="0.3">
      <c r="A29" s="53"/>
      <c r="B29" s="135" t="s">
        <v>24</v>
      </c>
      <c r="C29" s="135"/>
      <c r="D29" s="135"/>
      <c r="E29" s="56">
        <f ca="1">ROUND(SUM(D5:D24)/E27,0)</f>
        <v>4020</v>
      </c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36"/>
    </row>
    <row r="30" spans="1:18" ht="15.6" x14ac:dyDescent="0.3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36"/>
    </row>
    <row r="31" spans="1:18" ht="15.6" x14ac:dyDescent="0.3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36"/>
    </row>
    <row r="32" spans="1:18" ht="15.6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 spans="1:19" ht="15.6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 spans="1:19" ht="15.6" x14ac:dyDescent="0.3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 spans="1:19" ht="15.6" x14ac:dyDescent="0.3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 spans="1:19" ht="15.6" x14ac:dyDescent="0.3">
      <c r="A36" s="44"/>
      <c r="B36" s="44"/>
      <c r="C36" s="44"/>
      <c r="D36" s="129" t="str">
        <f>+'N° de Obs.'!P2</f>
        <v>Elemento C</v>
      </c>
      <c r="E36" s="130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 spans="1:19" s="36" customFormat="1" ht="15.6" x14ac:dyDescent="0.3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</row>
    <row r="38" spans="1:19" ht="15.6" x14ac:dyDescent="0.3">
      <c r="A38" s="53"/>
      <c r="B38" s="69" t="s">
        <v>18</v>
      </c>
      <c r="C38" s="69" t="s">
        <v>19</v>
      </c>
      <c r="D38" s="69" t="s">
        <v>20</v>
      </c>
      <c r="E38" s="70" t="s">
        <v>123</v>
      </c>
      <c r="F38" s="70" t="s">
        <v>124</v>
      </c>
      <c r="G38" s="70" t="s">
        <v>125</v>
      </c>
      <c r="H38" s="70" t="s">
        <v>126</v>
      </c>
      <c r="I38" s="71" t="s">
        <v>87</v>
      </c>
      <c r="J38" s="71" t="s">
        <v>127</v>
      </c>
      <c r="K38" s="72">
        <f ca="1">ROUNDDOWN(H62,0)</f>
        <v>345</v>
      </c>
      <c r="L38" s="53"/>
      <c r="M38" s="53"/>
      <c r="N38" s="53"/>
      <c r="O38" s="53"/>
      <c r="P38" s="53"/>
      <c r="Q38" s="53"/>
      <c r="R38" s="36"/>
      <c r="S38" s="36"/>
    </row>
    <row r="39" spans="1:19" ht="15.6" x14ac:dyDescent="0.3">
      <c r="A39" s="53"/>
      <c r="B39" s="56">
        <f ca="1">+'N° de Obs.'!M6</f>
        <v>95</v>
      </c>
      <c r="C39" s="56">
        <f ca="1">+'N° de Obs.'!N6</f>
        <v>7721</v>
      </c>
      <c r="D39" s="56">
        <f ca="1">+'N° de Obs.'!O6</f>
        <v>7334.95</v>
      </c>
      <c r="E39" s="56">
        <f ca="1">IF(I39="","",IFERROR(F39*G39,""))</f>
        <v>0</v>
      </c>
      <c r="F39" s="56">
        <f ca="1">IF(I39="","",IFERROR(G39*H39,""))</f>
        <v>0</v>
      </c>
      <c r="G39" s="56">
        <f ca="1">IF(I39="","",ROW($V1)-1)</f>
        <v>0</v>
      </c>
      <c r="H39" s="56">
        <f ca="1">IF(I39="","",COUNTIF($D$39:$D$58,"&lt;="&amp;$J40))</f>
        <v>3</v>
      </c>
      <c r="I39" s="56">
        <f ca="1">ROUND(H61,0)</f>
        <v>6910</v>
      </c>
      <c r="J39" s="75"/>
      <c r="K39" s="60" t="s">
        <v>136</v>
      </c>
      <c r="L39" s="53"/>
      <c r="M39" s="53"/>
      <c r="N39" s="56" t="s">
        <v>128</v>
      </c>
      <c r="O39" s="56">
        <f ca="1">F43/H43</f>
        <v>1.6</v>
      </c>
      <c r="P39" s="53"/>
      <c r="Q39" s="53"/>
      <c r="R39" s="36"/>
      <c r="S39" s="36"/>
    </row>
    <row r="40" spans="1:19" ht="15.6" x14ac:dyDescent="0.3">
      <c r="A40" s="53"/>
      <c r="B40" s="56">
        <f ca="1">+'N° de Obs.'!M7</f>
        <v>100</v>
      </c>
      <c r="C40" s="56">
        <f ca="1">+'N° de Obs.'!N7</f>
        <v>7703</v>
      </c>
      <c r="D40" s="56">
        <f ca="1">+'N° de Obs.'!O7</f>
        <v>7703</v>
      </c>
      <c r="E40" s="56">
        <f t="shared" ref="E40:E42" ca="1" si="5">IF(I40="","",IFERROR(F40*G40,""))</f>
        <v>7</v>
      </c>
      <c r="F40" s="56">
        <f t="shared" ref="F40:F42" ca="1" si="6">IF(I40="","",IFERROR(G40*H40,""))</f>
        <v>7</v>
      </c>
      <c r="G40" s="56">
        <f t="shared" ref="G40:G42" ca="1" si="7">IF(I40="","",ROW($V2)-1)</f>
        <v>1</v>
      </c>
      <c r="H40" s="56">
        <f ca="1">IF(I40="","",COUNTIFS($D$39:$D$58,"&lt;="&amp;$J41,$D$39:$D$58,"&gt;"&amp;$J40))</f>
        <v>7</v>
      </c>
      <c r="I40" s="56">
        <f ca="1">IFERROR(IF($I39+$K$38&lt;=$M$62,$I39+$K$38,""),"")</f>
        <v>7255</v>
      </c>
      <c r="J40" s="76">
        <f ca="1">IF(I39="","",IFERROR(($I39+$I40)/2,MAX($D$39:$D$58)))</f>
        <v>7082.5</v>
      </c>
      <c r="K40" s="60" t="s">
        <v>139</v>
      </c>
      <c r="L40" s="53"/>
      <c r="M40" s="53"/>
      <c r="N40" s="56" t="s">
        <v>129</v>
      </c>
      <c r="O40" s="56">
        <f ca="1">E43/H43</f>
        <v>3.6</v>
      </c>
      <c r="P40" s="53"/>
      <c r="Q40" s="53"/>
      <c r="R40" s="36"/>
    </row>
    <row r="41" spans="1:19" ht="15.6" x14ac:dyDescent="0.3">
      <c r="A41" s="53"/>
      <c r="B41" s="56">
        <f ca="1">+'N° de Obs.'!M8</f>
        <v>95</v>
      </c>
      <c r="C41" s="56">
        <f ca="1">+'N° de Obs.'!N8</f>
        <v>7726</v>
      </c>
      <c r="D41" s="56">
        <f ca="1">+'N° de Obs.'!O8</f>
        <v>7339.7</v>
      </c>
      <c r="E41" s="56">
        <f t="shared" ca="1" si="5"/>
        <v>20</v>
      </c>
      <c r="F41" s="56">
        <f t="shared" ca="1" si="6"/>
        <v>10</v>
      </c>
      <c r="G41" s="56">
        <f t="shared" ca="1" si="7"/>
        <v>2</v>
      </c>
      <c r="H41" s="56">
        <f t="shared" ref="H41:H42" ca="1" si="8">IF(I41="","",COUNTIFS($D$39:$D$58,"&lt;="&amp;$J42,$D$39:$D$58,"&gt;"&amp;$J41))</f>
        <v>5</v>
      </c>
      <c r="I41" s="56">
        <f t="shared" ref="I41:I43" ca="1" si="9">IFERROR(IF($I40+$K$38&lt;=$M$62,$I40+$K$38,""),"")</f>
        <v>7600</v>
      </c>
      <c r="J41" s="76">
        <f t="shared" ref="J41:J43" ca="1" si="10">IF(I40="","",IFERROR(($I40+$I41)/2,MAX($D$39:$D$58)))</f>
        <v>7427.5</v>
      </c>
      <c r="K41" s="60" t="s">
        <v>140</v>
      </c>
      <c r="L41" s="53"/>
      <c r="M41" s="53"/>
      <c r="N41" s="53"/>
      <c r="O41" s="53"/>
      <c r="P41" s="53"/>
      <c r="Q41" s="53"/>
      <c r="R41" s="36"/>
    </row>
    <row r="42" spans="1:19" ht="16.2" thickBot="1" x14ac:dyDescent="0.35">
      <c r="A42" s="53"/>
      <c r="B42" s="56">
        <f ca="1">+'N° de Obs.'!M9</f>
        <v>95</v>
      </c>
      <c r="C42" s="56">
        <f ca="1">+'N° de Obs.'!N9</f>
        <v>7621</v>
      </c>
      <c r="D42" s="56">
        <f ca="1">+'N° de Obs.'!O9</f>
        <v>7239.95</v>
      </c>
      <c r="E42" s="56">
        <f t="shared" ca="1" si="5"/>
        <v>45</v>
      </c>
      <c r="F42" s="56">
        <f t="shared" ca="1" si="6"/>
        <v>15</v>
      </c>
      <c r="G42" s="56">
        <f t="shared" ca="1" si="7"/>
        <v>3</v>
      </c>
      <c r="H42" s="56">
        <f t="shared" ca="1" si="8"/>
        <v>5</v>
      </c>
      <c r="I42" s="56">
        <f t="shared" ca="1" si="9"/>
        <v>7945</v>
      </c>
      <c r="J42" s="76">
        <f t="shared" ca="1" si="10"/>
        <v>7772.5</v>
      </c>
      <c r="K42" s="60" t="s">
        <v>140</v>
      </c>
      <c r="L42" s="53"/>
      <c r="M42" s="53"/>
      <c r="N42" s="56" t="s">
        <v>130</v>
      </c>
      <c r="O42" s="56">
        <f ca="1">H61+(K38*O39)</f>
        <v>7462.2</v>
      </c>
      <c r="P42" s="53"/>
      <c r="Q42" s="53"/>
      <c r="R42" s="36"/>
    </row>
    <row r="43" spans="1:19" ht="16.2" thickBot="1" x14ac:dyDescent="0.35">
      <c r="A43" s="53"/>
      <c r="B43" s="56">
        <f ca="1">+'N° de Obs.'!M10</f>
        <v>90</v>
      </c>
      <c r="C43" s="56">
        <f ca="1">+'N° de Obs.'!N10</f>
        <v>7794</v>
      </c>
      <c r="D43" s="56">
        <f ca="1">+'N° de Obs.'!O10</f>
        <v>7014.6</v>
      </c>
      <c r="E43" s="73">
        <f ca="1">SUM(E39:E51)</f>
        <v>72</v>
      </c>
      <c r="F43" s="74">
        <f ca="1">SUM(F39:F51)</f>
        <v>32</v>
      </c>
      <c r="G43" s="53"/>
      <c r="H43" s="74">
        <f ca="1">SUM(H39:H51)</f>
        <v>20</v>
      </c>
      <c r="I43" s="78" t="str">
        <f t="shared" ca="1" si="9"/>
        <v/>
      </c>
      <c r="J43" s="79">
        <f t="shared" ca="1" si="10"/>
        <v>8066.1</v>
      </c>
      <c r="K43" s="53"/>
      <c r="L43" s="53"/>
      <c r="M43" s="53"/>
      <c r="N43" s="56" t="s">
        <v>131</v>
      </c>
      <c r="O43" s="77">
        <f ca="1">K38*(SQRT(O40-POWER(O39,2)))</f>
        <v>351.83234643790212</v>
      </c>
      <c r="P43" s="53"/>
      <c r="Q43" s="53"/>
      <c r="R43" s="36"/>
    </row>
    <row r="44" spans="1:19" ht="15.6" x14ac:dyDescent="0.3">
      <c r="A44" s="53"/>
      <c r="B44" s="56">
        <f ca="1">+'N° de Obs.'!M11</f>
        <v>90</v>
      </c>
      <c r="C44" s="56">
        <f ca="1">+'N° de Obs.'!N11</f>
        <v>7678</v>
      </c>
      <c r="D44" s="56">
        <f ca="1">+'N° de Obs.'!O11</f>
        <v>6910.2</v>
      </c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36"/>
    </row>
    <row r="45" spans="1:19" ht="15.6" x14ac:dyDescent="0.3">
      <c r="A45" s="53"/>
      <c r="B45" s="56">
        <f ca="1">+'N° de Obs.'!M12</f>
        <v>100</v>
      </c>
      <c r="C45" s="56">
        <f ca="1">+'N° de Obs.'!N12</f>
        <v>7759</v>
      </c>
      <c r="D45" s="56">
        <f ca="1">+'N° de Obs.'!O12</f>
        <v>7759</v>
      </c>
      <c r="E45" s="53"/>
      <c r="F45" s="53"/>
      <c r="G45" s="53"/>
      <c r="H45" s="53"/>
      <c r="I45" s="53"/>
      <c r="J45" s="53"/>
      <c r="K45" s="53"/>
      <c r="L45" s="53"/>
      <c r="M45" s="53"/>
      <c r="N45" s="56" t="s">
        <v>132</v>
      </c>
      <c r="O45" s="56">
        <f ca="1">(O43*100)/O42</f>
        <v>4.714860851195386</v>
      </c>
      <c r="P45" s="56" t="s">
        <v>8</v>
      </c>
      <c r="Q45" s="53"/>
      <c r="R45" s="36"/>
    </row>
    <row r="46" spans="1:19" ht="15.6" x14ac:dyDescent="0.3">
      <c r="A46" s="53"/>
      <c r="B46" s="56">
        <f ca="1">+'N° de Obs.'!M13</f>
        <v>95</v>
      </c>
      <c r="C46" s="56">
        <f ca="1">+'N° de Obs.'!N13</f>
        <v>7793</v>
      </c>
      <c r="D46" s="56">
        <f ca="1">+'N° de Obs.'!O13</f>
        <v>7403.35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36"/>
    </row>
    <row r="47" spans="1:19" ht="15.6" x14ac:dyDescent="0.3">
      <c r="A47" s="53"/>
      <c r="B47" s="56">
        <f ca="1">+'N° de Obs.'!M14</f>
        <v>100</v>
      </c>
      <c r="C47" s="56">
        <f ca="1">+'N° de Obs.'!N14</f>
        <v>7613</v>
      </c>
      <c r="D47" s="56">
        <f ca="1">+'N° de Obs.'!O14</f>
        <v>7613</v>
      </c>
      <c r="E47" s="53"/>
      <c r="F47" s="53"/>
      <c r="G47" s="53"/>
      <c r="H47" s="53"/>
      <c r="I47" s="53"/>
      <c r="J47" s="53"/>
      <c r="K47" s="53"/>
      <c r="L47" s="53"/>
      <c r="M47" s="53"/>
      <c r="N47" s="134" t="str">
        <f ca="1">IF(O45&lt;6,"Se puede continuar con el estudio","No se puede continuar con el estudio")</f>
        <v>Se puede continuar con el estudio</v>
      </c>
      <c r="O47" s="134"/>
      <c r="P47" s="53"/>
      <c r="Q47" s="53"/>
      <c r="R47" s="36"/>
    </row>
    <row r="48" spans="1:19" ht="15.6" x14ac:dyDescent="0.3">
      <c r="A48" s="53"/>
      <c r="B48" s="56">
        <f ca="1">+'N° de Obs.'!M15</f>
        <v>90</v>
      </c>
      <c r="C48" s="56">
        <f ca="1">+'N° de Obs.'!N15</f>
        <v>7752</v>
      </c>
      <c r="D48" s="56">
        <f ca="1">+'N° de Obs.'!O15</f>
        <v>6976.8</v>
      </c>
      <c r="E48" s="53"/>
      <c r="F48" s="53"/>
      <c r="G48" s="53"/>
      <c r="H48" s="53"/>
      <c r="I48" s="53"/>
      <c r="J48" s="53"/>
      <c r="K48" s="53"/>
      <c r="L48" s="53"/>
      <c r="M48" s="53"/>
      <c r="N48" s="134"/>
      <c r="O48" s="134"/>
      <c r="P48" s="53"/>
      <c r="Q48" s="53"/>
      <c r="R48" s="36"/>
    </row>
    <row r="49" spans="1:18" ht="15.6" x14ac:dyDescent="0.3">
      <c r="A49" s="53"/>
      <c r="B49" s="56">
        <f ca="1">+'N° de Obs.'!M16</f>
        <v>100</v>
      </c>
      <c r="C49" s="56">
        <f ca="1">+'N° de Obs.'!N16</f>
        <v>7699</v>
      </c>
      <c r="D49" s="56">
        <f ca="1">+'N° de Obs.'!O16</f>
        <v>7699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36"/>
    </row>
    <row r="50" spans="1:18" ht="15.6" x14ac:dyDescent="0.3">
      <c r="A50" s="53"/>
      <c r="B50" s="56">
        <f ca="1">+'N° de Obs.'!M17</f>
        <v>100</v>
      </c>
      <c r="C50" s="56">
        <f ca="1">+'N° de Obs.'!N17</f>
        <v>7796</v>
      </c>
      <c r="D50" s="56">
        <f ca="1">+'N° de Obs.'!O17</f>
        <v>7796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36"/>
    </row>
    <row r="51" spans="1:18" ht="15.6" x14ac:dyDescent="0.3">
      <c r="A51" s="53"/>
      <c r="B51" s="56">
        <f ca="1">+'N° de Obs.'!M18</f>
        <v>95</v>
      </c>
      <c r="C51" s="56">
        <f ca="1">+'N° de Obs.'!N18</f>
        <v>7622</v>
      </c>
      <c r="D51" s="56">
        <f ca="1">+'N° de Obs.'!O18</f>
        <v>7240.9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36"/>
    </row>
    <row r="52" spans="1:18" ht="15.6" x14ac:dyDescent="0.3">
      <c r="A52" s="53"/>
      <c r="B52" s="56">
        <f ca="1">+'N° de Obs.'!M19</f>
        <v>105</v>
      </c>
      <c r="C52" s="56">
        <f ca="1">+'N° de Obs.'!N19</f>
        <v>7680</v>
      </c>
      <c r="D52" s="56">
        <f ca="1">+'N° de Obs.'!O19</f>
        <v>8064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36"/>
    </row>
    <row r="53" spans="1:18" ht="15.6" x14ac:dyDescent="0.3">
      <c r="A53" s="53"/>
      <c r="B53" s="56">
        <f ca="1">+'N° de Obs.'!M20</f>
        <v>95</v>
      </c>
      <c r="C53" s="56">
        <f ca="1">+'N° de Obs.'!N20</f>
        <v>7639</v>
      </c>
      <c r="D53" s="56">
        <f ca="1">+'N° de Obs.'!O20</f>
        <v>7257.05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36"/>
    </row>
    <row r="54" spans="1:18" ht="15.6" x14ac:dyDescent="0.3">
      <c r="A54" s="53"/>
      <c r="B54" s="56">
        <f ca="1">+'N° de Obs.'!M21</f>
        <v>100</v>
      </c>
      <c r="C54" s="56">
        <f ca="1">+'N° de Obs.'!N21</f>
        <v>7800</v>
      </c>
      <c r="D54" s="56">
        <f ca="1">+'N° de Obs.'!O21</f>
        <v>7800</v>
      </c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36"/>
    </row>
    <row r="55" spans="1:18" ht="15.6" x14ac:dyDescent="0.3">
      <c r="A55" s="53"/>
      <c r="B55" s="56">
        <f ca="1">+'N° de Obs.'!M22</f>
        <v>105</v>
      </c>
      <c r="C55" s="56">
        <f ca="1">+'N° de Obs.'!N22</f>
        <v>7682</v>
      </c>
      <c r="D55" s="56">
        <f ca="1">+'N° de Obs.'!O22</f>
        <v>8066.1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36"/>
    </row>
    <row r="56" spans="1:18" ht="15.6" x14ac:dyDescent="0.3">
      <c r="A56" s="53"/>
      <c r="B56" s="56">
        <f ca="1">+'N° de Obs.'!M23</f>
        <v>100</v>
      </c>
      <c r="C56" s="56">
        <f ca="1">+'N° de Obs.'!N23</f>
        <v>7616</v>
      </c>
      <c r="D56" s="56">
        <f ca="1">+'N° de Obs.'!O23</f>
        <v>7616</v>
      </c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36"/>
    </row>
    <row r="57" spans="1:18" ht="15.6" x14ac:dyDescent="0.3">
      <c r="A57" s="53"/>
      <c r="B57" s="56">
        <f ca="1">+'N° de Obs.'!M24</f>
        <v>105</v>
      </c>
      <c r="C57" s="56">
        <f ca="1">+'N° de Obs.'!N24</f>
        <v>7609</v>
      </c>
      <c r="D57" s="56">
        <f ca="1">+'N° de Obs.'!O24</f>
        <v>7989.45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36"/>
    </row>
    <row r="58" spans="1:18" ht="15.6" x14ac:dyDescent="0.3">
      <c r="A58" s="53"/>
      <c r="B58" s="56">
        <f ca="1">+'N° de Obs.'!M25</f>
        <v>95</v>
      </c>
      <c r="C58" s="56">
        <f ca="1">+'N° de Obs.'!N25</f>
        <v>7681</v>
      </c>
      <c r="D58" s="56">
        <f ca="1">+'N° de Obs.'!O25</f>
        <v>7296.95</v>
      </c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36"/>
    </row>
    <row r="59" spans="1:18" ht="15.6" x14ac:dyDescent="0.3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36"/>
    </row>
    <row r="60" spans="1:18" ht="15.6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36"/>
    </row>
    <row r="61" spans="1:18" ht="15.6" x14ac:dyDescent="0.3">
      <c r="A61" s="53"/>
      <c r="B61" s="53"/>
      <c r="C61" s="53"/>
      <c r="D61" s="56" t="s">
        <v>23</v>
      </c>
      <c r="E61" s="56">
        <f ca="1">COUNTA(C39:C58)</f>
        <v>20</v>
      </c>
      <c r="F61" s="53"/>
      <c r="G61" s="53"/>
      <c r="H61" s="56">
        <f ca="1">MIN(D39:D58)</f>
        <v>6910.2</v>
      </c>
      <c r="I61" s="59">
        <v>100</v>
      </c>
      <c r="J61" s="60" t="s">
        <v>8</v>
      </c>
      <c r="K61" s="53"/>
      <c r="L61" s="56" t="s">
        <v>133</v>
      </c>
      <c r="M61" s="56">
        <f ca="1">ROUND(MIN(D39:D58),0)</f>
        <v>6910</v>
      </c>
      <c r="N61" s="53"/>
      <c r="O61" s="53"/>
      <c r="P61" s="53"/>
      <c r="Q61" s="53"/>
      <c r="R61" s="36"/>
    </row>
    <row r="62" spans="1:18" ht="15.6" x14ac:dyDescent="0.3">
      <c r="A62" s="53"/>
      <c r="B62" s="53"/>
      <c r="C62" s="53"/>
      <c r="D62" s="53"/>
      <c r="E62" s="53"/>
      <c r="F62" s="53"/>
      <c r="G62" s="53"/>
      <c r="H62" s="58">
        <f ca="1">(I62*H61)/I61</f>
        <v>345.51</v>
      </c>
      <c r="I62" s="75">
        <v>5</v>
      </c>
      <c r="J62" s="80" t="s">
        <v>8</v>
      </c>
      <c r="K62" s="53"/>
      <c r="L62" s="56" t="s">
        <v>134</v>
      </c>
      <c r="M62" s="56">
        <f ca="1">ROUND(MAX(D39:D58),0)</f>
        <v>8066</v>
      </c>
      <c r="N62" s="53"/>
      <c r="O62" s="53"/>
      <c r="P62" s="53"/>
      <c r="Q62" s="53"/>
      <c r="R62" s="36"/>
    </row>
    <row r="63" spans="1:18" ht="15.6" x14ac:dyDescent="0.3">
      <c r="A63" s="53"/>
      <c r="B63" s="135" t="s">
        <v>24</v>
      </c>
      <c r="C63" s="135"/>
      <c r="D63" s="135"/>
      <c r="E63" s="56">
        <f ca="1">ROUND(SUM(D39:D58)/E61,0)</f>
        <v>7506</v>
      </c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36"/>
    </row>
    <row r="64" spans="1:18" ht="15.6" x14ac:dyDescent="0.3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36"/>
    </row>
    <row r="65" spans="1:18" ht="15.6" x14ac:dyDescent="0.3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36"/>
    </row>
    <row r="66" spans="1:18" ht="15.6" x14ac:dyDescent="0.3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 spans="1:18" ht="15.6" x14ac:dyDescent="0.3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 spans="1:18" ht="15.6" x14ac:dyDescent="0.3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 spans="1:18" ht="15.6" x14ac:dyDescent="0.3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 spans="1:18" ht="15.6" x14ac:dyDescent="0.3">
      <c r="A70" s="44"/>
      <c r="B70" s="44"/>
      <c r="C70" s="44"/>
      <c r="D70" s="129" t="str">
        <f>+'N° de Obs.'!G30</f>
        <v>Elemento Q</v>
      </c>
      <c r="E70" s="130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 spans="1:18" s="36" customFormat="1" ht="15.6" x14ac:dyDescent="0.3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</row>
    <row r="72" spans="1:18" ht="15.6" x14ac:dyDescent="0.3">
      <c r="A72" s="53"/>
      <c r="B72" s="69" t="s">
        <v>18</v>
      </c>
      <c r="C72" s="69" t="s">
        <v>19</v>
      </c>
      <c r="D72" s="69" t="s">
        <v>20</v>
      </c>
      <c r="E72" s="70" t="s">
        <v>123</v>
      </c>
      <c r="F72" s="70" t="s">
        <v>124</v>
      </c>
      <c r="G72" s="70" t="s">
        <v>125</v>
      </c>
      <c r="H72" s="70" t="s">
        <v>126</v>
      </c>
      <c r="I72" s="71" t="s">
        <v>87</v>
      </c>
      <c r="J72" s="71" t="s">
        <v>127</v>
      </c>
      <c r="K72" s="72">
        <f ca="1">ROUNDDOWN(H96,0)</f>
        <v>90</v>
      </c>
      <c r="L72" s="53"/>
      <c r="M72" s="53"/>
      <c r="N72" s="53"/>
      <c r="O72" s="53"/>
      <c r="P72" s="53"/>
      <c r="Q72" s="53"/>
      <c r="R72" s="36"/>
    </row>
    <row r="73" spans="1:18" ht="15.6" x14ac:dyDescent="0.3">
      <c r="A73" s="53"/>
      <c r="B73" s="56">
        <f ca="1">+'N° de Obs.'!D34</f>
        <v>90</v>
      </c>
      <c r="C73" s="56">
        <f ca="1">+'N° de Obs.'!E34</f>
        <v>2143</v>
      </c>
      <c r="D73" s="56">
        <f ca="1">+'N° de Obs.'!F34</f>
        <v>1928.7</v>
      </c>
      <c r="E73" s="56">
        <f ca="1">IF(I73="","",IFERROR(F73*G73,""))</f>
        <v>0</v>
      </c>
      <c r="F73" s="56">
        <f ca="1">IF(I73="","",IFERROR(G73*H73,""))</f>
        <v>0</v>
      </c>
      <c r="G73" s="56">
        <v>0</v>
      </c>
      <c r="H73" s="56">
        <f ca="1">IF(I73="","",COUNTIF($D$73:$D$92,"&lt;="&amp;$J74))</f>
        <v>1</v>
      </c>
      <c r="I73" s="56">
        <f ca="1">ROUND(H95,0)</f>
        <v>1815</v>
      </c>
      <c r="J73" s="75"/>
      <c r="K73" s="60" t="s">
        <v>29</v>
      </c>
      <c r="L73" s="53"/>
      <c r="M73" s="53"/>
      <c r="N73" s="56" t="s">
        <v>128</v>
      </c>
      <c r="O73" s="56">
        <f ca="1">F78/H78</f>
        <v>2.6</v>
      </c>
      <c r="P73" s="53"/>
      <c r="Q73" s="53"/>
      <c r="R73" s="36"/>
    </row>
    <row r="74" spans="1:18" ht="15.6" x14ac:dyDescent="0.3">
      <c r="A74" s="53"/>
      <c r="B74" s="56">
        <f ca="1">+'N° de Obs.'!D35</f>
        <v>85</v>
      </c>
      <c r="C74" s="56">
        <f ca="1">+'N° de Obs.'!E35</f>
        <v>2280</v>
      </c>
      <c r="D74" s="56">
        <f ca="1">+'N° de Obs.'!F35</f>
        <v>1938</v>
      </c>
      <c r="E74" s="56">
        <f t="shared" ref="E74:E77" ca="1" si="11">IF(I74="","",IFERROR(F74*G74,""))</f>
        <v>3</v>
      </c>
      <c r="F74" s="56">
        <f t="shared" ref="F74:F77" ca="1" si="12">IF(I74="","",IFERROR(G74*H74,""))</f>
        <v>3</v>
      </c>
      <c r="G74" s="56">
        <v>1</v>
      </c>
      <c r="H74" s="56">
        <f ca="1">IF(I74="","",COUNTIFS($D$73:$D$92,"&lt;="&amp;$J75,$D$73:$D$92,"&gt;"&amp;$J74))</f>
        <v>3</v>
      </c>
      <c r="I74" s="56">
        <f t="shared" ref="I74:I78" ca="1" si="13">IFERROR(IF($I73+$K$72&lt;=$M$96,$I73+$K$72,""),"")</f>
        <v>1905</v>
      </c>
      <c r="J74" s="76">
        <f ca="1">IF(I73="","",IFERROR(($I73+$I74)/2,MAX($D$73:$D$92)))</f>
        <v>1860</v>
      </c>
      <c r="K74" s="60" t="s">
        <v>136</v>
      </c>
      <c r="L74" s="53"/>
      <c r="M74" s="53"/>
      <c r="N74" s="56" t="s">
        <v>129</v>
      </c>
      <c r="O74" s="56">
        <f ca="1">E78/H78</f>
        <v>8.3000000000000007</v>
      </c>
      <c r="P74" s="53"/>
      <c r="Q74" s="53"/>
      <c r="R74" s="36"/>
    </row>
    <row r="75" spans="1:18" ht="15.6" x14ac:dyDescent="0.3">
      <c r="A75" s="53"/>
      <c r="B75" s="56">
        <f ca="1">+'N° de Obs.'!D36</f>
        <v>100</v>
      </c>
      <c r="C75" s="56">
        <f ca="1">+'N° de Obs.'!E36</f>
        <v>2025</v>
      </c>
      <c r="D75" s="56">
        <f ca="1">+'N° de Obs.'!F36</f>
        <v>2025</v>
      </c>
      <c r="E75" s="56">
        <f t="shared" ca="1" si="11"/>
        <v>24</v>
      </c>
      <c r="F75" s="56">
        <f t="shared" ca="1" si="12"/>
        <v>12</v>
      </c>
      <c r="G75" s="56">
        <v>2</v>
      </c>
      <c r="H75" s="56">
        <f t="shared" ref="H75:H77" ca="1" si="14">IF(I75="","",COUNTIFS($D$73:$D$92,"&lt;="&amp;$J76,$D$73:$D$92,"&gt;"&amp;$J75))</f>
        <v>6</v>
      </c>
      <c r="I75" s="56">
        <f t="shared" ca="1" si="13"/>
        <v>1995</v>
      </c>
      <c r="J75" s="76">
        <f t="shared" ref="J75:J78" ca="1" si="15">IF(I74="","",IFERROR(($I74+$I75)/2,MAX($D$73:$D$92)))</f>
        <v>1950</v>
      </c>
      <c r="K75" s="60" t="s">
        <v>138</v>
      </c>
      <c r="L75" s="53"/>
      <c r="M75" s="53"/>
      <c r="N75" s="53"/>
      <c r="O75" s="53"/>
      <c r="P75" s="53"/>
      <c r="Q75" s="53"/>
      <c r="R75" s="36"/>
    </row>
    <row r="76" spans="1:18" ht="15.6" x14ac:dyDescent="0.3">
      <c r="A76" s="53"/>
      <c r="B76" s="56">
        <f ca="1">+'N° de Obs.'!D37</f>
        <v>90</v>
      </c>
      <c r="C76" s="56">
        <f ca="1">+'N° de Obs.'!E37</f>
        <v>2017</v>
      </c>
      <c r="D76" s="56">
        <f ca="1">+'N° de Obs.'!F37</f>
        <v>1815.3</v>
      </c>
      <c r="E76" s="56">
        <f t="shared" ca="1" si="11"/>
        <v>27</v>
      </c>
      <c r="F76" s="56">
        <f t="shared" ca="1" si="12"/>
        <v>9</v>
      </c>
      <c r="G76" s="56">
        <v>3</v>
      </c>
      <c r="H76" s="56">
        <f t="shared" ca="1" si="14"/>
        <v>3</v>
      </c>
      <c r="I76" s="56">
        <f t="shared" ca="1" si="13"/>
        <v>2085</v>
      </c>
      <c r="J76" s="76">
        <f t="shared" ca="1" si="15"/>
        <v>2040</v>
      </c>
      <c r="K76" s="60" t="s">
        <v>136</v>
      </c>
      <c r="L76" s="53"/>
      <c r="M76" s="53"/>
      <c r="N76" s="56" t="s">
        <v>130</v>
      </c>
      <c r="O76" s="56">
        <f ca="1">H95+(K72*O73)</f>
        <v>2049.3000000000002</v>
      </c>
      <c r="P76" s="53"/>
      <c r="Q76" s="53"/>
      <c r="R76" s="36"/>
    </row>
    <row r="77" spans="1:18" ht="16.2" thickBot="1" x14ac:dyDescent="0.35">
      <c r="A77" s="53"/>
      <c r="B77" s="56">
        <f ca="1">+'N° de Obs.'!D38</f>
        <v>100</v>
      </c>
      <c r="C77" s="56">
        <f ca="1">+'N° de Obs.'!E38</f>
        <v>2177</v>
      </c>
      <c r="D77" s="56">
        <f ca="1">+'N° de Obs.'!F38</f>
        <v>2177</v>
      </c>
      <c r="E77" s="56">
        <f t="shared" ca="1" si="11"/>
        <v>112</v>
      </c>
      <c r="F77" s="56">
        <f t="shared" ca="1" si="12"/>
        <v>28</v>
      </c>
      <c r="G77" s="56">
        <v>4</v>
      </c>
      <c r="H77" s="56">
        <f t="shared" ca="1" si="14"/>
        <v>7</v>
      </c>
      <c r="I77" s="56">
        <f t="shared" ca="1" si="13"/>
        <v>2175</v>
      </c>
      <c r="J77" s="76">
        <f t="shared" ca="1" si="15"/>
        <v>2130</v>
      </c>
      <c r="K77" s="60" t="s">
        <v>139</v>
      </c>
      <c r="L77" s="53"/>
      <c r="M77" s="53"/>
      <c r="N77" s="56" t="s">
        <v>131</v>
      </c>
      <c r="O77" s="77">
        <f ca="1">K72*(SQRT(O74-POWER(O73,2)))</f>
        <v>111.68706281391772</v>
      </c>
      <c r="P77" s="53"/>
      <c r="Q77" s="53"/>
      <c r="R77" s="36"/>
    </row>
    <row r="78" spans="1:18" ht="16.2" thickBot="1" x14ac:dyDescent="0.35">
      <c r="A78" s="53"/>
      <c r="B78" s="56">
        <f ca="1">+'N° de Obs.'!D39</f>
        <v>95</v>
      </c>
      <c r="C78" s="56">
        <f ca="1">+'N° de Obs.'!E39</f>
        <v>2039</v>
      </c>
      <c r="D78" s="56">
        <f ca="1">+'N° de Obs.'!F39</f>
        <v>1937.05</v>
      </c>
      <c r="E78" s="73">
        <f ca="1">SUM(E73:E85)</f>
        <v>166</v>
      </c>
      <c r="F78" s="74">
        <f ca="1">SUM(F73:F85)</f>
        <v>52</v>
      </c>
      <c r="G78" s="53"/>
      <c r="H78" s="74">
        <f ca="1">SUM(H73:H85)</f>
        <v>20</v>
      </c>
      <c r="I78" s="78" t="str">
        <f t="shared" ca="1" si="13"/>
        <v/>
      </c>
      <c r="J78" s="79">
        <f t="shared" ca="1" si="15"/>
        <v>2203</v>
      </c>
      <c r="K78" s="53"/>
      <c r="L78" s="53"/>
      <c r="M78" s="53"/>
      <c r="N78" s="53"/>
      <c r="O78" s="53"/>
      <c r="P78" s="53"/>
      <c r="Q78" s="53"/>
      <c r="R78" s="36"/>
    </row>
    <row r="79" spans="1:18" ht="15.6" x14ac:dyDescent="0.3">
      <c r="A79" s="53"/>
      <c r="B79" s="56">
        <f ca="1">+'N° de Obs.'!D40</f>
        <v>100</v>
      </c>
      <c r="C79" s="56">
        <f ca="1">+'N° de Obs.'!E40</f>
        <v>2201</v>
      </c>
      <c r="D79" s="56">
        <f ca="1">+'N° de Obs.'!F40</f>
        <v>2201</v>
      </c>
      <c r="E79" s="53"/>
      <c r="F79" s="53"/>
      <c r="G79" s="53"/>
      <c r="H79" s="53"/>
      <c r="I79" s="53"/>
      <c r="J79" s="53"/>
      <c r="K79" s="53"/>
      <c r="L79" s="53"/>
      <c r="M79" s="53"/>
      <c r="N79" s="56" t="s">
        <v>132</v>
      </c>
      <c r="O79" s="56">
        <f ca="1">(O77*100)/O76</f>
        <v>5.4500103847127175</v>
      </c>
      <c r="P79" s="56" t="s">
        <v>8</v>
      </c>
      <c r="Q79" s="53"/>
      <c r="R79" s="36"/>
    </row>
    <row r="80" spans="1:18" ht="15.6" x14ac:dyDescent="0.3">
      <c r="A80" s="53"/>
      <c r="B80" s="56">
        <f ca="1">+'N° de Obs.'!D41</f>
        <v>95</v>
      </c>
      <c r="C80" s="56">
        <f ca="1">+'N° de Obs.'!E41</f>
        <v>2292</v>
      </c>
      <c r="D80" s="56">
        <f ca="1">+'N° de Obs.'!F41</f>
        <v>2177.4</v>
      </c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36"/>
    </row>
    <row r="81" spans="1:18" ht="15.6" x14ac:dyDescent="0.3">
      <c r="A81" s="53"/>
      <c r="B81" s="56">
        <f ca="1">+'N° de Obs.'!D42</f>
        <v>95</v>
      </c>
      <c r="C81" s="56">
        <f ca="1">+'N° de Obs.'!E42</f>
        <v>2125</v>
      </c>
      <c r="D81" s="56">
        <f ca="1">+'N° de Obs.'!F42</f>
        <v>2018.75</v>
      </c>
      <c r="E81" s="53"/>
      <c r="F81" s="53"/>
      <c r="G81" s="53"/>
      <c r="H81" s="53"/>
      <c r="I81" s="53"/>
      <c r="J81" s="53"/>
      <c r="K81" s="53"/>
      <c r="L81" s="53"/>
      <c r="M81" s="53"/>
      <c r="N81" s="134" t="str">
        <f ca="1">IF(O79&lt;6,"Se puede continuar con el estudio","No se puede continuar con el estudio")</f>
        <v>Se puede continuar con el estudio</v>
      </c>
      <c r="O81" s="134"/>
      <c r="P81" s="53"/>
      <c r="Q81" s="53"/>
      <c r="R81" s="36"/>
    </row>
    <row r="82" spans="1:18" ht="15.6" x14ac:dyDescent="0.3">
      <c r="A82" s="53"/>
      <c r="B82" s="56">
        <f ca="1">+'N° de Obs.'!D43</f>
        <v>90</v>
      </c>
      <c r="C82" s="56">
        <f ca="1">+'N° de Obs.'!E43</f>
        <v>2193</v>
      </c>
      <c r="D82" s="56">
        <f ca="1">+'N° de Obs.'!F43</f>
        <v>1973.7</v>
      </c>
      <c r="E82" s="53"/>
      <c r="F82" s="53"/>
      <c r="G82" s="53"/>
      <c r="H82" s="53"/>
      <c r="I82" s="53"/>
      <c r="J82" s="53"/>
      <c r="K82" s="53"/>
      <c r="L82" s="53"/>
      <c r="M82" s="53"/>
      <c r="N82" s="134"/>
      <c r="O82" s="134"/>
      <c r="P82" s="53"/>
      <c r="Q82" s="53"/>
      <c r="R82" s="36"/>
    </row>
    <row r="83" spans="1:18" ht="15.6" x14ac:dyDescent="0.3">
      <c r="A83" s="53"/>
      <c r="B83" s="56">
        <f ca="1">+'N° de Obs.'!D44</f>
        <v>90</v>
      </c>
      <c r="C83" s="56">
        <f ca="1">+'N° de Obs.'!E44</f>
        <v>2259</v>
      </c>
      <c r="D83" s="56">
        <f ca="1">+'N° de Obs.'!F44</f>
        <v>2033.1</v>
      </c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36"/>
    </row>
    <row r="84" spans="1:18" ht="15.6" x14ac:dyDescent="0.3">
      <c r="A84" s="53"/>
      <c r="B84" s="56">
        <f ca="1">+'N° de Obs.'!D45</f>
        <v>100</v>
      </c>
      <c r="C84" s="56">
        <f ca="1">+'N° de Obs.'!E45</f>
        <v>2057</v>
      </c>
      <c r="D84" s="56">
        <f ca="1">+'N° de Obs.'!F45</f>
        <v>2057</v>
      </c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36"/>
    </row>
    <row r="85" spans="1:18" ht="15.6" x14ac:dyDescent="0.3">
      <c r="A85" s="53"/>
      <c r="B85" s="56">
        <f ca="1">+'N° de Obs.'!D46</f>
        <v>100</v>
      </c>
      <c r="C85" s="56">
        <f ca="1">+'N° de Obs.'!E46</f>
        <v>2203</v>
      </c>
      <c r="D85" s="56">
        <f ca="1">+'N° de Obs.'!F46</f>
        <v>2203</v>
      </c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36"/>
    </row>
    <row r="86" spans="1:18" ht="15.6" x14ac:dyDescent="0.3">
      <c r="A86" s="53"/>
      <c r="B86" s="56">
        <f ca="1">+'N° de Obs.'!D47</f>
        <v>100</v>
      </c>
      <c r="C86" s="56">
        <f ca="1">+'N° de Obs.'!E47</f>
        <v>2187</v>
      </c>
      <c r="D86" s="56">
        <f ca="1">+'N° de Obs.'!F47</f>
        <v>2187</v>
      </c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36"/>
    </row>
    <row r="87" spans="1:18" ht="15.6" x14ac:dyDescent="0.3">
      <c r="A87" s="53"/>
      <c r="B87" s="56">
        <f ca="1">+'N° de Obs.'!D48</f>
        <v>105</v>
      </c>
      <c r="C87" s="56">
        <f ca="1">+'N° de Obs.'!E48</f>
        <v>2084</v>
      </c>
      <c r="D87" s="56">
        <f ca="1">+'N° de Obs.'!F48</f>
        <v>2188.1999999999998</v>
      </c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36"/>
    </row>
    <row r="88" spans="1:18" ht="15.6" x14ac:dyDescent="0.3">
      <c r="A88" s="53"/>
      <c r="B88" s="56">
        <f ca="1">+'N° de Obs.'!D49</f>
        <v>90</v>
      </c>
      <c r="C88" s="56">
        <f ca="1">+'N° de Obs.'!E49</f>
        <v>2194</v>
      </c>
      <c r="D88" s="56">
        <f ca="1">+'N° de Obs.'!F49</f>
        <v>1974.6</v>
      </c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36"/>
    </row>
    <row r="89" spans="1:18" ht="15.6" x14ac:dyDescent="0.3">
      <c r="A89" s="53"/>
      <c r="B89" s="56">
        <f ca="1">+'N° de Obs.'!D50</f>
        <v>95</v>
      </c>
      <c r="C89" s="56">
        <f ca="1">+'N° de Obs.'!E50</f>
        <v>2245</v>
      </c>
      <c r="D89" s="56">
        <f ca="1">+'N° de Obs.'!F50</f>
        <v>2132.75</v>
      </c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36"/>
    </row>
    <row r="90" spans="1:18" ht="15.6" x14ac:dyDescent="0.3">
      <c r="A90" s="53"/>
      <c r="B90" s="56">
        <f ca="1">+'N° de Obs.'!D51</f>
        <v>105</v>
      </c>
      <c r="C90" s="56">
        <f ca="1">+'N° de Obs.'!E51</f>
        <v>2002</v>
      </c>
      <c r="D90" s="56">
        <f ca="1">+'N° de Obs.'!F51</f>
        <v>2102.1</v>
      </c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36"/>
    </row>
    <row r="91" spans="1:18" ht="15.6" x14ac:dyDescent="0.3">
      <c r="A91" s="53"/>
      <c r="B91" s="56">
        <f ca="1">+'N° de Obs.'!D52</f>
        <v>90</v>
      </c>
      <c r="C91" s="56">
        <f ca="1">+'N° de Obs.'!E52</f>
        <v>2255</v>
      </c>
      <c r="D91" s="56">
        <f ca="1">+'N° de Obs.'!F52</f>
        <v>2029.5</v>
      </c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36"/>
    </row>
    <row r="92" spans="1:18" ht="15.6" x14ac:dyDescent="0.3">
      <c r="A92" s="53"/>
      <c r="B92" s="56">
        <f ca="1">+'N° de Obs.'!D53</f>
        <v>100</v>
      </c>
      <c r="C92" s="56">
        <f ca="1">+'N° de Obs.'!E53</f>
        <v>2068</v>
      </c>
      <c r="D92" s="56">
        <f ca="1">+'N° de Obs.'!F53</f>
        <v>2068</v>
      </c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36"/>
    </row>
    <row r="93" spans="1:18" ht="15.6" x14ac:dyDescent="0.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36"/>
    </row>
    <row r="94" spans="1:18" ht="15.6" x14ac:dyDescent="0.3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36"/>
    </row>
    <row r="95" spans="1:18" ht="15.6" x14ac:dyDescent="0.3">
      <c r="A95" s="53"/>
      <c r="B95" s="53"/>
      <c r="C95" s="53"/>
      <c r="D95" s="56" t="s">
        <v>23</v>
      </c>
      <c r="E95" s="56">
        <f ca="1">COUNTA(C73:C92)</f>
        <v>20</v>
      </c>
      <c r="F95" s="53"/>
      <c r="G95" s="53"/>
      <c r="H95" s="56">
        <f ca="1">MIN(D73:D92)</f>
        <v>1815.3</v>
      </c>
      <c r="I95" s="59">
        <v>100</v>
      </c>
      <c r="J95" s="60" t="s">
        <v>8</v>
      </c>
      <c r="K95" s="53"/>
      <c r="L95" s="56" t="s">
        <v>133</v>
      </c>
      <c r="M95" s="56">
        <f ca="1">ROUND(MIN(D73:D92),0)</f>
        <v>1815</v>
      </c>
      <c r="N95" s="53"/>
      <c r="O95" s="53"/>
      <c r="P95" s="53"/>
      <c r="Q95" s="53"/>
      <c r="R95" s="36"/>
    </row>
    <row r="96" spans="1:18" ht="15.6" x14ac:dyDescent="0.3">
      <c r="A96" s="53"/>
      <c r="B96" s="53"/>
      <c r="C96" s="53"/>
      <c r="D96" s="53"/>
      <c r="E96" s="53"/>
      <c r="F96" s="53"/>
      <c r="G96" s="53"/>
      <c r="H96" s="58">
        <f ca="1">(I96*H95)/I95</f>
        <v>90.765000000000001</v>
      </c>
      <c r="I96" s="75">
        <v>5</v>
      </c>
      <c r="J96" s="80" t="s">
        <v>8</v>
      </c>
      <c r="K96" s="53"/>
      <c r="L96" s="56" t="s">
        <v>134</v>
      </c>
      <c r="M96" s="56">
        <f ca="1">ROUND(MAX(D73:D92),0)</f>
        <v>2203</v>
      </c>
      <c r="N96" s="53"/>
      <c r="O96" s="53"/>
      <c r="P96" s="53"/>
      <c r="Q96" s="53"/>
      <c r="R96" s="36"/>
    </row>
    <row r="97" spans="1:18" ht="15.6" x14ac:dyDescent="0.3">
      <c r="A97" s="53"/>
      <c r="B97" s="135" t="s">
        <v>24</v>
      </c>
      <c r="C97" s="135"/>
      <c r="D97" s="135"/>
      <c r="E97" s="56">
        <f ca="1">ROUND(SUM(D73:D92)/E95,0)</f>
        <v>2058</v>
      </c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36"/>
    </row>
    <row r="98" spans="1:18" ht="15.6" x14ac:dyDescent="0.3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36"/>
    </row>
    <row r="99" spans="1:18" ht="15.6" x14ac:dyDescent="0.3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36"/>
    </row>
    <row r="100" spans="1:18" ht="15.6" x14ac:dyDescent="0.3">
      <c r="A100" s="53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</row>
    <row r="101" spans="1:18" ht="15.6" x14ac:dyDescent="0.3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</row>
    <row r="102" spans="1:18" ht="15.6" x14ac:dyDescent="0.3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</row>
    <row r="103" spans="1:18" ht="15.6" x14ac:dyDescent="0.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</row>
    <row r="104" spans="1:18" ht="15.6" x14ac:dyDescent="0.3">
      <c r="A104" s="44"/>
      <c r="B104" s="44"/>
      <c r="C104" s="44"/>
      <c r="D104" s="129" t="str">
        <f>+'N° de Obs.'!P30</f>
        <v>Elemento T</v>
      </c>
      <c r="E104" s="130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</row>
    <row r="105" spans="1:18" s="36" customFormat="1" ht="14.4" customHeight="1" x14ac:dyDescent="0.3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</row>
    <row r="106" spans="1:18" ht="15.6" x14ac:dyDescent="0.3">
      <c r="A106" s="53"/>
      <c r="B106" s="69" t="s">
        <v>18</v>
      </c>
      <c r="C106" s="69" t="s">
        <v>19</v>
      </c>
      <c r="D106" s="69" t="s">
        <v>20</v>
      </c>
      <c r="E106" s="70" t="s">
        <v>123</v>
      </c>
      <c r="F106" s="70" t="s">
        <v>124</v>
      </c>
      <c r="G106" s="70" t="s">
        <v>125</v>
      </c>
      <c r="H106" s="70" t="s">
        <v>126</v>
      </c>
      <c r="I106" s="71" t="s">
        <v>87</v>
      </c>
      <c r="J106" s="71" t="s">
        <v>127</v>
      </c>
      <c r="K106" s="72">
        <f ca="1">ROUNDDOWN(H130,0)</f>
        <v>58</v>
      </c>
      <c r="L106" s="53"/>
      <c r="M106" s="53"/>
      <c r="N106" s="53"/>
      <c r="O106" s="53"/>
      <c r="P106" s="53"/>
      <c r="Q106" s="53"/>
    </row>
    <row r="107" spans="1:18" ht="15.6" x14ac:dyDescent="0.3">
      <c r="A107" s="53"/>
      <c r="B107" s="56">
        <f ca="1">+'N° de Obs.'!M34</f>
        <v>90</v>
      </c>
      <c r="C107" s="56">
        <f ca="1">+'N° de Obs.'!N34</f>
        <v>1306</v>
      </c>
      <c r="D107" s="56">
        <f ca="1">+'N° de Obs.'!O34</f>
        <v>1175.4000000000001</v>
      </c>
      <c r="E107" s="56">
        <f ca="1">IF(I107="","",IFERROR(F107*G107,""))</f>
        <v>0</v>
      </c>
      <c r="F107" s="56">
        <f ca="1">IF(I107="","",IFERROR(G107*H107,""))</f>
        <v>0</v>
      </c>
      <c r="G107" s="56">
        <v>0</v>
      </c>
      <c r="H107" s="56">
        <f ca="1">IF(I107="","",COUNTIF($D$107:$D$126,"&lt;="&amp;$J108))</f>
        <v>3</v>
      </c>
      <c r="I107" s="56">
        <f ca="1">ROUND(H129,0)</f>
        <v>1175</v>
      </c>
      <c r="J107" s="75"/>
      <c r="K107" s="60" t="s">
        <v>136</v>
      </c>
      <c r="L107" s="53"/>
      <c r="M107" s="53"/>
      <c r="N107" s="56" t="s">
        <v>128</v>
      </c>
      <c r="O107" s="56">
        <f ca="1">F113/H113</f>
        <v>2.25</v>
      </c>
      <c r="P107" s="53"/>
      <c r="Q107" s="53"/>
    </row>
    <row r="108" spans="1:18" ht="15.6" x14ac:dyDescent="0.3">
      <c r="A108" s="53"/>
      <c r="B108" s="56">
        <f ca="1">+'N° de Obs.'!M35</f>
        <v>100</v>
      </c>
      <c r="C108" s="56">
        <f ca="1">+'N° de Obs.'!N35</f>
        <v>1359</v>
      </c>
      <c r="D108" s="56">
        <f ca="1">+'N° de Obs.'!O35</f>
        <v>1359</v>
      </c>
      <c r="E108" s="56">
        <f t="shared" ref="E108:E112" ca="1" si="16">IF(I108="","",IFERROR(F108*G108,""))</f>
        <v>1</v>
      </c>
      <c r="F108" s="56">
        <f t="shared" ref="F108:F112" ca="1" si="17">IF(I108="","",IFERROR(G108*H108,""))</f>
        <v>1</v>
      </c>
      <c r="G108" s="56">
        <v>1</v>
      </c>
      <c r="H108" s="56">
        <f ca="1">IF(I108="","",COUNTIFS($D$107:$D$126,"&lt;="&amp;$J109,$D$107:$D$126,"&gt;"&amp;$J108))</f>
        <v>1</v>
      </c>
      <c r="I108" s="56">
        <f ca="1">IFERROR(IF($I107+$K$106&lt;=$M$130,$I107+$K$106,""),"")</f>
        <v>1233</v>
      </c>
      <c r="J108" s="76">
        <f ca="1">IF(I107="","",IFERROR(($I107+$I108)/2,MAX($D$107:$D$126)))</f>
        <v>1204</v>
      </c>
      <c r="K108" s="60" t="s">
        <v>29</v>
      </c>
      <c r="L108" s="53"/>
      <c r="M108" s="53"/>
      <c r="N108" s="56" t="s">
        <v>129</v>
      </c>
      <c r="O108" s="56">
        <f ca="1">E113/H113</f>
        <v>6.75</v>
      </c>
      <c r="P108" s="53"/>
      <c r="Q108" s="53"/>
    </row>
    <row r="109" spans="1:18" ht="15.6" x14ac:dyDescent="0.3">
      <c r="A109" s="53"/>
      <c r="B109" s="56">
        <f ca="1">+'N° de Obs.'!M36</f>
        <v>105</v>
      </c>
      <c r="C109" s="56">
        <f ca="1">+'N° de Obs.'!N36</f>
        <v>1429</v>
      </c>
      <c r="D109" s="56">
        <f ca="1">+'N° de Obs.'!O36</f>
        <v>1500.45</v>
      </c>
      <c r="E109" s="56">
        <f t="shared" ca="1" si="16"/>
        <v>32</v>
      </c>
      <c r="F109" s="56">
        <f t="shared" ca="1" si="17"/>
        <v>16</v>
      </c>
      <c r="G109" s="56">
        <v>2</v>
      </c>
      <c r="H109" s="56">
        <f t="shared" ref="H109:H112" ca="1" si="18">IF(I109="","",COUNTIFS($D$107:$D$126,"&lt;="&amp;$J110,$D$107:$D$126,"&gt;"&amp;$J109))</f>
        <v>8</v>
      </c>
      <c r="I109" s="56">
        <f t="shared" ref="I109:I113" ca="1" si="19">IFERROR(IF($I108+$K$106&lt;=$M$130,$I108+$K$106,""),"")</f>
        <v>1291</v>
      </c>
      <c r="J109" s="76">
        <f t="shared" ref="J109:J113" ca="1" si="20">IF(I108="","",IFERROR(($I108+$I109)/2,MAX($D$107:$D$126)))</f>
        <v>1262</v>
      </c>
      <c r="K109" s="60" t="s">
        <v>141</v>
      </c>
      <c r="L109" s="53"/>
      <c r="M109" s="53"/>
      <c r="N109" s="53"/>
      <c r="O109" s="53"/>
      <c r="P109" s="53"/>
      <c r="Q109" s="53"/>
    </row>
    <row r="110" spans="1:18" ht="15.6" x14ac:dyDescent="0.3">
      <c r="A110" s="53"/>
      <c r="B110" s="56">
        <f ca="1">+'N° de Obs.'!M37</f>
        <v>100</v>
      </c>
      <c r="C110" s="56">
        <f ca="1">+'N° de Obs.'!N37</f>
        <v>1318</v>
      </c>
      <c r="D110" s="56">
        <f ca="1">+'N° de Obs.'!O37</f>
        <v>1318</v>
      </c>
      <c r="E110" s="56">
        <f t="shared" ca="1" si="16"/>
        <v>45</v>
      </c>
      <c r="F110" s="56">
        <f t="shared" ca="1" si="17"/>
        <v>15</v>
      </c>
      <c r="G110" s="56">
        <v>3</v>
      </c>
      <c r="H110" s="56">
        <f t="shared" ca="1" si="18"/>
        <v>5</v>
      </c>
      <c r="I110" s="56">
        <f t="shared" ca="1" si="19"/>
        <v>1349</v>
      </c>
      <c r="J110" s="76">
        <f t="shared" ca="1" si="20"/>
        <v>1320</v>
      </c>
      <c r="K110" s="60" t="s">
        <v>140</v>
      </c>
      <c r="L110" s="53"/>
      <c r="M110" s="53"/>
      <c r="N110" s="56" t="s">
        <v>130</v>
      </c>
      <c r="O110" s="56">
        <f ca="1">H129+(K106*O107)</f>
        <v>1305.9000000000001</v>
      </c>
      <c r="P110" s="53"/>
      <c r="Q110" s="53"/>
    </row>
    <row r="111" spans="1:18" ht="15.6" x14ac:dyDescent="0.3">
      <c r="A111" s="53"/>
      <c r="B111" s="56">
        <f ca="1">+'N° de Obs.'!M38</f>
        <v>100</v>
      </c>
      <c r="C111" s="56">
        <f ca="1">+'N° de Obs.'!N38</f>
        <v>1364</v>
      </c>
      <c r="D111" s="56">
        <f ca="1">+'N° de Obs.'!O38</f>
        <v>1364</v>
      </c>
      <c r="E111" s="56">
        <f t="shared" ca="1" si="16"/>
        <v>32</v>
      </c>
      <c r="F111" s="56">
        <f t="shared" ca="1" si="17"/>
        <v>8</v>
      </c>
      <c r="G111" s="56">
        <v>4</v>
      </c>
      <c r="H111" s="56">
        <f t="shared" ca="1" si="18"/>
        <v>2</v>
      </c>
      <c r="I111" s="56">
        <f t="shared" ca="1" si="19"/>
        <v>1407</v>
      </c>
      <c r="J111" s="76">
        <f t="shared" ca="1" si="20"/>
        <v>1378</v>
      </c>
      <c r="K111" s="60" t="s">
        <v>142</v>
      </c>
      <c r="L111" s="53"/>
      <c r="M111" s="53"/>
      <c r="N111" s="56" t="s">
        <v>131</v>
      </c>
      <c r="O111" s="77">
        <f ca="1">K106*(SQRT(O108-POWER(O107,2)))</f>
        <v>75.344210129246164</v>
      </c>
      <c r="P111" s="53"/>
      <c r="Q111" s="53"/>
    </row>
    <row r="112" spans="1:18" ht="16.2" thickBot="1" x14ac:dyDescent="0.35">
      <c r="A112" s="53"/>
      <c r="B112" s="56">
        <f ca="1">+'N° de Obs.'!M39</f>
        <v>90</v>
      </c>
      <c r="C112" s="56">
        <f ca="1">+'N° de Obs.'!N39</f>
        <v>1476</v>
      </c>
      <c r="D112" s="56">
        <f ca="1">+'N° de Obs.'!O39</f>
        <v>1328.4</v>
      </c>
      <c r="E112" s="56">
        <f t="shared" ca="1" si="16"/>
        <v>25</v>
      </c>
      <c r="F112" s="56">
        <f t="shared" ca="1" si="17"/>
        <v>5</v>
      </c>
      <c r="G112" s="56">
        <v>5</v>
      </c>
      <c r="H112" s="56">
        <f t="shared" ca="1" si="18"/>
        <v>1</v>
      </c>
      <c r="I112" s="56">
        <f t="shared" ca="1" si="19"/>
        <v>1465</v>
      </c>
      <c r="J112" s="76">
        <f t="shared" ca="1" si="20"/>
        <v>1436</v>
      </c>
      <c r="K112" s="60" t="s">
        <v>29</v>
      </c>
      <c r="L112" s="53"/>
      <c r="M112" s="53"/>
      <c r="N112" s="53"/>
      <c r="O112" s="53"/>
      <c r="P112" s="53"/>
      <c r="Q112" s="53"/>
    </row>
    <row r="113" spans="1:17" ht="16.2" thickBot="1" x14ac:dyDescent="0.35">
      <c r="A113" s="53"/>
      <c r="B113" s="56">
        <f ca="1">+'N° de Obs.'!M40</f>
        <v>95</v>
      </c>
      <c r="C113" s="56">
        <f ca="1">+'N° de Obs.'!N40</f>
        <v>1434</v>
      </c>
      <c r="D113" s="56">
        <f ca="1">+'N° de Obs.'!O40</f>
        <v>1362.3</v>
      </c>
      <c r="E113" s="73">
        <f ca="1">SUM(E107:E119)</f>
        <v>135</v>
      </c>
      <c r="F113" s="74">
        <f ca="1">SUM(F107:F119)</f>
        <v>45</v>
      </c>
      <c r="G113" s="53"/>
      <c r="H113" s="74">
        <f ca="1">SUM(H107:H119)</f>
        <v>20</v>
      </c>
      <c r="I113" s="78" t="str">
        <f t="shared" ca="1" si="19"/>
        <v/>
      </c>
      <c r="J113" s="79">
        <f t="shared" ca="1" si="20"/>
        <v>1500.45</v>
      </c>
      <c r="K113" s="53"/>
      <c r="L113" s="53"/>
      <c r="M113" s="53"/>
      <c r="N113" s="56" t="s">
        <v>132</v>
      </c>
      <c r="O113" s="56">
        <f ca="1">(O111*100)/O110</f>
        <v>5.7695237100272729</v>
      </c>
      <c r="P113" s="56" t="s">
        <v>8</v>
      </c>
      <c r="Q113" s="53"/>
    </row>
    <row r="114" spans="1:17" ht="15.6" x14ac:dyDescent="0.3">
      <c r="A114" s="53"/>
      <c r="B114" s="56">
        <f ca="1">+'N° de Obs.'!M41</f>
        <v>105</v>
      </c>
      <c r="C114" s="56">
        <f ca="1">+'N° de Obs.'!N41</f>
        <v>1207</v>
      </c>
      <c r="D114" s="56">
        <f ca="1">+'N° de Obs.'!O41</f>
        <v>1267.3499999999999</v>
      </c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</row>
    <row r="115" spans="1:17" ht="15.6" x14ac:dyDescent="0.3">
      <c r="A115" s="53"/>
      <c r="B115" s="56">
        <f ca="1">+'N° de Obs.'!M42</f>
        <v>90</v>
      </c>
      <c r="C115" s="56">
        <f ca="1">+'N° de Obs.'!N42</f>
        <v>1332</v>
      </c>
      <c r="D115" s="56">
        <f ca="1">+'N° de Obs.'!O42</f>
        <v>1198.8</v>
      </c>
      <c r="E115" s="53"/>
      <c r="F115" s="53"/>
      <c r="G115" s="53"/>
      <c r="H115" s="53"/>
      <c r="I115" s="53"/>
      <c r="J115" s="53"/>
      <c r="K115" s="53"/>
      <c r="L115" s="53"/>
      <c r="M115" s="53"/>
      <c r="N115" s="134" t="str">
        <f ca="1">IF(O113&lt;6,"Se puede continuar con el estudio","No se puede continuar con el estudio")</f>
        <v>Se puede continuar con el estudio</v>
      </c>
      <c r="O115" s="134"/>
      <c r="P115" s="53"/>
      <c r="Q115" s="53"/>
    </row>
    <row r="116" spans="1:17" ht="15.6" x14ac:dyDescent="0.3">
      <c r="A116" s="53"/>
      <c r="B116" s="56">
        <f ca="1">+'N° de Obs.'!M43</f>
        <v>90</v>
      </c>
      <c r="C116" s="56">
        <f ca="1">+'N° de Obs.'!N43</f>
        <v>1458</v>
      </c>
      <c r="D116" s="56">
        <f ca="1">+'N° de Obs.'!O43</f>
        <v>1312.2</v>
      </c>
      <c r="E116" s="53"/>
      <c r="F116" s="53"/>
      <c r="G116" s="53"/>
      <c r="H116" s="53"/>
      <c r="I116" s="53"/>
      <c r="J116" s="53"/>
      <c r="K116" s="53"/>
      <c r="L116" s="53"/>
      <c r="M116" s="53"/>
      <c r="N116" s="134"/>
      <c r="O116" s="134"/>
      <c r="P116" s="53"/>
      <c r="Q116" s="53"/>
    </row>
    <row r="117" spans="1:17" ht="15.6" x14ac:dyDescent="0.3">
      <c r="A117" s="53"/>
      <c r="B117" s="56">
        <f ca="1">+'N° de Obs.'!M44</f>
        <v>105</v>
      </c>
      <c r="C117" s="56">
        <f ca="1">+'N° de Obs.'!N44</f>
        <v>1239</v>
      </c>
      <c r="D117" s="56">
        <f ca="1">+'N° de Obs.'!O44</f>
        <v>1300.95</v>
      </c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</row>
    <row r="118" spans="1:17" ht="15.6" x14ac:dyDescent="0.3">
      <c r="A118" s="53"/>
      <c r="B118" s="56">
        <f ca="1">+'N° de Obs.'!M45</f>
        <v>95</v>
      </c>
      <c r="C118" s="56">
        <f ca="1">+'N° de Obs.'!N45</f>
        <v>1386</v>
      </c>
      <c r="D118" s="56">
        <f ca="1">+'N° de Obs.'!O45</f>
        <v>1316.7</v>
      </c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</row>
    <row r="119" spans="1:17" ht="15.6" x14ac:dyDescent="0.3">
      <c r="A119" s="53"/>
      <c r="B119" s="56">
        <f ca="1">+'N° de Obs.'!M46</f>
        <v>105</v>
      </c>
      <c r="C119" s="56">
        <f ca="1">+'N° de Obs.'!N46</f>
        <v>1348</v>
      </c>
      <c r="D119" s="56">
        <f ca="1">+'N° de Obs.'!O46</f>
        <v>1415.4</v>
      </c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</row>
    <row r="120" spans="1:17" ht="15.6" x14ac:dyDescent="0.3">
      <c r="A120" s="53"/>
      <c r="B120" s="56">
        <f ca="1">+'N° de Obs.'!M47</f>
        <v>100</v>
      </c>
      <c r="C120" s="56">
        <f ca="1">+'N° de Obs.'!N47</f>
        <v>1290</v>
      </c>
      <c r="D120" s="56">
        <f ca="1">+'N° de Obs.'!O47</f>
        <v>1290</v>
      </c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</row>
    <row r="121" spans="1:17" ht="15.6" x14ac:dyDescent="0.3">
      <c r="A121" s="53"/>
      <c r="B121" s="56">
        <f ca="1">+'N° de Obs.'!M48</f>
        <v>85</v>
      </c>
      <c r="C121" s="56">
        <f ca="1">+'N° de Obs.'!N48</f>
        <v>1392</v>
      </c>
      <c r="D121" s="56">
        <f ca="1">+'N° de Obs.'!O48</f>
        <v>1183.2</v>
      </c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</row>
    <row r="122" spans="1:17" ht="15.6" x14ac:dyDescent="0.3">
      <c r="A122" s="53"/>
      <c r="B122" s="56">
        <f ca="1">+'N° de Obs.'!M49</f>
        <v>95</v>
      </c>
      <c r="C122" s="56">
        <f ca="1">+'N° de Obs.'!N49</f>
        <v>1337</v>
      </c>
      <c r="D122" s="56">
        <f ca="1">+'N° de Obs.'!O49</f>
        <v>1270.1500000000001</v>
      </c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</row>
    <row r="123" spans="1:17" ht="15.6" x14ac:dyDescent="0.3">
      <c r="A123" s="53"/>
      <c r="B123" s="56">
        <f ca="1">+'N° de Obs.'!M50</f>
        <v>105</v>
      </c>
      <c r="C123" s="56">
        <f ca="1">+'N° de Obs.'!N50</f>
        <v>1259</v>
      </c>
      <c r="D123" s="56">
        <f ca="1">+'N° de Obs.'!O50</f>
        <v>1321.95</v>
      </c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</row>
    <row r="124" spans="1:17" ht="15.6" x14ac:dyDescent="0.3">
      <c r="A124" s="53"/>
      <c r="B124" s="56">
        <f ca="1">+'N° de Obs.'!M51</f>
        <v>85</v>
      </c>
      <c r="C124" s="56">
        <f ca="1">+'N° de Obs.'!N51</f>
        <v>1449</v>
      </c>
      <c r="D124" s="56">
        <f ca="1">+'N° de Obs.'!O51</f>
        <v>1231.6500000000001</v>
      </c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</row>
    <row r="125" spans="1:17" ht="15.6" x14ac:dyDescent="0.3">
      <c r="A125" s="53"/>
      <c r="B125" s="56">
        <f ca="1">+'N° de Obs.'!M52</f>
        <v>105</v>
      </c>
      <c r="C125" s="56">
        <f ca="1">+'N° de Obs.'!N52</f>
        <v>1227</v>
      </c>
      <c r="D125" s="56">
        <f ca="1">+'N° de Obs.'!O52</f>
        <v>1288.3499999999999</v>
      </c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</row>
    <row r="126" spans="1:17" ht="15.6" x14ac:dyDescent="0.3">
      <c r="A126" s="53"/>
      <c r="B126" s="56">
        <f ca="1">+'N° de Obs.'!M53</f>
        <v>105</v>
      </c>
      <c r="C126" s="56">
        <f ca="1">+'N° de Obs.'!N53</f>
        <v>1339</v>
      </c>
      <c r="D126" s="56">
        <f ca="1">+'N° de Obs.'!O53</f>
        <v>1405.95</v>
      </c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</row>
    <row r="127" spans="1:17" ht="15.6" x14ac:dyDescent="0.3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</row>
    <row r="128" spans="1:17" ht="15.6" x14ac:dyDescent="0.3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</row>
    <row r="129" spans="1:18" ht="15.6" x14ac:dyDescent="0.3">
      <c r="A129" s="53"/>
      <c r="B129" s="53"/>
      <c r="C129" s="53"/>
      <c r="D129" s="56" t="s">
        <v>23</v>
      </c>
      <c r="E129" s="56">
        <f ca="1">COUNTA(C107:C126)</f>
        <v>20</v>
      </c>
      <c r="F129" s="53"/>
      <c r="G129" s="53"/>
      <c r="H129" s="56">
        <f ca="1">MIN(D107:D126)</f>
        <v>1175.4000000000001</v>
      </c>
      <c r="I129" s="59">
        <v>100</v>
      </c>
      <c r="J129" s="60" t="s">
        <v>8</v>
      </c>
      <c r="K129" s="53"/>
      <c r="L129" s="56" t="s">
        <v>133</v>
      </c>
      <c r="M129" s="56">
        <f ca="1">ROUND(MIN(D107:D126),0)</f>
        <v>1175</v>
      </c>
      <c r="N129" s="53"/>
      <c r="O129" s="53"/>
      <c r="P129" s="53"/>
      <c r="Q129" s="53"/>
    </row>
    <row r="130" spans="1:18" ht="15.6" x14ac:dyDescent="0.3">
      <c r="A130" s="53"/>
      <c r="B130" s="53"/>
      <c r="C130" s="53"/>
      <c r="D130" s="53"/>
      <c r="E130" s="53"/>
      <c r="F130" s="53"/>
      <c r="G130" s="53"/>
      <c r="H130" s="58">
        <f ca="1">(I130*H129)/I129</f>
        <v>58.77</v>
      </c>
      <c r="I130" s="75">
        <v>5</v>
      </c>
      <c r="J130" s="80" t="s">
        <v>8</v>
      </c>
      <c r="K130" s="53"/>
      <c r="L130" s="56" t="s">
        <v>134</v>
      </c>
      <c r="M130" s="56">
        <f ca="1">ROUND(MAX(D107:D126),0)</f>
        <v>1500</v>
      </c>
      <c r="N130" s="53"/>
      <c r="O130" s="53"/>
      <c r="P130" s="53"/>
      <c r="Q130" s="53"/>
    </row>
    <row r="131" spans="1:18" ht="15.6" x14ac:dyDescent="0.3">
      <c r="A131" s="53"/>
      <c r="B131" s="135" t="s">
        <v>24</v>
      </c>
      <c r="C131" s="135"/>
      <c r="D131" s="135"/>
      <c r="E131" s="56">
        <f ca="1">ROUND(SUM(D107:D126)/E129,0)</f>
        <v>1311</v>
      </c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</row>
    <row r="132" spans="1:18" ht="15.6" x14ac:dyDescent="0.3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</row>
    <row r="133" spans="1:18" ht="15.6" x14ac:dyDescent="0.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</row>
    <row r="134" spans="1:18" ht="15.6" x14ac:dyDescent="0.3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</row>
    <row r="135" spans="1:18" ht="15.6" x14ac:dyDescent="0.3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</row>
    <row r="136" spans="1:18" ht="15.6" x14ac:dyDescent="0.3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</row>
    <row r="137" spans="1:18" ht="15.6" x14ac:dyDescent="0.3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</row>
    <row r="138" spans="1:18" ht="15.6" x14ac:dyDescent="0.3">
      <c r="A138" s="44"/>
      <c r="B138" s="44"/>
      <c r="C138" s="44"/>
      <c r="D138" s="129" t="str">
        <f>+'N° de Obs.'!G64</f>
        <v>Elemento J</v>
      </c>
      <c r="E138" s="130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</row>
    <row r="139" spans="1:18" s="36" customFormat="1" ht="15.6" x14ac:dyDescent="0.3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</row>
    <row r="140" spans="1:18" ht="15.6" x14ac:dyDescent="0.3">
      <c r="A140" s="53"/>
      <c r="B140" s="69" t="s">
        <v>18</v>
      </c>
      <c r="C140" s="69" t="s">
        <v>19</v>
      </c>
      <c r="D140" s="69" t="s">
        <v>20</v>
      </c>
      <c r="E140" s="70" t="s">
        <v>123</v>
      </c>
      <c r="F140" s="70" t="s">
        <v>124</v>
      </c>
      <c r="G140" s="70" t="s">
        <v>125</v>
      </c>
      <c r="H140" s="70" t="s">
        <v>126</v>
      </c>
      <c r="I140" s="71" t="s">
        <v>87</v>
      </c>
      <c r="J140" s="71" t="s">
        <v>127</v>
      </c>
      <c r="K140" s="72">
        <f ca="1">ROUNDDOWN(H164,0)</f>
        <v>97</v>
      </c>
      <c r="L140" s="53"/>
      <c r="M140" s="53"/>
      <c r="N140" s="53"/>
      <c r="O140" s="53"/>
      <c r="P140" s="53"/>
      <c r="Q140" s="53"/>
      <c r="R140" s="36"/>
    </row>
    <row r="141" spans="1:18" ht="15.6" x14ac:dyDescent="0.3">
      <c r="A141" s="53"/>
      <c r="B141" s="56">
        <f ca="1">+'N° de Obs.'!D68</f>
        <v>95</v>
      </c>
      <c r="C141" s="56">
        <f ca="1">+'N° de Obs.'!E68</f>
        <v>2350</v>
      </c>
      <c r="D141" s="56">
        <f ca="1">+'N° de Obs.'!F68</f>
        <v>2232.5</v>
      </c>
      <c r="E141" s="56">
        <f ca="1">IF(I141="","",IFERROR(F141*G141,""))</f>
        <v>0</v>
      </c>
      <c r="F141" s="56">
        <f ca="1">IF(I141="","",IFERROR(G141*H141,""))</f>
        <v>0</v>
      </c>
      <c r="G141" s="56">
        <v>0</v>
      </c>
      <c r="H141" s="56">
        <f ca="1">IF(I141="","",COUNTIF($D$141:$D$160,"&lt;="&amp;$J142))</f>
        <v>2</v>
      </c>
      <c r="I141" s="56">
        <f ca="1">ROUND(H163,0)</f>
        <v>1941</v>
      </c>
      <c r="J141" s="75"/>
      <c r="K141" s="60" t="s">
        <v>142</v>
      </c>
      <c r="L141" s="53"/>
      <c r="M141" s="53"/>
      <c r="N141" s="56" t="s">
        <v>128</v>
      </c>
      <c r="O141" s="56">
        <f ca="1">F146/H146</f>
        <v>2.25</v>
      </c>
      <c r="P141" s="53"/>
      <c r="Q141" s="53"/>
      <c r="R141" s="36"/>
    </row>
    <row r="142" spans="1:18" ht="15.6" x14ac:dyDescent="0.3">
      <c r="A142" s="53"/>
      <c r="B142" s="56">
        <f ca="1">+'N° de Obs.'!D69</f>
        <v>95</v>
      </c>
      <c r="C142" s="56">
        <f ca="1">+'N° de Obs.'!E69</f>
        <v>2382</v>
      </c>
      <c r="D142" s="56">
        <f ca="1">+'N° de Obs.'!F69</f>
        <v>2262.9</v>
      </c>
      <c r="E142" s="56">
        <f t="shared" ref="E142:E145" ca="1" si="21">IF(I142="","",IFERROR(F142*G142,""))</f>
        <v>2</v>
      </c>
      <c r="F142" s="56">
        <f t="shared" ref="F142:F145" ca="1" si="22">IF(I142="","",IFERROR(G142*H142,""))</f>
        <v>2</v>
      </c>
      <c r="G142" s="56">
        <v>1</v>
      </c>
      <c r="H142" s="56">
        <f ca="1">IF(I142="","",COUNTIFS($D$141:$D$160,"&lt;="&amp;$J143,$D$141:$D$160,"&gt;"&amp;$J142))</f>
        <v>2</v>
      </c>
      <c r="I142" s="56">
        <f ca="1">IFERROR(IF($I141+$K$140&lt;=$M$164,$I141+$K$140,""),"")</f>
        <v>2038</v>
      </c>
      <c r="J142" s="76">
        <f ca="1">IF(I141="","",IFERROR(($I141+$I142)/2,MAX($D$141:$D$160)))</f>
        <v>1989.5</v>
      </c>
      <c r="K142" s="60" t="s">
        <v>142</v>
      </c>
      <c r="L142" s="53"/>
      <c r="M142" s="53"/>
      <c r="N142" s="56" t="s">
        <v>129</v>
      </c>
      <c r="O142" s="56">
        <f ca="1">E146/H146</f>
        <v>6.25</v>
      </c>
      <c r="P142" s="53"/>
      <c r="Q142" s="53"/>
      <c r="R142" s="36"/>
    </row>
    <row r="143" spans="1:18" ht="15.6" x14ac:dyDescent="0.3">
      <c r="A143" s="53"/>
      <c r="B143" s="56">
        <f ca="1">+'N° de Obs.'!D70</f>
        <v>100</v>
      </c>
      <c r="C143" s="56">
        <f ca="1">+'N° de Obs.'!E70</f>
        <v>2301</v>
      </c>
      <c r="D143" s="56">
        <f ca="1">+'N° de Obs.'!F70</f>
        <v>2301</v>
      </c>
      <c r="E143" s="56">
        <f t="shared" ca="1" si="21"/>
        <v>28</v>
      </c>
      <c r="F143" s="56">
        <f t="shared" ca="1" si="22"/>
        <v>14</v>
      </c>
      <c r="G143" s="56">
        <v>2</v>
      </c>
      <c r="H143" s="56">
        <f t="shared" ref="H143:H145" ca="1" si="23">IF(I143="","",COUNTIFS($D$141:$D$160,"&lt;="&amp;$J144,$D$141:$D$160,"&gt;"&amp;$J143))</f>
        <v>7</v>
      </c>
      <c r="I143" s="56">
        <f t="shared" ref="I143:I146" ca="1" si="24">IFERROR(IF($I142+$K$140&lt;=$M$164,$I142+$K$140,""),"")</f>
        <v>2135</v>
      </c>
      <c r="J143" s="76">
        <f t="shared" ref="J143:J146" ca="1" si="25">IF(I142="","",IFERROR(($I142+$I143)/2,MAX($D$141:$D$160)))</f>
        <v>2086.5</v>
      </c>
      <c r="K143" s="60" t="s">
        <v>139</v>
      </c>
      <c r="L143" s="53"/>
      <c r="M143" s="53"/>
      <c r="N143" s="53"/>
      <c r="O143" s="53"/>
      <c r="P143" s="53"/>
      <c r="Q143" s="53"/>
      <c r="R143" s="36"/>
    </row>
    <row r="144" spans="1:18" ht="15.6" x14ac:dyDescent="0.3">
      <c r="A144" s="53"/>
      <c r="B144" s="56">
        <f ca="1">+'N° de Obs.'!D71</f>
        <v>100</v>
      </c>
      <c r="C144" s="56">
        <f ca="1">+'N° de Obs.'!E71</f>
        <v>2257</v>
      </c>
      <c r="D144" s="56">
        <f ca="1">+'N° de Obs.'!F71</f>
        <v>2257</v>
      </c>
      <c r="E144" s="56">
        <f t="shared" ca="1" si="21"/>
        <v>63</v>
      </c>
      <c r="F144" s="56">
        <f t="shared" ca="1" si="22"/>
        <v>21</v>
      </c>
      <c r="G144" s="56">
        <v>3</v>
      </c>
      <c r="H144" s="56">
        <f t="shared" ca="1" si="23"/>
        <v>7</v>
      </c>
      <c r="I144" s="56">
        <f t="shared" ca="1" si="24"/>
        <v>2232</v>
      </c>
      <c r="J144" s="76">
        <f t="shared" ca="1" si="25"/>
        <v>2183.5</v>
      </c>
      <c r="K144" s="60" t="s">
        <v>139</v>
      </c>
      <c r="L144" s="53"/>
      <c r="M144" s="53"/>
      <c r="N144" s="56" t="s">
        <v>130</v>
      </c>
      <c r="O144" s="56">
        <f ca="1">H163+(K140*O141)</f>
        <v>2159.65</v>
      </c>
      <c r="P144" s="53"/>
      <c r="Q144" s="53"/>
      <c r="R144" s="36"/>
    </row>
    <row r="145" spans="1:18" ht="16.2" thickBot="1" x14ac:dyDescent="0.35">
      <c r="A145" s="53"/>
      <c r="B145" s="56">
        <f ca="1">+'N° de Obs.'!D72</f>
        <v>95</v>
      </c>
      <c r="C145" s="56">
        <f ca="1">+'N° de Obs.'!E72</f>
        <v>2254</v>
      </c>
      <c r="D145" s="56">
        <f ca="1">+'N° de Obs.'!F72</f>
        <v>2141.3000000000002</v>
      </c>
      <c r="E145" s="56">
        <f t="shared" ca="1" si="21"/>
        <v>32</v>
      </c>
      <c r="F145" s="56">
        <f t="shared" ca="1" si="22"/>
        <v>8</v>
      </c>
      <c r="G145" s="56">
        <v>4</v>
      </c>
      <c r="H145" s="56">
        <f t="shared" ca="1" si="23"/>
        <v>2</v>
      </c>
      <c r="I145" s="56">
        <f t="shared" ca="1" si="24"/>
        <v>2329</v>
      </c>
      <c r="J145" s="76">
        <f t="shared" ca="1" si="25"/>
        <v>2280.5</v>
      </c>
      <c r="K145" s="60" t="s">
        <v>142</v>
      </c>
      <c r="L145" s="53"/>
      <c r="M145" s="53"/>
      <c r="N145" s="56" t="s">
        <v>131</v>
      </c>
      <c r="O145" s="77">
        <f ca="1">K140*(SQRT(O142-POWER(O141,2)))</f>
        <v>105.70329938086134</v>
      </c>
      <c r="P145" s="53"/>
      <c r="Q145" s="53"/>
      <c r="R145" s="36"/>
    </row>
    <row r="146" spans="1:18" ht="16.2" thickBot="1" x14ac:dyDescent="0.35">
      <c r="A146" s="53"/>
      <c r="B146" s="56">
        <f ca="1">+'N° de Obs.'!D73</f>
        <v>95</v>
      </c>
      <c r="C146" s="56">
        <f ca="1">+'N° de Obs.'!E73</f>
        <v>2328</v>
      </c>
      <c r="D146" s="56">
        <f ca="1">+'N° de Obs.'!F73</f>
        <v>2211.6</v>
      </c>
      <c r="E146" s="73">
        <f ca="1">SUM(E141:E153)</f>
        <v>125</v>
      </c>
      <c r="F146" s="74">
        <f ca="1">SUM(F141:F153)</f>
        <v>45</v>
      </c>
      <c r="G146" s="53"/>
      <c r="H146" s="74">
        <f ca="1">SUM(H141:H153)</f>
        <v>20</v>
      </c>
      <c r="I146" s="78" t="str">
        <f t="shared" ca="1" si="24"/>
        <v/>
      </c>
      <c r="J146" s="79">
        <f t="shared" ca="1" si="25"/>
        <v>2354</v>
      </c>
      <c r="K146" s="53"/>
      <c r="L146" s="53"/>
      <c r="M146" s="53"/>
      <c r="N146" s="53"/>
      <c r="O146" s="53"/>
      <c r="P146" s="53"/>
      <c r="Q146" s="53"/>
      <c r="R146" s="36"/>
    </row>
    <row r="147" spans="1:18" ht="15.6" x14ac:dyDescent="0.3">
      <c r="A147" s="53"/>
      <c r="B147" s="56">
        <f ca="1">+'N° de Obs.'!D74</f>
        <v>100</v>
      </c>
      <c r="C147" s="56">
        <f ca="1">+'N° de Obs.'!E74</f>
        <v>2354</v>
      </c>
      <c r="D147" s="56">
        <f ca="1">+'N° de Obs.'!F74</f>
        <v>2354</v>
      </c>
      <c r="E147" s="53"/>
      <c r="F147" s="53"/>
      <c r="G147" s="53"/>
      <c r="H147" s="53"/>
      <c r="I147" s="53"/>
      <c r="J147" s="53"/>
      <c r="K147" s="53"/>
      <c r="L147" s="53"/>
      <c r="M147" s="53"/>
      <c r="N147" s="56" t="s">
        <v>132</v>
      </c>
      <c r="O147" s="56">
        <f ca="1">(O145*100)/O144</f>
        <v>4.8944643521339719</v>
      </c>
      <c r="P147" s="56" t="s">
        <v>8</v>
      </c>
      <c r="Q147" s="53"/>
      <c r="R147" s="36"/>
    </row>
    <row r="148" spans="1:18" ht="15.6" x14ac:dyDescent="0.3">
      <c r="A148" s="53"/>
      <c r="B148" s="56">
        <f ca="1">+'N° de Obs.'!D75</f>
        <v>85</v>
      </c>
      <c r="C148" s="56">
        <f ca="1">+'N° de Obs.'!E75</f>
        <v>2372</v>
      </c>
      <c r="D148" s="56">
        <f ca="1">+'N° de Obs.'!F75</f>
        <v>2016.2</v>
      </c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36"/>
    </row>
    <row r="149" spans="1:18" ht="15.6" x14ac:dyDescent="0.3">
      <c r="A149" s="53"/>
      <c r="B149" s="56">
        <f ca="1">+'N° de Obs.'!D76</f>
        <v>90</v>
      </c>
      <c r="C149" s="56">
        <f ca="1">+'N° de Obs.'!E76</f>
        <v>2310</v>
      </c>
      <c r="D149" s="56">
        <f ca="1">+'N° de Obs.'!F76</f>
        <v>2079</v>
      </c>
      <c r="E149" s="53"/>
      <c r="F149" s="53"/>
      <c r="G149" s="53"/>
      <c r="H149" s="53"/>
      <c r="I149" s="53"/>
      <c r="J149" s="53"/>
      <c r="K149" s="53"/>
      <c r="L149" s="53"/>
      <c r="M149" s="53"/>
      <c r="N149" s="134" t="str">
        <f ca="1">IF(O147&lt;6,"Se puede continuar con el estudio","No se puede continuar con el estudio")</f>
        <v>Se puede continuar con el estudio</v>
      </c>
      <c r="O149" s="134"/>
      <c r="P149" s="53"/>
      <c r="Q149" s="53"/>
      <c r="R149" s="36"/>
    </row>
    <row r="150" spans="1:18" ht="15.6" x14ac:dyDescent="0.3">
      <c r="A150" s="53"/>
      <c r="B150" s="56">
        <f ca="1">+'N° de Obs.'!D77</f>
        <v>95</v>
      </c>
      <c r="C150" s="56">
        <f ca="1">+'N° de Obs.'!E77</f>
        <v>2263</v>
      </c>
      <c r="D150" s="56">
        <f ca="1">+'N° de Obs.'!F77</f>
        <v>2149.85</v>
      </c>
      <c r="E150" s="53"/>
      <c r="F150" s="53"/>
      <c r="G150" s="53"/>
      <c r="H150" s="53"/>
      <c r="I150" s="53"/>
      <c r="J150" s="53"/>
      <c r="K150" s="53"/>
      <c r="L150" s="53"/>
      <c r="M150" s="53"/>
      <c r="N150" s="134"/>
      <c r="O150" s="134"/>
      <c r="P150" s="53"/>
      <c r="Q150" s="53"/>
      <c r="R150" s="36"/>
    </row>
    <row r="151" spans="1:18" ht="15.6" x14ac:dyDescent="0.3">
      <c r="A151" s="53"/>
      <c r="B151" s="56">
        <f ca="1">+'N° de Obs.'!D78</f>
        <v>90</v>
      </c>
      <c r="C151" s="56">
        <f ca="1">+'N° de Obs.'!E78</f>
        <v>2368</v>
      </c>
      <c r="D151" s="56">
        <f ca="1">+'N° de Obs.'!F78</f>
        <v>2131.1999999999998</v>
      </c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36"/>
    </row>
    <row r="152" spans="1:18" ht="15.6" x14ac:dyDescent="0.3">
      <c r="A152" s="53"/>
      <c r="B152" s="56">
        <f ca="1">+'N° de Obs.'!D79</f>
        <v>100</v>
      </c>
      <c r="C152" s="56">
        <f ca="1">+'N° de Obs.'!E79</f>
        <v>2248</v>
      </c>
      <c r="D152" s="56">
        <f ca="1">+'N° de Obs.'!F79</f>
        <v>2248</v>
      </c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36"/>
    </row>
    <row r="153" spans="1:18" ht="15.6" x14ac:dyDescent="0.3">
      <c r="A153" s="53"/>
      <c r="B153" s="56">
        <f ca="1">+'N° de Obs.'!D80</f>
        <v>85</v>
      </c>
      <c r="C153" s="56">
        <f ca="1">+'N° de Obs.'!E80</f>
        <v>2284</v>
      </c>
      <c r="D153" s="56">
        <f ca="1">+'N° de Obs.'!F80</f>
        <v>1941.4</v>
      </c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36"/>
    </row>
    <row r="154" spans="1:18" ht="15.6" x14ac:dyDescent="0.3">
      <c r="A154" s="53"/>
      <c r="B154" s="56">
        <f ca="1">+'N° de Obs.'!D81</f>
        <v>85</v>
      </c>
      <c r="C154" s="56">
        <f ca="1">+'N° de Obs.'!E81</f>
        <v>2329</v>
      </c>
      <c r="D154" s="56">
        <f ca="1">+'N° de Obs.'!F81</f>
        <v>1979.65</v>
      </c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36"/>
    </row>
    <row r="155" spans="1:18" ht="15.6" x14ac:dyDescent="0.3">
      <c r="A155" s="53"/>
      <c r="B155" s="56">
        <f ca="1">+'N° de Obs.'!D82</f>
        <v>100</v>
      </c>
      <c r="C155" s="56">
        <f ca="1">+'N° de Obs.'!E82</f>
        <v>2209</v>
      </c>
      <c r="D155" s="56">
        <f ca="1">+'N° de Obs.'!F82</f>
        <v>2209</v>
      </c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36"/>
    </row>
    <row r="156" spans="1:18" ht="15.6" x14ac:dyDescent="0.3">
      <c r="A156" s="53"/>
      <c r="B156" s="56">
        <f ca="1">+'N° de Obs.'!D83</f>
        <v>95</v>
      </c>
      <c r="C156" s="56">
        <f ca="1">+'N° de Obs.'!E83</f>
        <v>2251</v>
      </c>
      <c r="D156" s="56">
        <f ca="1">+'N° de Obs.'!F83</f>
        <v>2138.4499999999998</v>
      </c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36"/>
    </row>
    <row r="157" spans="1:18" ht="15.6" x14ac:dyDescent="0.3">
      <c r="A157" s="53"/>
      <c r="B157" s="56">
        <f ca="1">+'N° de Obs.'!D84</f>
        <v>90</v>
      </c>
      <c r="C157" s="56">
        <f ca="1">+'N° de Obs.'!E84</f>
        <v>2352</v>
      </c>
      <c r="D157" s="56">
        <f ca="1">+'N° de Obs.'!F84</f>
        <v>2116.8000000000002</v>
      </c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36"/>
    </row>
    <row r="158" spans="1:18" ht="15.6" x14ac:dyDescent="0.3">
      <c r="A158" s="53"/>
      <c r="B158" s="56">
        <f ca="1">+'N° de Obs.'!D85</f>
        <v>95</v>
      </c>
      <c r="C158" s="56">
        <f ca="1">+'N° de Obs.'!E85</f>
        <v>2268</v>
      </c>
      <c r="D158" s="56">
        <f ca="1">+'N° de Obs.'!F85</f>
        <v>2154.6</v>
      </c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36"/>
    </row>
    <row r="159" spans="1:18" ht="15.6" x14ac:dyDescent="0.3">
      <c r="A159" s="53"/>
      <c r="B159" s="56">
        <f ca="1">+'N° de Obs.'!D86</f>
        <v>90</v>
      </c>
      <c r="C159" s="56">
        <f ca="1">+'N° de Obs.'!E86</f>
        <v>2336</v>
      </c>
      <c r="D159" s="56">
        <f ca="1">+'N° de Obs.'!F86</f>
        <v>2102.4</v>
      </c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36"/>
    </row>
    <row r="160" spans="1:18" ht="15.6" x14ac:dyDescent="0.3">
      <c r="A160" s="53"/>
      <c r="B160" s="56">
        <f ca="1">+'N° de Obs.'!D87</f>
        <v>95</v>
      </c>
      <c r="C160" s="56">
        <f ca="1">+'N° de Obs.'!E87</f>
        <v>2307</v>
      </c>
      <c r="D160" s="56">
        <f ca="1">+'N° de Obs.'!F87</f>
        <v>2191.65</v>
      </c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36"/>
    </row>
    <row r="161" spans="1:18" ht="15.6" x14ac:dyDescent="0.3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36"/>
    </row>
    <row r="162" spans="1:18" ht="15.6" x14ac:dyDescent="0.3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36"/>
    </row>
    <row r="163" spans="1:18" ht="15.6" x14ac:dyDescent="0.3">
      <c r="A163" s="53"/>
      <c r="B163" s="53"/>
      <c r="C163" s="53"/>
      <c r="D163" s="56" t="s">
        <v>23</v>
      </c>
      <c r="E163" s="56">
        <f ca="1">COUNTA(C141:C160)</f>
        <v>20</v>
      </c>
      <c r="F163" s="53"/>
      <c r="G163" s="53"/>
      <c r="H163" s="56">
        <f ca="1">MIN(D141:D160)</f>
        <v>1941.4</v>
      </c>
      <c r="I163" s="59">
        <v>100</v>
      </c>
      <c r="J163" s="60" t="s">
        <v>8</v>
      </c>
      <c r="K163" s="53"/>
      <c r="L163" s="56" t="s">
        <v>133</v>
      </c>
      <c r="M163" s="56">
        <f ca="1">ROUND(MIN(D141:D160),0)</f>
        <v>1941</v>
      </c>
      <c r="N163" s="53"/>
      <c r="O163" s="53"/>
      <c r="P163" s="53"/>
      <c r="Q163" s="53"/>
      <c r="R163" s="36"/>
    </row>
    <row r="164" spans="1:18" ht="15.6" x14ac:dyDescent="0.3">
      <c r="A164" s="53"/>
      <c r="B164" s="53"/>
      <c r="C164" s="53"/>
      <c r="D164" s="53"/>
      <c r="E164" s="53"/>
      <c r="F164" s="53"/>
      <c r="G164" s="53"/>
      <c r="H164" s="58">
        <f ca="1">(I164*H163)/I163</f>
        <v>97.07</v>
      </c>
      <c r="I164" s="75">
        <v>5</v>
      </c>
      <c r="J164" s="80" t="s">
        <v>8</v>
      </c>
      <c r="K164" s="53"/>
      <c r="L164" s="56" t="s">
        <v>134</v>
      </c>
      <c r="M164" s="56">
        <f ca="1">ROUND(MAX(D141:D160),0)</f>
        <v>2354</v>
      </c>
      <c r="N164" s="53"/>
      <c r="O164" s="53"/>
      <c r="P164" s="53"/>
      <c r="Q164" s="53"/>
      <c r="R164" s="36"/>
    </row>
    <row r="165" spans="1:18" ht="15.6" x14ac:dyDescent="0.3">
      <c r="A165" s="53"/>
      <c r="B165" s="135" t="s">
        <v>24</v>
      </c>
      <c r="C165" s="135"/>
      <c r="D165" s="135"/>
      <c r="E165" s="56">
        <f ca="1">ROUND(SUM(D141:D160)/E163,0)</f>
        <v>2161</v>
      </c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36"/>
    </row>
    <row r="166" spans="1:18" ht="15.6" x14ac:dyDescent="0.3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36"/>
    </row>
    <row r="167" spans="1:18" ht="15.6" x14ac:dyDescent="0.3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36"/>
    </row>
    <row r="168" spans="1:18" ht="15.6" x14ac:dyDescent="0.3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36"/>
    </row>
    <row r="169" spans="1:18" ht="15.6" x14ac:dyDescent="0.3">
      <c r="A169" s="44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36"/>
    </row>
    <row r="170" spans="1:18" ht="15.6" x14ac:dyDescent="0.3">
      <c r="A170" s="44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36"/>
    </row>
    <row r="171" spans="1:18" ht="15.6" x14ac:dyDescent="0.3">
      <c r="A171" s="44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36"/>
    </row>
    <row r="172" spans="1:18" ht="15.6" x14ac:dyDescent="0.3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</row>
    <row r="173" spans="1:18" ht="15.6" x14ac:dyDescent="0.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</row>
    <row r="174" spans="1:18" ht="15.6" x14ac:dyDescent="0.3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</row>
    <row r="175" spans="1:18" ht="15.6" x14ac:dyDescent="0.3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</row>
    <row r="176" spans="1:18" ht="15.6" x14ac:dyDescent="0.3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</row>
    <row r="177" spans="1:17" ht="15.6" x14ac:dyDescent="0.3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</row>
    <row r="178" spans="1:17" ht="15.6" x14ac:dyDescent="0.3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</row>
    <row r="179" spans="1:17" ht="15.6" x14ac:dyDescent="0.3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</row>
    <row r="180" spans="1:17" ht="15.6" x14ac:dyDescent="0.3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</row>
    <row r="181" spans="1:17" ht="15.6" x14ac:dyDescent="0.3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</row>
    <row r="182" spans="1:17" ht="15.6" x14ac:dyDescent="0.3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</row>
    <row r="183" spans="1:17" ht="15.6" x14ac:dyDescent="0.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</row>
    <row r="184" spans="1:17" ht="15.6" x14ac:dyDescent="0.3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</row>
    <row r="185" spans="1:17" ht="15.6" x14ac:dyDescent="0.3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</row>
    <row r="186" spans="1:17" ht="15.6" x14ac:dyDescent="0.3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</row>
    <row r="187" spans="1:17" ht="15.6" x14ac:dyDescent="0.3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</row>
    <row r="188" spans="1:17" ht="15.6" x14ac:dyDescent="0.3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</row>
    <row r="189" spans="1:17" ht="15.6" x14ac:dyDescent="0.3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</row>
    <row r="190" spans="1:17" ht="15.6" x14ac:dyDescent="0.3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</row>
    <row r="191" spans="1:17" ht="15.6" x14ac:dyDescent="0.3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</row>
    <row r="192" spans="1:17" ht="15.6" x14ac:dyDescent="0.3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</row>
    <row r="193" spans="1:17" ht="15.6" x14ac:dyDescent="0.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</row>
    <row r="194" spans="1:17" ht="15.6" x14ac:dyDescent="0.3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</row>
    <row r="195" spans="1:17" ht="15.6" x14ac:dyDescent="0.3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</row>
    <row r="196" spans="1:17" ht="15.6" x14ac:dyDescent="0.3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</row>
    <row r="197" spans="1:17" ht="15.6" x14ac:dyDescent="0.3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</row>
    <row r="198" spans="1:17" ht="15.6" x14ac:dyDescent="0.3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</row>
    <row r="199" spans="1:17" ht="15.6" x14ac:dyDescent="0.3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</row>
    <row r="200" spans="1:17" ht="15.6" x14ac:dyDescent="0.3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</row>
    <row r="201" spans="1:17" ht="15.6" x14ac:dyDescent="0.3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</row>
    <row r="202" spans="1:17" ht="15.6" x14ac:dyDescent="0.3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</row>
    <row r="203" spans="1:17" ht="15.6" x14ac:dyDescent="0.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</row>
    <row r="204" spans="1:17" ht="15.6" x14ac:dyDescent="0.3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</row>
    <row r="205" spans="1:17" ht="15.6" x14ac:dyDescent="0.3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</row>
    <row r="206" spans="1:17" ht="15.6" x14ac:dyDescent="0.3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</row>
    <row r="207" spans="1:17" ht="15.6" x14ac:dyDescent="0.3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</row>
    <row r="208" spans="1:17" ht="15.6" x14ac:dyDescent="0.3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</row>
    <row r="209" spans="1:17" ht="15.6" x14ac:dyDescent="0.3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</row>
    <row r="210" spans="1:17" ht="15.6" x14ac:dyDescent="0.3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</row>
    <row r="211" spans="1:17" ht="15.6" x14ac:dyDescent="0.3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</row>
    <row r="212" spans="1:17" ht="15.6" x14ac:dyDescent="0.3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</row>
    <row r="213" spans="1:17" ht="15.6" x14ac:dyDescent="0.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</row>
    <row r="214" spans="1:17" ht="15.6" x14ac:dyDescent="0.3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</row>
    <row r="215" spans="1:17" ht="15.6" x14ac:dyDescent="0.3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</row>
    <row r="216" spans="1:17" ht="15.6" x14ac:dyDescent="0.3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</row>
    <row r="217" spans="1:17" ht="15.6" x14ac:dyDescent="0.3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</row>
    <row r="218" spans="1:17" ht="15.6" x14ac:dyDescent="0.3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</row>
    <row r="219" spans="1:17" ht="15.6" x14ac:dyDescent="0.3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</row>
    <row r="220" spans="1:17" ht="15.6" x14ac:dyDescent="0.3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</row>
    <row r="221" spans="1:17" ht="15.6" x14ac:dyDescent="0.3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</row>
    <row r="222" spans="1:17" ht="15.6" x14ac:dyDescent="0.3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</row>
    <row r="223" spans="1:17" ht="15.6" x14ac:dyDescent="0.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</row>
    <row r="224" spans="1:17" ht="15.6" x14ac:dyDescent="0.3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</row>
    <row r="225" spans="1:17" ht="15.6" x14ac:dyDescent="0.3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</row>
    <row r="226" spans="1:17" ht="15.6" x14ac:dyDescent="0.3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</row>
    <row r="227" spans="1:17" ht="15.6" x14ac:dyDescent="0.3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</row>
    <row r="228" spans="1:17" ht="15.6" x14ac:dyDescent="0.3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</row>
  </sheetData>
  <mergeCells count="15">
    <mergeCell ref="D2:E2"/>
    <mergeCell ref="N13:O14"/>
    <mergeCell ref="B29:D29"/>
    <mergeCell ref="D36:E36"/>
    <mergeCell ref="N47:O48"/>
    <mergeCell ref="B63:D63"/>
    <mergeCell ref="D70:E70"/>
    <mergeCell ref="B97:D97"/>
    <mergeCell ref="N81:O82"/>
    <mergeCell ref="D104:E104"/>
    <mergeCell ref="N115:O116"/>
    <mergeCell ref="B131:D131"/>
    <mergeCell ref="D138:E138"/>
    <mergeCell ref="B165:D165"/>
    <mergeCell ref="N149:O1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3"/>
  <sheetViews>
    <sheetView showGridLines="0" zoomScaleNormal="100" workbookViewId="0">
      <selection activeCell="S20" sqref="S20"/>
    </sheetView>
  </sheetViews>
  <sheetFormatPr baseColWidth="10" defaultRowHeight="14.4" x14ac:dyDescent="0.3"/>
  <cols>
    <col min="4" max="4" width="16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93" t="s">
        <v>28</v>
      </c>
      <c r="E7" s="94" t="s">
        <v>30</v>
      </c>
      <c r="F7" s="95" t="s">
        <v>145</v>
      </c>
      <c r="G7" s="95" t="s">
        <v>31</v>
      </c>
      <c r="H7" s="95" t="s">
        <v>109</v>
      </c>
      <c r="I7" s="95" t="s">
        <v>146</v>
      </c>
      <c r="J7" s="95" t="s">
        <v>29</v>
      </c>
      <c r="K7" s="95" t="s">
        <v>147</v>
      </c>
      <c r="L7" s="95" t="s">
        <v>148</v>
      </c>
      <c r="M7" s="95" t="s">
        <v>149</v>
      </c>
      <c r="N7" s="95" t="s">
        <v>150</v>
      </c>
      <c r="O7" s="95" t="s">
        <v>151</v>
      </c>
      <c r="P7" s="95" t="s">
        <v>87</v>
      </c>
      <c r="Q7" s="93" t="s">
        <v>32</v>
      </c>
      <c r="R7" s="93" t="s">
        <v>33</v>
      </c>
    </row>
    <row r="8" spans="4:18" ht="30" customHeight="1" x14ac:dyDescent="0.3">
      <c r="D8" s="91" t="str">
        <f>+'Elementos de la operación'!D3</f>
        <v>Doblar Pantalon</v>
      </c>
      <c r="E8" s="84">
        <v>0.05</v>
      </c>
      <c r="F8" s="81">
        <v>0.05</v>
      </c>
      <c r="G8" s="81">
        <v>0.02</v>
      </c>
      <c r="H8" s="81">
        <v>0.02</v>
      </c>
      <c r="I8" s="81">
        <v>0</v>
      </c>
      <c r="J8" s="81">
        <v>0.02</v>
      </c>
      <c r="K8" s="81">
        <v>0</v>
      </c>
      <c r="L8" s="81">
        <v>0</v>
      </c>
      <c r="M8" s="81">
        <v>0</v>
      </c>
      <c r="N8" s="81">
        <v>0</v>
      </c>
      <c r="O8" s="81">
        <v>0.02</v>
      </c>
      <c r="P8" s="81">
        <v>0.02</v>
      </c>
      <c r="Q8" s="87">
        <f>(SUM(E8:P8))</f>
        <v>0.19999999999999998</v>
      </c>
      <c r="R8" s="89">
        <f>Q8+1</f>
        <v>1.2</v>
      </c>
    </row>
    <row r="9" spans="4:18" ht="30" customHeight="1" x14ac:dyDescent="0.3">
      <c r="D9" s="91" t="str">
        <f>+'Elementos de la operación'!D4</f>
        <v>Doblar Chaqueta</v>
      </c>
      <c r="E9" s="85">
        <v>0.05</v>
      </c>
      <c r="F9" s="82">
        <v>0.05</v>
      </c>
      <c r="G9" s="82">
        <v>0.02</v>
      </c>
      <c r="H9" s="82">
        <v>0.02</v>
      </c>
      <c r="I9" s="82">
        <v>0</v>
      </c>
      <c r="J9" s="82">
        <v>0.02</v>
      </c>
      <c r="K9" s="82">
        <v>0</v>
      </c>
      <c r="L9" s="82">
        <v>0</v>
      </c>
      <c r="M9" s="82">
        <v>0</v>
      </c>
      <c r="N9" s="82">
        <v>0</v>
      </c>
      <c r="O9" s="82">
        <v>0.02</v>
      </c>
      <c r="P9" s="82">
        <v>0.02</v>
      </c>
      <c r="Q9" s="87">
        <f t="shared" ref="Q9:Q11" si="0">(SUM(E9:P9))</f>
        <v>0.19999999999999998</v>
      </c>
      <c r="R9" s="89">
        <f t="shared" ref="R9:R12" si="1">Q9+1</f>
        <v>1.2</v>
      </c>
    </row>
    <row r="10" spans="4:18" ht="30" customHeight="1" x14ac:dyDescent="0.3">
      <c r="D10" s="91" t="str">
        <f>+'Elementos de la operación'!D5</f>
        <v>Embolsado de Chaqueta</v>
      </c>
      <c r="E10" s="85">
        <v>0.05</v>
      </c>
      <c r="F10" s="82">
        <v>0.05</v>
      </c>
      <c r="G10" s="82">
        <v>0.02</v>
      </c>
      <c r="H10" s="82">
        <v>0.02</v>
      </c>
      <c r="I10" s="82">
        <v>0</v>
      </c>
      <c r="J10" s="82">
        <v>0.02</v>
      </c>
      <c r="K10" s="82">
        <v>0</v>
      </c>
      <c r="L10" s="82">
        <v>0</v>
      </c>
      <c r="M10" s="82">
        <v>0</v>
      </c>
      <c r="N10" s="82">
        <v>0</v>
      </c>
      <c r="O10" s="82">
        <v>0.02</v>
      </c>
      <c r="P10" s="82">
        <v>0.02</v>
      </c>
      <c r="Q10" s="87">
        <f t="shared" si="0"/>
        <v>0.19999999999999998</v>
      </c>
      <c r="R10" s="89">
        <f t="shared" si="1"/>
        <v>1.2</v>
      </c>
    </row>
    <row r="11" spans="4:18" ht="30" customHeight="1" x14ac:dyDescent="0.3">
      <c r="D11" s="91" t="str">
        <f>+'Elementos de la operación'!D6</f>
        <v>Embolsado de Pantalon</v>
      </c>
      <c r="E11" s="85">
        <v>0.05</v>
      </c>
      <c r="F11" s="82">
        <v>0.05</v>
      </c>
      <c r="G11" s="82">
        <v>0.02</v>
      </c>
      <c r="H11" s="82">
        <v>0.02</v>
      </c>
      <c r="I11" s="82">
        <v>0</v>
      </c>
      <c r="J11" s="82">
        <v>0.02</v>
      </c>
      <c r="K11" s="82">
        <v>0</v>
      </c>
      <c r="L11" s="82">
        <v>0</v>
      </c>
      <c r="M11" s="82">
        <v>0</v>
      </c>
      <c r="N11" s="82">
        <v>0</v>
      </c>
      <c r="O11" s="82">
        <v>0.02</v>
      </c>
      <c r="P11" s="82">
        <v>0.02</v>
      </c>
      <c r="Q11" s="87">
        <f t="shared" si="0"/>
        <v>0.19999999999999998</v>
      </c>
      <c r="R11" s="89">
        <f t="shared" si="1"/>
        <v>1.2</v>
      </c>
    </row>
    <row r="12" spans="4:18" ht="30" customHeight="1" x14ac:dyDescent="0.3">
      <c r="D12" s="92" t="str">
        <f>+'Elementos de la operación'!D7</f>
        <v>Colocar Pijama embolsada en caja</v>
      </c>
      <c r="E12" s="86">
        <v>0.05</v>
      </c>
      <c r="F12" s="83">
        <v>0.05</v>
      </c>
      <c r="G12" s="83">
        <v>0.02</v>
      </c>
      <c r="H12" s="83">
        <v>0.02</v>
      </c>
      <c r="I12" s="83">
        <v>0</v>
      </c>
      <c r="J12" s="83">
        <v>0.02</v>
      </c>
      <c r="K12" s="83">
        <v>0</v>
      </c>
      <c r="L12" s="83">
        <v>0</v>
      </c>
      <c r="M12" s="83">
        <v>0</v>
      </c>
      <c r="N12" s="83">
        <v>0</v>
      </c>
      <c r="O12" s="83">
        <v>0.02</v>
      </c>
      <c r="P12" s="83">
        <v>0.02</v>
      </c>
      <c r="Q12" s="88">
        <f t="shared" ref="Q12" si="2">(SUM(E12:P12))</f>
        <v>0.19999999999999998</v>
      </c>
      <c r="R12" s="90">
        <f t="shared" si="1"/>
        <v>1.2</v>
      </c>
    </row>
    <row r="13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M71"/>
  <sheetViews>
    <sheetView tabSelected="1" topLeftCell="A27" workbookViewId="0">
      <selection activeCell="K43" sqref="K43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16.77734375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3" ht="15.6" x14ac:dyDescent="0.3">
      <c r="D2" s="27"/>
      <c r="E2" s="28"/>
      <c r="F2" s="27"/>
      <c r="G2" s="27"/>
    </row>
    <row r="3" spans="1:13" ht="15.6" x14ac:dyDescent="0.3">
      <c r="D3" s="27"/>
      <c r="E3" s="28"/>
      <c r="F3" s="27"/>
      <c r="G3" s="27"/>
    </row>
    <row r="4" spans="1:13" ht="15.6" customHeight="1" x14ac:dyDescent="0.3">
      <c r="B4" s="26" t="s">
        <v>100</v>
      </c>
      <c r="D4" s="27"/>
      <c r="E4" t="s">
        <v>102</v>
      </c>
      <c r="F4" s="27"/>
      <c r="G4" s="111" t="s">
        <v>103</v>
      </c>
      <c r="H4" s="111"/>
      <c r="I4" s="111"/>
    </row>
    <row r="5" spans="1:13" ht="15.6" x14ac:dyDescent="0.3">
      <c r="B5" t="str">
        <f>+'Elementos de la operación'!B3</f>
        <v>Doblado y Embolsado</v>
      </c>
      <c r="D5" s="27"/>
      <c r="E5" t="s">
        <v>104</v>
      </c>
      <c r="F5" s="27"/>
      <c r="G5" s="27"/>
    </row>
    <row r="6" spans="1:13" ht="15.6" x14ac:dyDescent="0.3">
      <c r="A6" s="53"/>
      <c r="B6" s="53"/>
      <c r="C6" s="53"/>
      <c r="D6" s="63"/>
      <c r="E6" s="63"/>
      <c r="F6" s="63"/>
      <c r="G6" s="63"/>
      <c r="H6" s="53"/>
      <c r="I6" s="53"/>
      <c r="J6" s="53"/>
      <c r="K6" s="53"/>
      <c r="L6" s="53"/>
      <c r="M6" s="53"/>
    </row>
    <row r="7" spans="1:13" ht="15.6" x14ac:dyDescent="0.3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13" ht="15.6" x14ac:dyDescent="0.3">
      <c r="A8" s="53"/>
      <c r="B8" s="151" t="s">
        <v>28</v>
      </c>
      <c r="C8" s="142" t="s">
        <v>40</v>
      </c>
      <c r="D8" s="142" t="s">
        <v>105</v>
      </c>
      <c r="E8" s="144" t="s">
        <v>33</v>
      </c>
      <c r="F8" s="142" t="s">
        <v>34</v>
      </c>
      <c r="G8" s="95" t="s">
        <v>35</v>
      </c>
      <c r="H8" s="93" t="s">
        <v>36</v>
      </c>
      <c r="I8" s="95" t="s">
        <v>37</v>
      </c>
      <c r="J8" s="142" t="s">
        <v>38</v>
      </c>
      <c r="K8" s="142" t="s">
        <v>39</v>
      </c>
      <c r="L8" s="149" t="s">
        <v>42</v>
      </c>
      <c r="M8" s="53"/>
    </row>
    <row r="9" spans="1:13" ht="15.6" x14ac:dyDescent="0.3">
      <c r="A9" s="53"/>
      <c r="B9" s="152"/>
      <c r="C9" s="143"/>
      <c r="D9" s="143"/>
      <c r="E9" s="145"/>
      <c r="F9" s="143"/>
      <c r="G9" s="153" t="str">
        <f>+CONCATENATE("POR ",UPPER(B5))</f>
        <v>POR DOBLADO Y EMBOLSADO</v>
      </c>
      <c r="H9" s="153"/>
      <c r="I9" s="153"/>
      <c r="J9" s="143"/>
      <c r="K9" s="143"/>
      <c r="L9" s="150"/>
      <c r="M9" s="53"/>
    </row>
    <row r="10" spans="1:13" ht="28.95" customHeight="1" x14ac:dyDescent="0.3">
      <c r="A10" s="53"/>
      <c r="B10" s="98" t="str">
        <f>+'Elementos de la operación'!D3</f>
        <v>Doblar Pantalon</v>
      </c>
      <c r="C10" s="65" t="s">
        <v>36</v>
      </c>
      <c r="D10" s="65">
        <f ca="1">+MAI!E29</f>
        <v>4020</v>
      </c>
      <c r="E10" s="99">
        <f>+Suplementos!R8</f>
        <v>1.2</v>
      </c>
      <c r="F10" s="65">
        <f ca="1">D10*E10</f>
        <v>4824</v>
      </c>
      <c r="G10" s="100">
        <v>1</v>
      </c>
      <c r="H10" s="108">
        <f t="shared" ref="H10:H14" ca="1" si="0">+IFERROR(IF(VLOOKUP("tmp",C10,1)="tmp",F10,"")*G10,"")</f>
        <v>4824</v>
      </c>
      <c r="I10" s="97" t="str">
        <f t="shared" ref="I10:I14" si="1">+IFERROR(IF(VLOOKUP("ttm",C10,1)="ttm",F10,"")*G10,"")</f>
        <v/>
      </c>
      <c r="J10" s="109">
        <f ca="1">+SUM(H10:I10)</f>
        <v>4824</v>
      </c>
      <c r="K10" s="109">
        <f ca="1">J10*0.75</f>
        <v>3618</v>
      </c>
      <c r="L10" s="101">
        <f ca="1">J10*0.8</f>
        <v>3859.2000000000003</v>
      </c>
      <c r="M10" s="53"/>
    </row>
    <row r="11" spans="1:13" ht="28.95" customHeight="1" x14ac:dyDescent="0.3">
      <c r="A11" s="53"/>
      <c r="B11" s="98" t="str">
        <f>+'Elementos de la operación'!D4</f>
        <v>Doblar Chaqueta</v>
      </c>
      <c r="C11" s="65" t="s">
        <v>36</v>
      </c>
      <c r="D11" s="65">
        <f ca="1">+MAI!E63</f>
        <v>7506</v>
      </c>
      <c r="E11" s="99">
        <f>+Suplementos!R9</f>
        <v>1.2</v>
      </c>
      <c r="F11" s="65">
        <f t="shared" ref="F11:F14" ca="1" si="2">D11*E11</f>
        <v>9007.1999999999989</v>
      </c>
      <c r="G11" s="100">
        <v>1</v>
      </c>
      <c r="H11" s="109">
        <f t="shared" ca="1" si="0"/>
        <v>9007.1999999999989</v>
      </c>
      <c r="I11" s="97" t="str">
        <f t="shared" si="1"/>
        <v/>
      </c>
      <c r="J11" s="109">
        <f t="shared" ref="J11:J14" ca="1" si="3">+SUM(H11:I11)</f>
        <v>9007.1999999999989</v>
      </c>
      <c r="K11" s="109">
        <f t="shared" ref="K11:K14" ca="1" si="4">J11*0.75</f>
        <v>6755.4</v>
      </c>
      <c r="L11" s="101">
        <f t="shared" ref="L11:L14" ca="1" si="5">J11*0.8</f>
        <v>7205.7599999999993</v>
      </c>
      <c r="M11" s="53"/>
    </row>
    <row r="12" spans="1:13" ht="28.95" customHeight="1" x14ac:dyDescent="0.3">
      <c r="A12" s="53"/>
      <c r="B12" s="98" t="str">
        <f>+'Elementos de la operación'!D5</f>
        <v>Embolsado de Chaqueta</v>
      </c>
      <c r="C12" s="65" t="s">
        <v>36</v>
      </c>
      <c r="D12" s="65">
        <f ca="1">+MAI!E97</f>
        <v>2058</v>
      </c>
      <c r="E12" s="99">
        <f>+Suplementos!R10</f>
        <v>1.2</v>
      </c>
      <c r="F12" s="65">
        <f t="shared" ca="1" si="2"/>
        <v>2469.6</v>
      </c>
      <c r="G12" s="100">
        <v>1</v>
      </c>
      <c r="H12" s="109">
        <f t="shared" ca="1" si="0"/>
        <v>2469.6</v>
      </c>
      <c r="I12" s="97" t="str">
        <f t="shared" si="1"/>
        <v/>
      </c>
      <c r="J12" s="109">
        <f t="shared" ca="1" si="3"/>
        <v>2469.6</v>
      </c>
      <c r="K12" s="109">
        <f t="shared" ca="1" si="4"/>
        <v>1852.1999999999998</v>
      </c>
      <c r="L12" s="101">
        <f t="shared" ca="1" si="5"/>
        <v>1975.68</v>
      </c>
      <c r="M12" s="53"/>
    </row>
    <row r="13" spans="1:13" ht="28.95" customHeight="1" x14ac:dyDescent="0.3">
      <c r="A13" s="53"/>
      <c r="B13" s="98" t="str">
        <f>+'Elementos de la operación'!D6</f>
        <v>Embolsado de Pantalon</v>
      </c>
      <c r="C13" s="65" t="s">
        <v>36</v>
      </c>
      <c r="D13" s="65">
        <f ca="1">+MAI!E131</f>
        <v>1311</v>
      </c>
      <c r="E13" s="99">
        <f>+Suplementos!R11</f>
        <v>1.2</v>
      </c>
      <c r="F13" s="65">
        <f t="shared" ca="1" si="2"/>
        <v>1573.2</v>
      </c>
      <c r="G13" s="100">
        <v>1</v>
      </c>
      <c r="H13" s="109">
        <f t="shared" ca="1" si="0"/>
        <v>1573.2</v>
      </c>
      <c r="I13" s="97" t="str">
        <f t="shared" si="1"/>
        <v/>
      </c>
      <c r="J13" s="109">
        <f t="shared" ca="1" si="3"/>
        <v>1573.2</v>
      </c>
      <c r="K13" s="109">
        <f t="shared" ca="1" si="4"/>
        <v>1179.9000000000001</v>
      </c>
      <c r="L13" s="101">
        <f t="shared" ca="1" si="5"/>
        <v>1258.5600000000002</v>
      </c>
      <c r="M13" s="53"/>
    </row>
    <row r="14" spans="1:13" ht="28.95" customHeight="1" x14ac:dyDescent="0.3">
      <c r="A14" s="53"/>
      <c r="B14" s="98" t="str">
        <f>+'Elementos de la operación'!D7</f>
        <v>Colocar Pijama embolsada en caja</v>
      </c>
      <c r="C14" s="66" t="s">
        <v>36</v>
      </c>
      <c r="D14" s="66">
        <f ca="1">+MAI!E165</f>
        <v>2161</v>
      </c>
      <c r="E14" s="99">
        <f>+Suplementos!R12</f>
        <v>1.2</v>
      </c>
      <c r="F14" s="66">
        <f t="shared" ca="1" si="2"/>
        <v>2593.1999999999998</v>
      </c>
      <c r="G14" s="100">
        <v>1</v>
      </c>
      <c r="H14" s="109">
        <f t="shared" ca="1" si="0"/>
        <v>2593.1999999999998</v>
      </c>
      <c r="I14" s="97" t="str">
        <f t="shared" si="1"/>
        <v/>
      </c>
      <c r="J14" s="109">
        <f t="shared" ca="1" si="3"/>
        <v>2593.1999999999998</v>
      </c>
      <c r="K14" s="109">
        <f t="shared" ca="1" si="4"/>
        <v>1944.8999999999999</v>
      </c>
      <c r="L14" s="101">
        <f t="shared" ca="1" si="5"/>
        <v>2074.56</v>
      </c>
      <c r="M14" s="53"/>
    </row>
    <row r="15" spans="1:13" ht="15.6" customHeight="1" x14ac:dyDescent="0.3">
      <c r="A15" s="53"/>
      <c r="B15" s="146" t="s">
        <v>106</v>
      </c>
      <c r="C15" s="147"/>
      <c r="D15" s="147"/>
      <c r="E15" s="147"/>
      <c r="F15" s="147"/>
      <c r="G15" s="147"/>
      <c r="H15" s="108">
        <f ca="1">SUM(H10:H14)</f>
        <v>20467.2</v>
      </c>
      <c r="I15" s="96">
        <f>SUM(I10:I14)</f>
        <v>0</v>
      </c>
      <c r="J15" s="108">
        <f ca="1">SUM(J10:J13)</f>
        <v>17874</v>
      </c>
      <c r="K15" s="108"/>
      <c r="L15" s="102"/>
      <c r="M15" s="53"/>
    </row>
    <row r="16" spans="1:13" ht="15.6" customHeight="1" x14ac:dyDescent="0.3">
      <c r="A16" s="53"/>
      <c r="B16" s="146" t="s">
        <v>107</v>
      </c>
      <c r="C16" s="147"/>
      <c r="D16" s="147"/>
      <c r="E16" s="147"/>
      <c r="F16" s="147"/>
      <c r="G16" s="147"/>
      <c r="H16" s="108">
        <f ca="1">H15*0.75</f>
        <v>15350.400000000001</v>
      </c>
      <c r="I16" s="96">
        <f>I15*0.75</f>
        <v>0</v>
      </c>
      <c r="J16" s="108"/>
      <c r="K16" s="108">
        <f ca="1">SUM(K10:K13)</f>
        <v>13405.499999999998</v>
      </c>
      <c r="L16" s="102"/>
      <c r="M16" s="53"/>
    </row>
    <row r="17" spans="1:13" ht="15.6" customHeight="1" x14ac:dyDescent="0.3">
      <c r="A17" s="53"/>
      <c r="B17" s="146" t="s">
        <v>41</v>
      </c>
      <c r="C17" s="147"/>
      <c r="D17" s="147"/>
      <c r="E17" s="147"/>
      <c r="F17" s="147"/>
      <c r="G17" s="147"/>
      <c r="H17" s="110">
        <f ca="1">H15*0.8</f>
        <v>16373.760000000002</v>
      </c>
      <c r="I17" s="103">
        <f>I15*0.8</f>
        <v>0</v>
      </c>
      <c r="J17" s="110"/>
      <c r="K17" s="110"/>
      <c r="L17" s="104">
        <f ca="1">SUM(H17:I17)</f>
        <v>16373.760000000002</v>
      </c>
      <c r="M17" s="53"/>
    </row>
    <row r="18" spans="1:13" ht="14.4" customHeight="1" x14ac:dyDescent="0.3">
      <c r="A18" s="53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53"/>
    </row>
    <row r="19" spans="1:13" ht="14.4" customHeight="1" x14ac:dyDescent="0.3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15.6" x14ac:dyDescent="0.3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</row>
    <row r="21" spans="1:13" ht="15.6" x14ac:dyDescent="0.3">
      <c r="A21" s="53"/>
      <c r="B21" s="53"/>
      <c r="C21" s="53"/>
      <c r="D21" s="53"/>
      <c r="E21" s="142" t="s">
        <v>43</v>
      </c>
      <c r="F21" s="78" t="s">
        <v>45</v>
      </c>
      <c r="G21" s="105">
        <f ca="1">SUM(H15:I15)</f>
        <v>20467.2</v>
      </c>
      <c r="H21" s="53"/>
      <c r="I21" s="53"/>
      <c r="J21" s="53"/>
      <c r="K21" s="53"/>
      <c r="L21" s="53"/>
      <c r="M21" s="53"/>
    </row>
    <row r="22" spans="1:13" ht="15.6" x14ac:dyDescent="0.3">
      <c r="A22" s="53"/>
      <c r="B22" s="53"/>
      <c r="C22" s="53"/>
      <c r="D22" s="53"/>
      <c r="E22" s="148"/>
      <c r="F22" s="53" t="s">
        <v>46</v>
      </c>
      <c r="G22" s="106">
        <f ca="1">SUM(H16:I16)</f>
        <v>15350.400000000001</v>
      </c>
      <c r="H22" s="53"/>
      <c r="I22" s="53"/>
      <c r="J22" s="53"/>
      <c r="K22" s="53"/>
      <c r="L22" s="53"/>
      <c r="M22" s="53"/>
    </row>
    <row r="23" spans="1:13" ht="15.6" x14ac:dyDescent="0.3">
      <c r="A23" s="53"/>
      <c r="B23" s="53"/>
      <c r="C23" s="53"/>
      <c r="D23" s="53"/>
      <c r="E23" s="143"/>
      <c r="F23" s="54" t="s">
        <v>29</v>
      </c>
      <c r="G23" s="107">
        <f ca="1">SUM(H17:I17)</f>
        <v>16373.760000000002</v>
      </c>
      <c r="H23" s="53"/>
      <c r="I23" s="53"/>
      <c r="J23" s="53"/>
      <c r="K23" s="53"/>
      <c r="L23" s="53"/>
      <c r="M23" s="53"/>
    </row>
    <row r="24" spans="1:13" ht="15.6" x14ac:dyDescent="0.3">
      <c r="A24" s="53"/>
      <c r="B24" s="53"/>
      <c r="C24" s="53"/>
      <c r="D24" s="53"/>
      <c r="E24" s="142" t="s">
        <v>44</v>
      </c>
      <c r="F24" s="78" t="s">
        <v>45</v>
      </c>
      <c r="G24" s="105">
        <f>I15</f>
        <v>0</v>
      </c>
      <c r="H24" s="53"/>
      <c r="I24" s="53"/>
      <c r="J24" s="53"/>
      <c r="K24" s="53"/>
      <c r="L24" s="53"/>
      <c r="M24" s="53"/>
    </row>
    <row r="25" spans="1:13" ht="15.6" x14ac:dyDescent="0.3">
      <c r="A25" s="53"/>
      <c r="B25" s="53"/>
      <c r="C25" s="53"/>
      <c r="D25" s="53"/>
      <c r="E25" s="148"/>
      <c r="F25" s="53" t="s">
        <v>46</v>
      </c>
      <c r="G25" s="106">
        <f>I16</f>
        <v>0</v>
      </c>
      <c r="H25" s="53"/>
      <c r="I25" s="53"/>
      <c r="J25" s="53"/>
      <c r="K25" s="53"/>
      <c r="L25" s="53"/>
      <c r="M25" s="53"/>
    </row>
    <row r="26" spans="1:13" ht="15.6" x14ac:dyDescent="0.3">
      <c r="A26" s="53"/>
      <c r="B26" s="53"/>
      <c r="C26" s="53"/>
      <c r="D26" s="53"/>
      <c r="E26" s="143"/>
      <c r="F26" s="54" t="s">
        <v>29</v>
      </c>
      <c r="G26" s="107">
        <f>I17</f>
        <v>0</v>
      </c>
      <c r="H26" s="53"/>
      <c r="I26" s="53"/>
      <c r="J26" s="53"/>
      <c r="K26" s="53"/>
      <c r="L26" s="53"/>
      <c r="M26" s="53"/>
    </row>
    <row r="27" spans="1:13" ht="15.6" x14ac:dyDescent="0.3">
      <c r="A27" s="53"/>
      <c r="B27" s="53"/>
      <c r="C27" s="53"/>
      <c r="D27" s="53"/>
      <c r="E27" s="148" t="s">
        <v>108</v>
      </c>
      <c r="F27" s="53" t="s">
        <v>45</v>
      </c>
      <c r="G27" s="106">
        <f ca="1">SUM(H15:I15)</f>
        <v>20467.2</v>
      </c>
      <c r="H27" s="53"/>
      <c r="I27" s="53"/>
      <c r="J27" s="53"/>
      <c r="K27" s="53"/>
      <c r="L27" s="53"/>
      <c r="M27" s="53"/>
    </row>
    <row r="28" spans="1:13" ht="15.6" x14ac:dyDescent="0.3">
      <c r="A28" s="53"/>
      <c r="B28" s="53"/>
      <c r="C28" s="53"/>
      <c r="D28" s="53"/>
      <c r="E28" s="148"/>
      <c r="F28" s="53" t="s">
        <v>46</v>
      </c>
      <c r="G28" s="106">
        <f ca="1">SUM(H16:I16)</f>
        <v>15350.400000000001</v>
      </c>
      <c r="H28" s="53"/>
      <c r="I28" s="53"/>
      <c r="J28" s="53"/>
      <c r="K28" s="53"/>
      <c r="L28" s="53"/>
      <c r="M28" s="53"/>
    </row>
    <row r="29" spans="1:13" ht="15.6" x14ac:dyDescent="0.3">
      <c r="A29" s="53"/>
      <c r="B29" s="53"/>
      <c r="C29" s="53"/>
      <c r="D29" s="53"/>
      <c r="E29" s="143"/>
      <c r="F29" s="54" t="s">
        <v>29</v>
      </c>
      <c r="G29" s="107">
        <f ca="1">SUM(H17:I17)</f>
        <v>16373.760000000002</v>
      </c>
      <c r="H29" s="53"/>
      <c r="I29" s="53"/>
      <c r="J29" s="53"/>
      <c r="K29" s="53"/>
      <c r="L29" s="53"/>
      <c r="M29" s="53"/>
    </row>
    <row r="30" spans="1:13" ht="15.6" x14ac:dyDescent="0.3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</row>
    <row r="31" spans="1:13" ht="15.6" x14ac:dyDescent="0.3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</row>
    <row r="32" spans="1:13" ht="15.6" x14ac:dyDescent="0.3">
      <c r="A32" s="53"/>
      <c r="B32" s="53"/>
      <c r="C32" s="53"/>
      <c r="D32" s="142" t="s">
        <v>152</v>
      </c>
      <c r="E32" s="144" t="s">
        <v>47</v>
      </c>
      <c r="F32" s="142" t="s">
        <v>48</v>
      </c>
      <c r="G32" s="142" t="s">
        <v>153</v>
      </c>
      <c r="H32" s="53"/>
      <c r="I32" s="53"/>
      <c r="J32" s="53"/>
      <c r="K32" s="53"/>
      <c r="L32" s="53"/>
      <c r="M32" s="53"/>
    </row>
    <row r="33" spans="1:13" ht="15.6" x14ac:dyDescent="0.3">
      <c r="A33" s="53"/>
      <c r="B33" s="53"/>
      <c r="C33" s="53"/>
      <c r="D33" s="143"/>
      <c r="E33" s="145"/>
      <c r="F33" s="143"/>
      <c r="G33" s="143"/>
      <c r="H33" s="53"/>
      <c r="I33" s="53"/>
      <c r="J33" s="53"/>
      <c r="K33" s="53"/>
      <c r="L33" s="53"/>
      <c r="M33" s="53"/>
    </row>
    <row r="34" spans="1:13" ht="16.95" customHeight="1" x14ac:dyDescent="0.3">
      <c r="A34" s="53"/>
      <c r="B34" s="53"/>
      <c r="C34" s="53"/>
      <c r="D34" s="136" t="s">
        <v>49</v>
      </c>
      <c r="E34" s="138">
        <f ca="1">360000/G27</f>
        <v>17.589118198874296</v>
      </c>
      <c r="F34" s="140">
        <f ca="1">360000/G28</f>
        <v>23.45215759849906</v>
      </c>
      <c r="G34" s="140">
        <f ca="1">360000/G29</f>
        <v>21.986397748592868</v>
      </c>
      <c r="H34" s="53"/>
      <c r="I34" s="53"/>
      <c r="J34" s="53"/>
      <c r="K34" s="53"/>
      <c r="L34" s="53"/>
      <c r="M34" s="53"/>
    </row>
    <row r="35" spans="1:13" ht="16.95" customHeight="1" x14ac:dyDescent="0.3">
      <c r="A35" s="53"/>
      <c r="B35" s="53"/>
      <c r="C35" s="53"/>
      <c r="D35" s="136"/>
      <c r="E35" s="138"/>
      <c r="F35" s="140"/>
      <c r="G35" s="140"/>
      <c r="H35" s="53"/>
      <c r="I35" s="53"/>
      <c r="J35" s="53"/>
      <c r="K35" s="53"/>
      <c r="L35" s="53"/>
      <c r="M35" s="53"/>
    </row>
    <row r="36" spans="1:13" ht="16.95" customHeight="1" x14ac:dyDescent="0.3">
      <c r="A36" s="53"/>
      <c r="B36" s="53"/>
      <c r="C36" s="53"/>
      <c r="D36" s="136" t="s">
        <v>50</v>
      </c>
      <c r="E36" s="138">
        <f ca="1">((G21*100)/G27)</f>
        <v>100</v>
      </c>
      <c r="F36" s="140">
        <f ca="1">((G22*100)/G28)</f>
        <v>100</v>
      </c>
      <c r="G36" s="140">
        <f ca="1">((G23*100)/G29)</f>
        <v>100</v>
      </c>
      <c r="H36" s="53"/>
      <c r="I36" s="53"/>
      <c r="J36" s="53"/>
      <c r="K36" s="53"/>
      <c r="L36" s="53"/>
      <c r="M36" s="53"/>
    </row>
    <row r="37" spans="1:13" ht="16.95" customHeight="1" x14ac:dyDescent="0.3">
      <c r="A37" s="53"/>
      <c r="B37" s="53"/>
      <c r="C37" s="53"/>
      <c r="D37" s="136"/>
      <c r="E37" s="138"/>
      <c r="F37" s="140"/>
      <c r="G37" s="140"/>
      <c r="H37" s="53"/>
      <c r="I37" s="53"/>
      <c r="J37" s="53"/>
      <c r="K37" s="53"/>
      <c r="L37" s="53"/>
      <c r="M37" s="53"/>
    </row>
    <row r="38" spans="1:13" ht="16.95" customHeight="1" x14ac:dyDescent="0.3">
      <c r="A38" s="53"/>
      <c r="B38" s="53"/>
      <c r="C38" s="53"/>
      <c r="D38" s="136" t="s">
        <v>51</v>
      </c>
      <c r="E38" s="138">
        <f ca="1">100/E36</f>
        <v>1</v>
      </c>
      <c r="F38" s="140">
        <f ca="1">100/F36</f>
        <v>1</v>
      </c>
      <c r="G38" s="140">
        <f ca="1">100/G36</f>
        <v>1</v>
      </c>
      <c r="H38" s="53"/>
      <c r="I38" s="53"/>
      <c r="J38" s="53"/>
      <c r="K38" s="53"/>
      <c r="L38" s="53"/>
      <c r="M38" s="53"/>
    </row>
    <row r="39" spans="1:13" ht="16.95" customHeight="1" x14ac:dyDescent="0.3">
      <c r="A39" s="53"/>
      <c r="B39" s="53"/>
      <c r="C39" s="53"/>
      <c r="D39" s="136"/>
      <c r="E39" s="138"/>
      <c r="F39" s="140"/>
      <c r="G39" s="140"/>
      <c r="H39" s="53"/>
      <c r="I39" s="53"/>
      <c r="J39" s="53"/>
      <c r="K39" s="53"/>
      <c r="L39" s="53"/>
      <c r="M39" s="53"/>
    </row>
    <row r="40" spans="1:13" ht="16.95" customHeight="1" x14ac:dyDescent="0.3">
      <c r="A40" s="53"/>
      <c r="B40" s="53"/>
      <c r="C40" s="53"/>
      <c r="D40" s="136" t="s">
        <v>52</v>
      </c>
      <c r="E40" s="138" t="str">
        <f ca="1">IF((G24*100)/G27,0,"-")</f>
        <v>-</v>
      </c>
      <c r="F40" s="140" t="str">
        <f ca="1">IF((G25*100)/G28,0,"-")</f>
        <v>-</v>
      </c>
      <c r="G40" s="140" t="str">
        <f ca="1">IF((G26*100)/G29,0,"-")</f>
        <v>-</v>
      </c>
      <c r="H40" s="53"/>
      <c r="I40" s="53"/>
      <c r="J40" s="53"/>
      <c r="K40" s="53"/>
      <c r="L40" s="53"/>
      <c r="M40" s="53"/>
    </row>
    <row r="41" spans="1:13" ht="16.95" customHeight="1" x14ac:dyDescent="0.3">
      <c r="A41" s="53"/>
      <c r="B41" s="53"/>
      <c r="C41" s="53"/>
      <c r="D41" s="136"/>
      <c r="E41" s="138"/>
      <c r="F41" s="140"/>
      <c r="G41" s="140"/>
      <c r="H41" s="53"/>
      <c r="I41" s="53"/>
      <c r="J41" s="53"/>
      <c r="K41" s="53"/>
      <c r="L41" s="53"/>
      <c r="M41" s="53"/>
    </row>
    <row r="42" spans="1:13" ht="16.95" customHeight="1" x14ac:dyDescent="0.3">
      <c r="A42" s="53"/>
      <c r="B42" s="53"/>
      <c r="C42" s="53"/>
      <c r="D42" s="136" t="s">
        <v>54</v>
      </c>
      <c r="E42" s="138" t="s">
        <v>53</v>
      </c>
      <c r="F42" s="140" t="str">
        <f>IFERROR(360000/G25,"-")</f>
        <v>-</v>
      </c>
      <c r="G42" s="140" t="s">
        <v>53</v>
      </c>
      <c r="H42" s="53"/>
      <c r="I42" s="53"/>
      <c r="J42" s="53"/>
      <c r="K42" s="53"/>
      <c r="L42" s="53"/>
      <c r="M42" s="53"/>
    </row>
    <row r="43" spans="1:13" ht="16.95" customHeight="1" x14ac:dyDescent="0.3">
      <c r="A43" s="53"/>
      <c r="B43" s="53"/>
      <c r="C43" s="53"/>
      <c r="D43" s="136"/>
      <c r="E43" s="138"/>
      <c r="F43" s="140"/>
      <c r="G43" s="140"/>
      <c r="H43" s="53"/>
      <c r="I43" s="53"/>
      <c r="J43" s="53"/>
      <c r="K43" s="53"/>
      <c r="L43" s="53"/>
      <c r="M43" s="53"/>
    </row>
    <row r="44" spans="1:13" ht="16.95" customHeight="1" x14ac:dyDescent="0.3">
      <c r="A44" s="53"/>
      <c r="B44" s="53"/>
      <c r="C44" s="53"/>
      <c r="D44" s="136" t="s">
        <v>57</v>
      </c>
      <c r="E44" s="138" t="s">
        <v>53</v>
      </c>
      <c r="F44" s="140">
        <f ca="1">(12*G28*100)/'Error de vuelta a 0'!L9</f>
        <v>51.98664525542501</v>
      </c>
      <c r="G44" s="140" t="s">
        <v>53</v>
      </c>
      <c r="H44" s="53"/>
      <c r="I44" s="53"/>
      <c r="J44" s="53"/>
      <c r="K44" s="53"/>
      <c r="L44" s="53"/>
      <c r="M44" s="53"/>
    </row>
    <row r="45" spans="1:13" ht="16.95" customHeight="1" x14ac:dyDescent="0.3">
      <c r="A45" s="53"/>
      <c r="B45" s="53"/>
      <c r="C45" s="53"/>
      <c r="D45" s="136"/>
      <c r="E45" s="138"/>
      <c r="F45" s="140"/>
      <c r="G45" s="140"/>
      <c r="H45" s="53"/>
      <c r="I45" s="53"/>
      <c r="J45" s="53"/>
      <c r="K45" s="53"/>
      <c r="L45" s="53"/>
      <c r="M45" s="53"/>
    </row>
    <row r="46" spans="1:13" ht="16.95" customHeight="1" x14ac:dyDescent="0.3">
      <c r="A46" s="53"/>
      <c r="B46" s="53"/>
      <c r="C46" s="53"/>
      <c r="D46" s="136" t="s">
        <v>56</v>
      </c>
      <c r="E46" s="138" t="s">
        <v>53</v>
      </c>
      <c r="F46" s="140">
        <f ca="1">(12*G28*100)/'Error de vuelta a 0'!L8</f>
        <v>51.98664525542501</v>
      </c>
      <c r="G46" s="140" t="s">
        <v>53</v>
      </c>
      <c r="H46" s="53"/>
      <c r="I46" s="53"/>
      <c r="J46" s="53"/>
      <c r="K46" s="53"/>
      <c r="L46" s="53"/>
      <c r="M46" s="53"/>
    </row>
    <row r="47" spans="1:13" ht="16.95" customHeight="1" x14ac:dyDescent="0.3">
      <c r="A47" s="53"/>
      <c r="B47" s="53"/>
      <c r="C47" s="53"/>
      <c r="D47" s="136"/>
      <c r="E47" s="138"/>
      <c r="F47" s="140"/>
      <c r="G47" s="140"/>
      <c r="H47" s="53"/>
      <c r="I47" s="53"/>
      <c r="J47" s="53"/>
      <c r="K47" s="53"/>
      <c r="L47" s="53"/>
      <c r="M47" s="53"/>
    </row>
    <row r="48" spans="1:13" ht="16.95" customHeight="1" x14ac:dyDescent="0.3">
      <c r="A48" s="53"/>
      <c r="B48" s="53"/>
      <c r="C48" s="53"/>
      <c r="D48" s="136" t="s">
        <v>55</v>
      </c>
      <c r="E48" s="138" t="s">
        <v>53</v>
      </c>
      <c r="F48" s="140">
        <f ca="1">(E34*100)/F34</f>
        <v>75</v>
      </c>
      <c r="G48" s="140" t="s">
        <v>53</v>
      </c>
      <c r="H48" s="53"/>
      <c r="I48" s="53"/>
      <c r="J48" s="53"/>
      <c r="K48" s="53"/>
      <c r="L48" s="53"/>
      <c r="M48" s="53"/>
    </row>
    <row r="49" spans="1:13" ht="16.95" customHeight="1" x14ac:dyDescent="0.3">
      <c r="A49" s="53"/>
      <c r="B49" s="53"/>
      <c r="C49" s="53"/>
      <c r="D49" s="137"/>
      <c r="E49" s="139"/>
      <c r="F49" s="141"/>
      <c r="G49" s="141"/>
      <c r="H49" s="53"/>
      <c r="I49" s="53"/>
      <c r="J49" s="53"/>
      <c r="K49" s="53"/>
      <c r="L49" s="53"/>
      <c r="M49" s="53"/>
    </row>
    <row r="50" spans="1:13" ht="15.6" x14ac:dyDescent="0.3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</row>
    <row r="51" spans="1:13" ht="15.6" x14ac:dyDescent="0.3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</row>
    <row r="52" spans="1:13" ht="15.6" x14ac:dyDescent="0.3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</row>
    <row r="53" spans="1:13" ht="15.6" x14ac:dyDescent="0.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</row>
    <row r="54" spans="1:13" ht="15.6" x14ac:dyDescent="0.3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</row>
    <row r="55" spans="1:13" ht="15.6" x14ac:dyDescent="0.3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</row>
    <row r="56" spans="1:13" ht="15.6" x14ac:dyDescent="0.3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</row>
    <row r="57" spans="1:13" ht="15.6" x14ac:dyDescent="0.3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</row>
    <row r="58" spans="1:13" ht="15.6" x14ac:dyDescent="0.3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</row>
    <row r="59" spans="1:13" ht="15.6" x14ac:dyDescent="0.3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</row>
    <row r="60" spans="1:13" ht="15.6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</row>
    <row r="61" spans="1:13" ht="15.6" x14ac:dyDescent="0.3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</row>
    <row r="62" spans="1:13" ht="15.6" x14ac:dyDescent="0.3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</row>
    <row r="63" spans="1:13" ht="15.6" x14ac:dyDescent="0.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</row>
    <row r="64" spans="1:13" ht="15.6" x14ac:dyDescent="0.3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</row>
    <row r="65" spans="1:13" ht="15.6" x14ac:dyDescent="0.3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</row>
    <row r="66" spans="1:13" ht="15.6" x14ac:dyDescent="0.3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</row>
    <row r="67" spans="1:13" ht="15.6" x14ac:dyDescent="0.3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</row>
    <row r="68" spans="1:13" ht="15.6" x14ac:dyDescent="0.3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</row>
    <row r="69" spans="1:13" ht="15.6" x14ac:dyDescent="0.3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</row>
    <row r="70" spans="1:13" ht="15.6" x14ac:dyDescent="0.3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</row>
    <row r="71" spans="1:13" ht="15.6" x14ac:dyDescent="0.3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</row>
  </sheetData>
  <mergeCells count="52">
    <mergeCell ref="B15:G15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  <mergeCell ref="B17:G17"/>
    <mergeCell ref="E21:E23"/>
    <mergeCell ref="E24:E26"/>
    <mergeCell ref="E27:E29"/>
    <mergeCell ref="B16:G16"/>
    <mergeCell ref="D32:D33"/>
    <mergeCell ref="E32:E33"/>
    <mergeCell ref="F32:F33"/>
    <mergeCell ref="G32:G33"/>
    <mergeCell ref="D34:D35"/>
    <mergeCell ref="E34:E35"/>
    <mergeCell ref="F34:F35"/>
    <mergeCell ref="G34:G35"/>
    <mergeCell ref="D36:D37"/>
    <mergeCell ref="E36:E37"/>
    <mergeCell ref="F36:F37"/>
    <mergeCell ref="G36:G37"/>
    <mergeCell ref="D38:D39"/>
    <mergeCell ref="E38:E39"/>
    <mergeCell ref="F38:F39"/>
    <mergeCell ref="G38:G39"/>
    <mergeCell ref="D40:D41"/>
    <mergeCell ref="E40:E41"/>
    <mergeCell ref="F40:F41"/>
    <mergeCell ref="G40:G41"/>
    <mergeCell ref="D42:D43"/>
    <mergeCell ref="E42:E43"/>
    <mergeCell ref="F42:F43"/>
    <mergeCell ref="G42:G43"/>
    <mergeCell ref="D48:D49"/>
    <mergeCell ref="E48:E49"/>
    <mergeCell ref="F48:F49"/>
    <mergeCell ref="G48:G49"/>
    <mergeCell ref="D44:D45"/>
    <mergeCell ref="E44:E45"/>
    <mergeCell ref="F44:F45"/>
    <mergeCell ref="G44:G45"/>
    <mergeCell ref="D46:D47"/>
    <mergeCell ref="E46:E47"/>
    <mergeCell ref="F46:F47"/>
    <mergeCell ref="G46:G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2022-09-15T19:21:58Z</dcterms:modified>
</cp:coreProperties>
</file>