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FB28065C-35C3-4AF6-8061-159596598F91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K54" i="6"/>
  <c r="N4" i="6"/>
  <c r="K4" i="6"/>
  <c r="F12" i="10"/>
  <c r="F11" i="10"/>
  <c r="K57" i="6" l="1"/>
  <c r="Q12" i="7" l="1"/>
  <c r="R12" i="7" s="1"/>
  <c r="F14" i="12" s="1"/>
  <c r="Q9" i="7"/>
  <c r="Q10" i="7"/>
  <c r="Q11" i="7"/>
  <c r="Q8" i="7"/>
  <c r="D12" i="7"/>
  <c r="D9" i="7"/>
  <c r="D10" i="7"/>
  <c r="D11" i="7"/>
  <c r="D8" i="7"/>
  <c r="C5" i="12" l="1"/>
  <c r="H9" i="12" s="1"/>
  <c r="C13" i="12"/>
  <c r="C14" i="12"/>
  <c r="C12" i="12"/>
  <c r="C11" i="12"/>
  <c r="C10" i="12"/>
  <c r="J14" i="12"/>
  <c r="J13" i="12"/>
  <c r="J10" i="12"/>
  <c r="F10" i="10" l="1"/>
  <c r="F9" i="10"/>
  <c r="F8" i="10"/>
  <c r="C25" i="6" l="1"/>
  <c r="C28" i="6" s="1"/>
  <c r="C31" i="6" s="1"/>
  <c r="C34" i="6" s="1"/>
  <c r="C37" i="6" s="1"/>
  <c r="C40" i="6" s="1"/>
  <c r="C43" i="6" s="1"/>
  <c r="C46" i="6" s="1"/>
  <c r="C49" i="6" s="1"/>
  <c r="C52" i="6" s="1"/>
  <c r="C55" i="6" s="1"/>
  <c r="C58" i="6" s="1"/>
  <c r="C61" i="6" s="1"/>
  <c r="C64" i="6" s="1"/>
  <c r="C67" i="6" s="1"/>
  <c r="C70" i="6" s="1"/>
  <c r="C73" i="6" s="1"/>
  <c r="C76" i="6" s="1"/>
  <c r="C79" i="6" s="1"/>
  <c r="L57" i="6"/>
  <c r="C26" i="6"/>
  <c r="C29" i="6" s="1"/>
  <c r="C32" i="6" s="1"/>
  <c r="C35" i="6" s="1"/>
  <c r="C38" i="6" s="1"/>
  <c r="C41" i="6" s="1"/>
  <c r="C44" i="6" s="1"/>
  <c r="C47" i="6" s="1"/>
  <c r="C50" i="6" s="1"/>
  <c r="C53" i="6" s="1"/>
  <c r="C56" i="6" s="1"/>
  <c r="C59" i="6" s="1"/>
  <c r="C62" i="6" s="1"/>
  <c r="C65" i="6" s="1"/>
  <c r="C68" i="6" s="1"/>
  <c r="C71" i="6" s="1"/>
  <c r="C74" i="6" s="1"/>
  <c r="C77" i="6" s="1"/>
  <c r="C80" i="6" s="1"/>
  <c r="Q11" i="1" l="1"/>
  <c r="G30" i="2" l="1"/>
  <c r="P2" i="2"/>
  <c r="G2" i="2"/>
  <c r="L4" i="1"/>
  <c r="Q9" i="1" s="1"/>
  <c r="L3" i="1"/>
  <c r="Q8" i="1" s="1"/>
  <c r="H16" i="6"/>
  <c r="K8" i="6" l="1"/>
  <c r="L58" i="6"/>
  <c r="L8" i="6"/>
  <c r="N8" i="6"/>
  <c r="M7" i="2" s="1"/>
  <c r="O8" i="6"/>
  <c r="K58" i="6"/>
  <c r="D35" i="2" s="1"/>
  <c r="D2" i="13"/>
  <c r="E3" i="8"/>
  <c r="D36" i="13"/>
  <c r="E45" i="8"/>
  <c r="D70" i="13"/>
  <c r="E87" i="8"/>
  <c r="H17" i="6"/>
  <c r="E34" i="2"/>
  <c r="C24" i="6"/>
  <c r="N7" i="6"/>
  <c r="M6" i="2" s="1"/>
  <c r="D34" i="2"/>
  <c r="B20" i="6"/>
  <c r="D5" i="1"/>
  <c r="E5" i="1"/>
  <c r="C5" i="1"/>
  <c r="L9" i="6" l="1"/>
  <c r="K9" i="6"/>
  <c r="D8" i="2" s="1"/>
  <c r="N9" i="6"/>
  <c r="M8" i="2" s="1"/>
  <c r="O9" i="6"/>
  <c r="K59" i="6"/>
  <c r="D36" i="2" s="1"/>
  <c r="L59" i="6"/>
  <c r="L7" i="6"/>
  <c r="E6" i="2" s="1"/>
  <c r="C27" i="6"/>
  <c r="C30" i="6" s="1"/>
  <c r="C33" i="6" s="1"/>
  <c r="C36" i="6" s="1"/>
  <c r="C39" i="6" s="1"/>
  <c r="C42" i="6" s="1"/>
  <c r="C45" i="6" s="1"/>
  <c r="C48" i="6" s="1"/>
  <c r="C51" i="6" s="1"/>
  <c r="C54" i="6" s="1"/>
  <c r="C57" i="6" s="1"/>
  <c r="C60" i="6" s="1"/>
  <c r="C63" i="6" s="1"/>
  <c r="C66" i="6" s="1"/>
  <c r="C69" i="6" s="1"/>
  <c r="C72" i="6" s="1"/>
  <c r="C75" i="6" s="1"/>
  <c r="C78" i="6" s="1"/>
  <c r="C91" i="8"/>
  <c r="C73" i="13"/>
  <c r="B92" i="8"/>
  <c r="B74" i="13"/>
  <c r="B91" i="8"/>
  <c r="B73" i="13"/>
  <c r="B50" i="8"/>
  <c r="B40" i="13"/>
  <c r="B49" i="8"/>
  <c r="B39" i="13"/>
  <c r="H18" i="6"/>
  <c r="Q5" i="1"/>
  <c r="O7" i="6"/>
  <c r="N6" i="2" s="1"/>
  <c r="F34" i="2"/>
  <c r="K7" i="6"/>
  <c r="D6" i="2" s="1"/>
  <c r="D7" i="2"/>
  <c r="R11" i="7"/>
  <c r="F13" i="12" s="1"/>
  <c r="R10" i="7"/>
  <c r="F12" i="12" s="1"/>
  <c r="R9" i="7"/>
  <c r="F11" i="12" s="1"/>
  <c r="R8" i="7"/>
  <c r="F10" i="12" s="1"/>
  <c r="D73" i="13" l="1"/>
  <c r="B93" i="8"/>
  <c r="B75" i="13"/>
  <c r="O10" i="6"/>
  <c r="K60" i="6"/>
  <c r="D37" i="2" s="1"/>
  <c r="L60" i="6"/>
  <c r="K10" i="6"/>
  <c r="D9" i="2" s="1"/>
  <c r="L10" i="6"/>
  <c r="N10" i="6"/>
  <c r="M9" i="2" s="1"/>
  <c r="C49" i="8"/>
  <c r="C39" i="13"/>
  <c r="B51" i="8"/>
  <c r="B41" i="13"/>
  <c r="C7" i="8"/>
  <c r="C5" i="13"/>
  <c r="B8" i="8"/>
  <c r="B6" i="13"/>
  <c r="B9" i="8"/>
  <c r="B7" i="13"/>
  <c r="B7" i="8"/>
  <c r="B5" i="13"/>
  <c r="G34" i="2"/>
  <c r="H19" i="6"/>
  <c r="L61" i="6" l="1"/>
  <c r="N11" i="6"/>
  <c r="M10" i="2" s="1"/>
  <c r="B43" i="13" s="1"/>
  <c r="O11" i="6"/>
  <c r="K11" i="6"/>
  <c r="D10" i="2" s="1"/>
  <c r="L11" i="6"/>
  <c r="E10" i="2" s="1"/>
  <c r="K61" i="6"/>
  <c r="D38" i="2" s="1"/>
  <c r="B94" i="8"/>
  <c r="B76" i="13"/>
  <c r="B52" i="8"/>
  <c r="B42" i="13"/>
  <c r="B10" i="8"/>
  <c r="B8" i="13"/>
  <c r="H20" i="6"/>
  <c r="N7" i="2"/>
  <c r="C40" i="13" s="1"/>
  <c r="E7" i="2"/>
  <c r="C6" i="13" s="1"/>
  <c r="E33" i="8"/>
  <c r="O6" i="2"/>
  <c r="F6" i="2"/>
  <c r="D39" i="13" l="1"/>
  <c r="D5" i="13"/>
  <c r="C9" i="13"/>
  <c r="C11" i="8"/>
  <c r="K12" i="6"/>
  <c r="D11" i="2" s="1"/>
  <c r="L12" i="6"/>
  <c r="K62" i="6"/>
  <c r="D39" i="2" s="1"/>
  <c r="B78" i="13" s="1"/>
  <c r="L62" i="6"/>
  <c r="N12" i="6"/>
  <c r="M11" i="2" s="1"/>
  <c r="O12" i="6"/>
  <c r="B95" i="8"/>
  <c r="B77" i="13"/>
  <c r="B53" i="8"/>
  <c r="B11" i="8"/>
  <c r="B9" i="13"/>
  <c r="E35" i="2"/>
  <c r="C74" i="13" s="1"/>
  <c r="H21" i="6"/>
  <c r="F10" i="2"/>
  <c r="N8" i="2"/>
  <c r="C41" i="13" s="1"/>
  <c r="E8" i="2"/>
  <c r="C7" i="13" s="1"/>
  <c r="C8" i="8"/>
  <c r="F7" i="2"/>
  <c r="C50" i="8"/>
  <c r="O7" i="2"/>
  <c r="P6" i="2"/>
  <c r="G6" i="2"/>
  <c r="L13" i="6" l="1"/>
  <c r="N13" i="6"/>
  <c r="M12" i="2" s="1"/>
  <c r="K13" i="6"/>
  <c r="D12" i="2" s="1"/>
  <c r="O13" i="6"/>
  <c r="K63" i="6"/>
  <c r="D40" i="2" s="1"/>
  <c r="L63" i="6"/>
  <c r="P7" i="2"/>
  <c r="D40" i="13"/>
  <c r="B54" i="8"/>
  <c r="B44" i="13"/>
  <c r="G10" i="2"/>
  <c r="D9" i="13"/>
  <c r="G7" i="2"/>
  <c r="D6" i="13"/>
  <c r="B12" i="8"/>
  <c r="B10" i="13"/>
  <c r="C92" i="8"/>
  <c r="F35" i="2"/>
  <c r="H22" i="6"/>
  <c r="B96" i="8"/>
  <c r="E36" i="2"/>
  <c r="C75" i="13" s="1"/>
  <c r="C9" i="8"/>
  <c r="F8" i="2"/>
  <c r="D7" i="13" s="1"/>
  <c r="C51" i="8"/>
  <c r="O8" i="2"/>
  <c r="N9" i="2"/>
  <c r="C42" i="13" s="1"/>
  <c r="E9" i="2"/>
  <c r="C8" i="13" s="1"/>
  <c r="G5" i="1"/>
  <c r="D74" i="13" l="1"/>
  <c r="D41" i="13"/>
  <c r="O14" i="6"/>
  <c r="K64" i="6"/>
  <c r="D41" i="2" s="1"/>
  <c r="K14" i="6"/>
  <c r="D13" i="2" s="1"/>
  <c r="L64" i="6"/>
  <c r="N14" i="6"/>
  <c r="M13" i="2" s="1"/>
  <c r="L14" i="6"/>
  <c r="B97" i="8"/>
  <c r="B79" i="13"/>
  <c r="B55" i="8"/>
  <c r="B45" i="13"/>
  <c r="B13" i="8"/>
  <c r="B11" i="13"/>
  <c r="G35" i="2"/>
  <c r="H23" i="6"/>
  <c r="C93" i="8"/>
  <c r="F36" i="2"/>
  <c r="E37" i="2"/>
  <c r="C76" i="13" s="1"/>
  <c r="G8" i="2"/>
  <c r="C10" i="8"/>
  <c r="F9" i="2"/>
  <c r="C52" i="8"/>
  <c r="O9" i="2"/>
  <c r="P8" i="2"/>
  <c r="N10" i="2"/>
  <c r="C43" i="13" s="1"/>
  <c r="L65" i="6" l="1"/>
  <c r="K15" i="6"/>
  <c r="D14" i="2" s="1"/>
  <c r="O15" i="6"/>
  <c r="K65" i="6"/>
  <c r="D42" i="2" s="1"/>
  <c r="L15" i="6"/>
  <c r="N15" i="6"/>
  <c r="M14" i="2" s="1"/>
  <c r="G36" i="2"/>
  <c r="D75" i="13"/>
  <c r="B98" i="8"/>
  <c r="B80" i="13"/>
  <c r="P9" i="2"/>
  <c r="D42" i="13"/>
  <c r="B56" i="8"/>
  <c r="B46" i="13"/>
  <c r="G9" i="2"/>
  <c r="D8" i="13"/>
  <c r="B14" i="8"/>
  <c r="B12" i="13"/>
  <c r="H24" i="6"/>
  <c r="E38" i="2"/>
  <c r="C77" i="13" s="1"/>
  <c r="C94" i="8"/>
  <c r="F37" i="2"/>
  <c r="D76" i="13" s="1"/>
  <c r="C53" i="8"/>
  <c r="O10" i="2"/>
  <c r="E11" i="2"/>
  <c r="C10" i="13" s="1"/>
  <c r="K66" i="6" l="1"/>
  <c r="D43" i="2" s="1"/>
  <c r="L66" i="6"/>
  <c r="K16" i="6"/>
  <c r="D15" i="2" s="1"/>
  <c r="L16" i="6"/>
  <c r="N16" i="6"/>
  <c r="M15" i="2" s="1"/>
  <c r="O16" i="6"/>
  <c r="B99" i="8"/>
  <c r="B81" i="13"/>
  <c r="P10" i="2"/>
  <c r="D43" i="13"/>
  <c r="B57" i="8"/>
  <c r="B47" i="13"/>
  <c r="B15" i="8"/>
  <c r="B13" i="13"/>
  <c r="H25" i="6"/>
  <c r="F38" i="2"/>
  <c r="C95" i="8"/>
  <c r="N11" i="2"/>
  <c r="C44" i="13" s="1"/>
  <c r="G37" i="2"/>
  <c r="C12" i="8"/>
  <c r="F11" i="2"/>
  <c r="D10" i="13" s="1"/>
  <c r="L17" i="6" l="1"/>
  <c r="N17" i="6"/>
  <c r="M16" i="2" s="1"/>
  <c r="O17" i="6"/>
  <c r="K67" i="6"/>
  <c r="D44" i="2" s="1"/>
  <c r="B83" i="13" s="1"/>
  <c r="L67" i="6"/>
  <c r="K17" i="6"/>
  <c r="D16" i="2" s="1"/>
  <c r="G38" i="2"/>
  <c r="D77" i="13"/>
  <c r="B100" i="8"/>
  <c r="B82" i="13"/>
  <c r="B58" i="8"/>
  <c r="B48" i="13"/>
  <c r="B16" i="8"/>
  <c r="B14" i="13"/>
  <c r="E39" i="2"/>
  <c r="C78" i="13" s="1"/>
  <c r="H26" i="6"/>
  <c r="E12" i="2"/>
  <c r="C11" i="13" s="1"/>
  <c r="O11" i="2"/>
  <c r="C54" i="8"/>
  <c r="N12" i="2"/>
  <c r="G11" i="2"/>
  <c r="O18" i="6" l="1"/>
  <c r="K68" i="6"/>
  <c r="D45" i="2" s="1"/>
  <c r="N18" i="6"/>
  <c r="M17" i="2" s="1"/>
  <c r="B50" i="13" s="1"/>
  <c r="L68" i="6"/>
  <c r="L18" i="6"/>
  <c r="K18" i="6"/>
  <c r="D17" i="2" s="1"/>
  <c r="P11" i="2"/>
  <c r="D44" i="13"/>
  <c r="O12" i="2"/>
  <c r="C45" i="13"/>
  <c r="B59" i="8"/>
  <c r="B49" i="13"/>
  <c r="B17" i="8"/>
  <c r="B15" i="13"/>
  <c r="E40" i="2"/>
  <c r="C79" i="13" s="1"/>
  <c r="F39" i="2"/>
  <c r="D78" i="13" s="1"/>
  <c r="C96" i="8"/>
  <c r="B101" i="8"/>
  <c r="H27" i="6"/>
  <c r="C13" i="8"/>
  <c r="F12" i="2"/>
  <c r="C55" i="8"/>
  <c r="E13" i="2"/>
  <c r="N13" i="2"/>
  <c r="C46" i="13" s="1"/>
  <c r="L69" i="6" l="1"/>
  <c r="K69" i="6"/>
  <c r="D46" i="2" s="1"/>
  <c r="K19" i="6"/>
  <c r="D18" i="2" s="1"/>
  <c r="L19" i="6"/>
  <c r="N19" i="6"/>
  <c r="M18" i="2" s="1"/>
  <c r="O19" i="6"/>
  <c r="B102" i="8"/>
  <c r="B84" i="13"/>
  <c r="P12" i="2"/>
  <c r="D45" i="13"/>
  <c r="B60" i="8"/>
  <c r="F13" i="2"/>
  <c r="D12" i="13" s="1"/>
  <c r="C12" i="13"/>
  <c r="G12" i="2"/>
  <c r="D11" i="13"/>
  <c r="B18" i="8"/>
  <c r="B16" i="13"/>
  <c r="G39" i="2"/>
  <c r="F40" i="2"/>
  <c r="C97" i="8"/>
  <c r="H28" i="6"/>
  <c r="E41" i="2"/>
  <c r="C80" i="13" s="1"/>
  <c r="C14" i="8"/>
  <c r="O13" i="2"/>
  <c r="C56" i="8"/>
  <c r="E14" i="2"/>
  <c r="K70" i="6" l="1"/>
  <c r="D47" i="2" s="1"/>
  <c r="K20" i="6"/>
  <c r="D19" i="2" s="1"/>
  <c r="L70" i="6"/>
  <c r="L20" i="6"/>
  <c r="N20" i="6"/>
  <c r="M19" i="2" s="1"/>
  <c r="O20" i="6"/>
  <c r="G40" i="2"/>
  <c r="D79" i="13"/>
  <c r="B103" i="8"/>
  <c r="B85" i="13"/>
  <c r="G13" i="2"/>
  <c r="P13" i="2"/>
  <c r="D46" i="13"/>
  <c r="B61" i="8"/>
  <c r="B51" i="13"/>
  <c r="C15" i="8"/>
  <c r="C13" i="13"/>
  <c r="B19" i="8"/>
  <c r="B17" i="13"/>
  <c r="H29" i="6"/>
  <c r="F41" i="2"/>
  <c r="C98" i="8"/>
  <c r="E42" i="2"/>
  <c r="C81" i="13" s="1"/>
  <c r="N14" i="2"/>
  <c r="C47" i="13" s="1"/>
  <c r="F14" i="2"/>
  <c r="N15" i="2"/>
  <c r="C48" i="13" s="1"/>
  <c r="E15" i="2"/>
  <c r="C14" i="13" s="1"/>
  <c r="L21" i="6" l="1"/>
  <c r="N21" i="6"/>
  <c r="M20" i="2" s="1"/>
  <c r="O21" i="6"/>
  <c r="K21" i="6"/>
  <c r="D20" i="2" s="1"/>
  <c r="K71" i="6"/>
  <c r="D48" i="2" s="1"/>
  <c r="L71" i="6"/>
  <c r="G41" i="2"/>
  <c r="D80" i="13"/>
  <c r="B104" i="8"/>
  <c r="B86" i="13"/>
  <c r="B62" i="8"/>
  <c r="B52" i="13"/>
  <c r="G14" i="2"/>
  <c r="D13" i="13"/>
  <c r="B20" i="8"/>
  <c r="B18" i="13"/>
  <c r="H30" i="6"/>
  <c r="F42" i="2"/>
  <c r="C99" i="8"/>
  <c r="O14" i="2"/>
  <c r="C57" i="8"/>
  <c r="C16" i="8"/>
  <c r="F15" i="2"/>
  <c r="C58" i="8"/>
  <c r="O15" i="2"/>
  <c r="O22" i="6" l="1"/>
  <c r="K72" i="6"/>
  <c r="D49" i="2" s="1"/>
  <c r="B88" i="13" s="1"/>
  <c r="K22" i="6"/>
  <c r="D21" i="2" s="1"/>
  <c r="N22" i="6"/>
  <c r="M21" i="2" s="1"/>
  <c r="L72" i="6"/>
  <c r="L22" i="6"/>
  <c r="G42" i="2"/>
  <c r="D81" i="13"/>
  <c r="B105" i="8"/>
  <c r="B87" i="13"/>
  <c r="P14" i="2"/>
  <c r="D47" i="13"/>
  <c r="P15" i="2"/>
  <c r="D48" i="13"/>
  <c r="B63" i="8"/>
  <c r="B53" i="13"/>
  <c r="G15" i="2"/>
  <c r="D14" i="13"/>
  <c r="B21" i="8"/>
  <c r="B19" i="13"/>
  <c r="E43" i="2"/>
  <c r="C82" i="13" s="1"/>
  <c r="H31" i="6"/>
  <c r="N16" i="2"/>
  <c r="C49" i="13" s="1"/>
  <c r="E16" i="2"/>
  <c r="C15" i="13" s="1"/>
  <c r="L73" i="6" l="1"/>
  <c r="O23" i="6"/>
  <c r="N23" i="6"/>
  <c r="M22" i="2" s="1"/>
  <c r="K23" i="6"/>
  <c r="D22" i="2" s="1"/>
  <c r="K73" i="6"/>
  <c r="D50" i="2" s="1"/>
  <c r="L23" i="6"/>
  <c r="B64" i="8"/>
  <c r="B54" i="13"/>
  <c r="B22" i="8"/>
  <c r="B20" i="13"/>
  <c r="C100" i="8"/>
  <c r="E44" i="2"/>
  <c r="F43" i="2"/>
  <c r="B106" i="8"/>
  <c r="H32" i="6"/>
  <c r="O16" i="2"/>
  <c r="C59" i="8"/>
  <c r="F16" i="2"/>
  <c r="C17" i="8"/>
  <c r="E17" i="2"/>
  <c r="C16" i="13" s="1"/>
  <c r="N17" i="2"/>
  <c r="K24" i="6" l="1"/>
  <c r="D23" i="2" s="1"/>
  <c r="L24" i="6"/>
  <c r="L74" i="6"/>
  <c r="N24" i="6"/>
  <c r="M23" i="2" s="1"/>
  <c r="O24" i="6"/>
  <c r="K74" i="6"/>
  <c r="D51" i="2" s="1"/>
  <c r="G43" i="2"/>
  <c r="D82" i="13"/>
  <c r="C101" i="8"/>
  <c r="C83" i="13"/>
  <c r="B107" i="8"/>
  <c r="B89" i="13"/>
  <c r="C60" i="8"/>
  <c r="C50" i="13"/>
  <c r="P16" i="2"/>
  <c r="D49" i="13"/>
  <c r="B65" i="8"/>
  <c r="B55" i="13"/>
  <c r="G16" i="2"/>
  <c r="D15" i="13"/>
  <c r="B23" i="8"/>
  <c r="B21" i="13"/>
  <c r="F44" i="2"/>
  <c r="E45" i="2"/>
  <c r="C84" i="13" s="1"/>
  <c r="H33" i="6"/>
  <c r="C18" i="8"/>
  <c r="F17" i="2"/>
  <c r="E18" i="2"/>
  <c r="C17" i="13" s="1"/>
  <c r="O17" i="2"/>
  <c r="L25" i="6" l="1"/>
  <c r="N25" i="6"/>
  <c r="M24" i="2" s="1"/>
  <c r="O25" i="6"/>
  <c r="K75" i="6"/>
  <c r="D52" i="2" s="1"/>
  <c r="L75" i="6"/>
  <c r="K25" i="6"/>
  <c r="D24" i="2" s="1"/>
  <c r="G44" i="2"/>
  <c r="D83" i="13"/>
  <c r="B108" i="8"/>
  <c r="B90" i="13"/>
  <c r="P17" i="2"/>
  <c r="D50" i="13"/>
  <c r="B66" i="8"/>
  <c r="B56" i="13"/>
  <c r="G17" i="2"/>
  <c r="D16" i="13"/>
  <c r="B24" i="8"/>
  <c r="B22" i="13"/>
  <c r="F45" i="2"/>
  <c r="C102" i="8"/>
  <c r="H34" i="6"/>
  <c r="E46" i="2"/>
  <c r="C85" i="13" s="1"/>
  <c r="N18" i="2"/>
  <c r="F18" i="2"/>
  <c r="C19" i="8"/>
  <c r="N19" i="2"/>
  <c r="C52" i="13" s="1"/>
  <c r="O26" i="6" l="1"/>
  <c r="K26" i="6"/>
  <c r="D25" i="2" s="1"/>
  <c r="B24" i="13" s="1"/>
  <c r="N26" i="6"/>
  <c r="M25" i="2" s="1"/>
  <c r="K76" i="6"/>
  <c r="D53" i="2" s="1"/>
  <c r="L76" i="6"/>
  <c r="L26" i="6"/>
  <c r="E25" i="2" s="1"/>
  <c r="G45" i="2"/>
  <c r="D84" i="13"/>
  <c r="B109" i="8"/>
  <c r="B91" i="13"/>
  <c r="C61" i="8"/>
  <c r="C51" i="13"/>
  <c r="B67" i="8"/>
  <c r="B57" i="13"/>
  <c r="G18" i="2"/>
  <c r="D17" i="13"/>
  <c r="B25" i="8"/>
  <c r="B23" i="13"/>
  <c r="F46" i="2"/>
  <c r="D85" i="13" s="1"/>
  <c r="C103" i="8"/>
  <c r="O18" i="2"/>
  <c r="C62" i="8"/>
  <c r="O19" i="2"/>
  <c r="E19" i="2"/>
  <c r="C18" i="13" s="1"/>
  <c r="N20" i="2"/>
  <c r="C53" i="13" s="1"/>
  <c r="B110" i="8" l="1"/>
  <c r="B92" i="13"/>
  <c r="P19" i="2"/>
  <c r="D52" i="13"/>
  <c r="P18" i="2"/>
  <c r="D51" i="13"/>
  <c r="B68" i="8"/>
  <c r="B58" i="13"/>
  <c r="C26" i="8"/>
  <c r="C24" i="13"/>
  <c r="G46" i="2"/>
  <c r="B26" i="8"/>
  <c r="F25" i="2"/>
  <c r="E47" i="2"/>
  <c r="C63" i="8"/>
  <c r="O20" i="2"/>
  <c r="F19" i="2"/>
  <c r="C20" i="8"/>
  <c r="E20" i="2"/>
  <c r="C19" i="13" s="1"/>
  <c r="E21" i="2"/>
  <c r="C20" i="13" s="1"/>
  <c r="D24" i="13" l="1"/>
  <c r="C104" i="8"/>
  <c r="C86" i="13"/>
  <c r="P20" i="2"/>
  <c r="D53" i="13"/>
  <c r="G19" i="2"/>
  <c r="D18" i="13"/>
  <c r="G25" i="2"/>
  <c r="E48" i="2"/>
  <c r="C87" i="13" s="1"/>
  <c r="E49" i="2"/>
  <c r="C88" i="13" s="1"/>
  <c r="F47" i="2"/>
  <c r="D86" i="13" s="1"/>
  <c r="C21" i="8"/>
  <c r="F20" i="2"/>
  <c r="N22" i="2"/>
  <c r="C55" i="13" s="1"/>
  <c r="N21" i="2"/>
  <c r="C54" i="13" s="1"/>
  <c r="E22" i="2"/>
  <c r="C21" i="13" s="1"/>
  <c r="C22" i="8"/>
  <c r="F21" i="2"/>
  <c r="E50" i="2"/>
  <c r="C89" i="13" s="1"/>
  <c r="E82" i="6"/>
  <c r="E23" i="2" s="1"/>
  <c r="N24" i="2"/>
  <c r="C57" i="13" s="1"/>
  <c r="G21" i="2" l="1"/>
  <c r="D20" i="13"/>
  <c r="G20" i="2"/>
  <c r="D19" i="13"/>
  <c r="C24" i="8"/>
  <c r="C22" i="13"/>
  <c r="C106" i="8"/>
  <c r="F49" i="2"/>
  <c r="F48" i="2"/>
  <c r="C105" i="8"/>
  <c r="G47" i="2"/>
  <c r="C65" i="8"/>
  <c r="O22" i="2"/>
  <c r="O21" i="2"/>
  <c r="C64" i="8"/>
  <c r="F22" i="2"/>
  <c r="C23" i="8"/>
  <c r="C107" i="8"/>
  <c r="F50" i="2"/>
  <c r="F23" i="2"/>
  <c r="C67" i="8"/>
  <c r="L12" i="1"/>
  <c r="Q13" i="1" s="1"/>
  <c r="E84" i="6"/>
  <c r="O24" i="2"/>
  <c r="G49" i="2" l="1"/>
  <c r="D88" i="13"/>
  <c r="G50" i="2"/>
  <c r="D89" i="13"/>
  <c r="G48" i="2"/>
  <c r="D87" i="13"/>
  <c r="P21" i="2"/>
  <c r="D54" i="13"/>
  <c r="P24" i="2"/>
  <c r="D57" i="13"/>
  <c r="P22" i="2"/>
  <c r="D55" i="13"/>
  <c r="G23" i="2"/>
  <c r="D22" i="13"/>
  <c r="G22" i="2"/>
  <c r="D21" i="13"/>
  <c r="N23" i="2"/>
  <c r="C56" i="13" s="1"/>
  <c r="E85" i="6"/>
  <c r="C66" i="8" l="1"/>
  <c r="O23" i="2"/>
  <c r="D56" i="13" s="1"/>
  <c r="F145" i="6"/>
  <c r="E86" i="6" s="1"/>
  <c r="E51" i="2" s="1"/>
  <c r="C90" i="13" s="1"/>
  <c r="P23" i="2" l="1"/>
  <c r="F51" i="2"/>
  <c r="C108" i="8"/>
  <c r="E52" i="2"/>
  <c r="C91" i="13" s="1"/>
  <c r="F146" i="6"/>
  <c r="E87" i="6" s="1"/>
  <c r="E53" i="2"/>
  <c r="C92" i="13" s="1"/>
  <c r="G51" i="2" l="1"/>
  <c r="D90" i="13"/>
  <c r="E95" i="13"/>
  <c r="N25" i="2"/>
  <c r="F147" i="6"/>
  <c r="E3" i="6" s="1"/>
  <c r="E4" i="6" s="1"/>
  <c r="E9" i="6" s="1"/>
  <c r="E4" i="1" s="1"/>
  <c r="E24" i="2"/>
  <c r="C23" i="13" s="1"/>
  <c r="E27" i="13" s="1"/>
  <c r="F52" i="2"/>
  <c r="C109" i="8"/>
  <c r="J35" i="2"/>
  <c r="C110" i="8"/>
  <c r="F53" i="2"/>
  <c r="D92" i="13" l="1"/>
  <c r="C113" i="8"/>
  <c r="C58" i="13"/>
  <c r="E61" i="13" s="1"/>
  <c r="G52" i="2"/>
  <c r="D91" i="13"/>
  <c r="G53" i="2"/>
  <c r="F54" i="2"/>
  <c r="F24" i="2"/>
  <c r="C29" i="8" s="1"/>
  <c r="C68" i="8"/>
  <c r="O25" i="2"/>
  <c r="C71" i="8" s="1"/>
  <c r="S7" i="2"/>
  <c r="D3" i="6"/>
  <c r="D4" i="6" s="1"/>
  <c r="D9" i="6" s="1"/>
  <c r="D4" i="1" s="1"/>
  <c r="J7" i="2"/>
  <c r="C25" i="8"/>
  <c r="E97" i="13" l="1"/>
  <c r="E14" i="12" s="1"/>
  <c r="G54" i="2"/>
  <c r="J40" i="2" s="1"/>
  <c r="F55" i="2" s="1"/>
  <c r="M96" i="13"/>
  <c r="M95" i="13"/>
  <c r="H95" i="13"/>
  <c r="I73" i="13" s="1"/>
  <c r="D58" i="13"/>
  <c r="D23" i="13"/>
  <c r="P25" i="2"/>
  <c r="P26" i="2" s="1"/>
  <c r="O26" i="2"/>
  <c r="G24" i="2"/>
  <c r="G26" i="2" s="1"/>
  <c r="F26" i="2"/>
  <c r="D106" i="8"/>
  <c r="H106" i="8" s="1"/>
  <c r="I106" i="8" s="1"/>
  <c r="J106" i="8" s="1" a="1"/>
  <c r="J106" i="8" s="1"/>
  <c r="E106" i="8" s="1"/>
  <c r="F106" i="8" s="1"/>
  <c r="K106" i="8" s="1"/>
  <c r="C3" i="6"/>
  <c r="C4" i="6" s="1"/>
  <c r="C9" i="6" s="1"/>
  <c r="H96" i="13" l="1"/>
  <c r="K72" i="13" s="1"/>
  <c r="I74" i="13" s="1"/>
  <c r="G12" i="12"/>
  <c r="E63" i="13"/>
  <c r="E11" i="12" s="1"/>
  <c r="G11" i="12" s="1"/>
  <c r="H61" i="13"/>
  <c r="M62" i="13"/>
  <c r="M61" i="13"/>
  <c r="M27" i="13"/>
  <c r="E29" i="13"/>
  <c r="E10" i="12" s="1"/>
  <c r="M28" i="13"/>
  <c r="H27" i="13"/>
  <c r="J12" i="2"/>
  <c r="F27" i="2" s="1"/>
  <c r="S12" i="2"/>
  <c r="O27" i="2" s="1"/>
  <c r="D95" i="8"/>
  <c r="H95" i="8" s="1"/>
  <c r="I95" i="8" s="1"/>
  <c r="J95" i="8" s="1" a="1"/>
  <c r="J95" i="8" s="1"/>
  <c r="E95" i="8" s="1"/>
  <c r="F95" i="8" s="1"/>
  <c r="K95" i="8" s="1"/>
  <c r="D107" i="8"/>
  <c r="H107" i="8" s="1"/>
  <c r="I107" i="8" s="1"/>
  <c r="J107" i="8" s="1" a="1"/>
  <c r="J107" i="8" s="1"/>
  <c r="E107" i="8" s="1"/>
  <c r="F107" i="8" s="1"/>
  <c r="K107" i="8" s="1"/>
  <c r="D108" i="8"/>
  <c r="H108" i="8" s="1"/>
  <c r="I108" i="8" s="1"/>
  <c r="J108" i="8" s="1" a="1"/>
  <c r="J108" i="8" s="1"/>
  <c r="E108" i="8" s="1"/>
  <c r="F108" i="8" s="1"/>
  <c r="K108" i="8" s="1"/>
  <c r="D102" i="8"/>
  <c r="H102" i="8" s="1"/>
  <c r="I102" i="8" s="1"/>
  <c r="J102" i="8" s="1" a="1"/>
  <c r="J102" i="8" s="1"/>
  <c r="E102" i="8" s="1"/>
  <c r="F102" i="8" s="1"/>
  <c r="K102" i="8" s="1"/>
  <c r="D103" i="8"/>
  <c r="H103" i="8" s="1"/>
  <c r="I103" i="8" s="1"/>
  <c r="J103" i="8" s="1" a="1"/>
  <c r="J103" i="8" s="1"/>
  <c r="E103" i="8" s="1"/>
  <c r="F103" i="8" s="1"/>
  <c r="K103" i="8" s="1"/>
  <c r="D93" i="8"/>
  <c r="H93" i="8" s="1"/>
  <c r="I93" i="8" s="1"/>
  <c r="J93" i="8" s="1" a="1"/>
  <c r="J93" i="8" s="1"/>
  <c r="E93" i="8" s="1"/>
  <c r="F93" i="8" s="1"/>
  <c r="K93" i="8" s="1"/>
  <c r="D99" i="8"/>
  <c r="H99" i="8" s="1"/>
  <c r="I99" i="8" s="1"/>
  <c r="J99" i="8" s="1" a="1"/>
  <c r="J99" i="8" s="1"/>
  <c r="E99" i="8" s="1"/>
  <c r="F99" i="8" s="1"/>
  <c r="K99" i="8" s="1"/>
  <c r="D94" i="8"/>
  <c r="H94" i="8" s="1"/>
  <c r="I94" i="8" s="1"/>
  <c r="J94" i="8" s="1" a="1"/>
  <c r="J94" i="8" s="1"/>
  <c r="E94" i="8" s="1"/>
  <c r="F94" i="8" s="1"/>
  <c r="K94" i="8" s="1"/>
  <c r="D97" i="8"/>
  <c r="H97" i="8" s="1"/>
  <c r="I97" i="8" s="1"/>
  <c r="J97" i="8" s="1" a="1"/>
  <c r="J97" i="8" s="1"/>
  <c r="E97" i="8" s="1"/>
  <c r="F97" i="8" s="1"/>
  <c r="K97" i="8" s="1"/>
  <c r="D101" i="8"/>
  <c r="H101" i="8" s="1"/>
  <c r="I101" i="8" s="1"/>
  <c r="J101" i="8" s="1" a="1"/>
  <c r="J101" i="8" s="1"/>
  <c r="E101" i="8" s="1"/>
  <c r="F101" i="8" s="1"/>
  <c r="K101" i="8" s="1"/>
  <c r="D92" i="8"/>
  <c r="H92" i="8" s="1"/>
  <c r="I92" i="8" s="1"/>
  <c r="J92" i="8" s="1" a="1"/>
  <c r="J92" i="8" s="1"/>
  <c r="E92" i="8" s="1"/>
  <c r="F92" i="8" s="1"/>
  <c r="K92" i="8" s="1"/>
  <c r="G14" i="12"/>
  <c r="I14" i="12" s="1"/>
  <c r="K14" i="12" s="1"/>
  <c r="M14" i="12" s="1"/>
  <c r="D91" i="8"/>
  <c r="H91" i="8" s="1"/>
  <c r="I91" i="8" s="1"/>
  <c r="J91" i="8" s="1" a="1"/>
  <c r="J91" i="8" s="1"/>
  <c r="E91" i="8" s="1"/>
  <c r="F91" i="8" s="1"/>
  <c r="K91" i="8" s="1"/>
  <c r="D105" i="8"/>
  <c r="H105" i="8" s="1"/>
  <c r="I105" i="8" s="1"/>
  <c r="J105" i="8" s="1" a="1"/>
  <c r="J105" i="8" s="1"/>
  <c r="E105" i="8" s="1"/>
  <c r="F105" i="8" s="1"/>
  <c r="K105" i="8" s="1"/>
  <c r="D96" i="8"/>
  <c r="H96" i="8" s="1"/>
  <c r="I96" i="8" s="1"/>
  <c r="J96" i="8" s="1" a="1"/>
  <c r="J96" i="8" s="1"/>
  <c r="E96" i="8" s="1"/>
  <c r="F96" i="8" s="1"/>
  <c r="K96" i="8" s="1"/>
  <c r="E118" i="8"/>
  <c r="D104" i="8"/>
  <c r="H104" i="8" s="1"/>
  <c r="I104" i="8" s="1"/>
  <c r="J104" i="8" s="1" a="1"/>
  <c r="J104" i="8" s="1"/>
  <c r="E104" i="8" s="1"/>
  <c r="F104" i="8" s="1"/>
  <c r="K104" i="8" s="1"/>
  <c r="D110" i="8"/>
  <c r="H110" i="8" s="1"/>
  <c r="I110" i="8" s="1"/>
  <c r="J110" i="8" s="1" a="1"/>
  <c r="J110" i="8" s="1"/>
  <c r="E110" i="8" s="1"/>
  <c r="F110" i="8" s="1"/>
  <c r="K110" i="8" s="1"/>
  <c r="D100" i="8"/>
  <c r="H100" i="8" s="1"/>
  <c r="I100" i="8" s="1"/>
  <c r="J100" i="8" s="1" a="1"/>
  <c r="J100" i="8" s="1"/>
  <c r="E100" i="8" s="1"/>
  <c r="F100" i="8" s="1"/>
  <c r="K100" i="8" s="1"/>
  <c r="D98" i="8"/>
  <c r="H98" i="8" s="1"/>
  <c r="I98" i="8" s="1"/>
  <c r="J98" i="8" s="1" a="1"/>
  <c r="J98" i="8" s="1"/>
  <c r="E98" i="8" s="1"/>
  <c r="F98" i="8" s="1"/>
  <c r="K98" i="8" s="1"/>
  <c r="D109" i="8"/>
  <c r="H109" i="8" s="1"/>
  <c r="I109" i="8" s="1"/>
  <c r="J109" i="8" s="1" a="1"/>
  <c r="J109" i="8" s="1"/>
  <c r="E109" i="8" s="1"/>
  <c r="F109" i="8" s="1"/>
  <c r="K109" i="8" s="1"/>
  <c r="C4" i="1"/>
  <c r="B81" i="6"/>
  <c r="J11" i="12" l="1"/>
  <c r="I11" i="12"/>
  <c r="J12" i="12"/>
  <c r="J15" i="12" s="1"/>
  <c r="I12" i="12"/>
  <c r="I75" i="13"/>
  <c r="J75" i="13" s="1"/>
  <c r="I39" i="13"/>
  <c r="H62" i="13"/>
  <c r="K38" i="13" s="1"/>
  <c r="H28" i="13"/>
  <c r="K4" i="13" s="1"/>
  <c r="I5" i="13"/>
  <c r="G13" i="12"/>
  <c r="I13" i="12" s="1"/>
  <c r="K13" i="12" s="1"/>
  <c r="M13" i="12" s="1"/>
  <c r="G10" i="12"/>
  <c r="I10" i="12" s="1"/>
  <c r="K10" i="12" s="1"/>
  <c r="D7" i="8"/>
  <c r="H7" i="8" s="1"/>
  <c r="I7" i="8" s="1"/>
  <c r="J7" i="8" s="1" a="1"/>
  <c r="J7" i="8" s="1"/>
  <c r="E7" i="8" s="1"/>
  <c r="F7" i="8" s="1"/>
  <c r="K7" i="8" s="1"/>
  <c r="D59" i="8"/>
  <c r="H59" i="8" s="1"/>
  <c r="I59" i="8" s="1"/>
  <c r="J59" i="8" s="1" a="1"/>
  <c r="J59" i="8" s="1"/>
  <c r="E59" i="8" s="1"/>
  <c r="F59" i="8" s="1"/>
  <c r="K59" i="8" s="1"/>
  <c r="L14" i="12"/>
  <c r="K111" i="8"/>
  <c r="E119" i="8" s="1"/>
  <c r="F111" i="8"/>
  <c r="G4" i="1"/>
  <c r="G7" i="1" s="1"/>
  <c r="Q4" i="1"/>
  <c r="E120" i="8" l="1"/>
  <c r="E121" i="8"/>
  <c r="K11" i="12"/>
  <c r="K12" i="12"/>
  <c r="L12" i="12" s="1"/>
  <c r="I76" i="13"/>
  <c r="J76" i="13" s="1"/>
  <c r="J74" i="13"/>
  <c r="H73" i="13" s="1"/>
  <c r="I40" i="13"/>
  <c r="G39" i="13"/>
  <c r="I6" i="13"/>
  <c r="G5" i="13"/>
  <c r="D26" i="8"/>
  <c r="H26" i="8" s="1"/>
  <c r="I26" i="8" s="1"/>
  <c r="J26" i="8" s="1" a="1"/>
  <c r="J26" i="8" s="1"/>
  <c r="E26" i="8" s="1"/>
  <c r="F26" i="8" s="1"/>
  <c r="K26" i="8" s="1"/>
  <c r="D13" i="8"/>
  <c r="H13" i="8" s="1"/>
  <c r="I13" i="8" s="1"/>
  <c r="J13" i="8" s="1" a="1"/>
  <c r="J13" i="8" s="1"/>
  <c r="E13" i="8" s="1"/>
  <c r="F13" i="8" s="1"/>
  <c r="K13" i="8" s="1"/>
  <c r="D56" i="8"/>
  <c r="H56" i="8" s="1"/>
  <c r="I56" i="8" s="1"/>
  <c r="J56" i="8" s="1" a="1"/>
  <c r="J56" i="8" s="1"/>
  <c r="E56" i="8" s="1"/>
  <c r="F56" i="8" s="1"/>
  <c r="K56" i="8" s="1"/>
  <c r="D57" i="8"/>
  <c r="H57" i="8" s="1"/>
  <c r="I57" i="8" s="1"/>
  <c r="J57" i="8" s="1" a="1"/>
  <c r="J57" i="8" s="1"/>
  <c r="E57" i="8" s="1"/>
  <c r="F57" i="8" s="1"/>
  <c r="K57" i="8" s="1"/>
  <c r="D52" i="8"/>
  <c r="H52" i="8" s="1"/>
  <c r="I52" i="8" s="1"/>
  <c r="J52" i="8" s="1" a="1"/>
  <c r="J52" i="8" s="1"/>
  <c r="E52" i="8" s="1"/>
  <c r="F52" i="8" s="1"/>
  <c r="K52" i="8" s="1"/>
  <c r="D68" i="8"/>
  <c r="H68" i="8" s="1"/>
  <c r="I68" i="8" s="1"/>
  <c r="J68" i="8" s="1" a="1"/>
  <c r="J68" i="8" s="1"/>
  <c r="E68" i="8" s="1"/>
  <c r="F68" i="8" s="1"/>
  <c r="K68" i="8" s="1"/>
  <c r="I15" i="12"/>
  <c r="H27" i="12" s="1"/>
  <c r="D24" i="8"/>
  <c r="H24" i="8" s="1"/>
  <c r="I24" i="8" s="1"/>
  <c r="J24" i="8" s="1" a="1"/>
  <c r="J24" i="8" s="1"/>
  <c r="E24" i="8" s="1"/>
  <c r="F24" i="8" s="1"/>
  <c r="K24" i="8" s="1"/>
  <c r="D20" i="8"/>
  <c r="H20" i="8" s="1"/>
  <c r="I20" i="8" s="1"/>
  <c r="J20" i="8" s="1" a="1"/>
  <c r="J20" i="8" s="1"/>
  <c r="E20" i="8" s="1"/>
  <c r="F20" i="8" s="1"/>
  <c r="K20" i="8" s="1"/>
  <c r="L13" i="12"/>
  <c r="D11" i="8"/>
  <c r="H11" i="8" s="1"/>
  <c r="I11" i="8" s="1"/>
  <c r="J11" i="8" s="1" a="1"/>
  <c r="J11" i="8" s="1"/>
  <c r="E11" i="8" s="1"/>
  <c r="F11" i="8" s="1"/>
  <c r="K11" i="8" s="1"/>
  <c r="D8" i="8"/>
  <c r="H8" i="8" s="1"/>
  <c r="I8" i="8" s="1"/>
  <c r="J8" i="8" s="1" a="1"/>
  <c r="J8" i="8" s="1"/>
  <c r="E8" i="8" s="1"/>
  <c r="F8" i="8" s="1"/>
  <c r="K8" i="8" s="1"/>
  <c r="E34" i="8"/>
  <c r="D64" i="8"/>
  <c r="H64" i="8" s="1"/>
  <c r="I64" i="8" s="1"/>
  <c r="J64" i="8" s="1" a="1"/>
  <c r="J64" i="8" s="1"/>
  <c r="E64" i="8" s="1"/>
  <c r="F64" i="8" s="1"/>
  <c r="K64" i="8" s="1"/>
  <c r="D51" i="8"/>
  <c r="H51" i="8" s="1"/>
  <c r="I51" i="8" s="1"/>
  <c r="J51" i="8" s="1" a="1"/>
  <c r="J51" i="8" s="1"/>
  <c r="E51" i="8" s="1"/>
  <c r="F51" i="8" s="1"/>
  <c r="K51" i="8" s="1"/>
  <c r="D54" i="8"/>
  <c r="H54" i="8" s="1"/>
  <c r="I54" i="8" s="1"/>
  <c r="J54" i="8" s="1" a="1"/>
  <c r="J54" i="8" s="1"/>
  <c r="E54" i="8" s="1"/>
  <c r="F54" i="8" s="1"/>
  <c r="K54" i="8" s="1"/>
  <c r="D63" i="8"/>
  <c r="H63" i="8" s="1"/>
  <c r="I63" i="8" s="1"/>
  <c r="J63" i="8" s="1" a="1"/>
  <c r="J63" i="8" s="1"/>
  <c r="E63" i="8" s="1"/>
  <c r="F63" i="8" s="1"/>
  <c r="K63" i="8" s="1"/>
  <c r="D50" i="8"/>
  <c r="H50" i="8" s="1"/>
  <c r="I50" i="8" s="1"/>
  <c r="J50" i="8" s="1" a="1"/>
  <c r="J50" i="8" s="1"/>
  <c r="E50" i="8" s="1"/>
  <c r="F50" i="8" s="1"/>
  <c r="K50" i="8" s="1"/>
  <c r="D60" i="8"/>
  <c r="H60" i="8" s="1"/>
  <c r="I60" i="8" s="1"/>
  <c r="J60" i="8" s="1" a="1"/>
  <c r="J60" i="8" s="1"/>
  <c r="E60" i="8" s="1"/>
  <c r="F60" i="8" s="1"/>
  <c r="K60" i="8" s="1"/>
  <c r="E76" i="8"/>
  <c r="D15" i="8"/>
  <c r="H15" i="8" s="1"/>
  <c r="I15" i="8" s="1"/>
  <c r="J15" i="8" s="1" a="1"/>
  <c r="J15" i="8" s="1"/>
  <c r="E15" i="8" s="1"/>
  <c r="F15" i="8" s="1"/>
  <c r="K15" i="8" s="1"/>
  <c r="D16" i="8"/>
  <c r="H16" i="8" s="1"/>
  <c r="I16" i="8" s="1"/>
  <c r="J16" i="8" s="1" a="1"/>
  <c r="J16" i="8" s="1"/>
  <c r="E16" i="8" s="1"/>
  <c r="F16" i="8" s="1"/>
  <c r="K16" i="8" s="1"/>
  <c r="D21" i="8"/>
  <c r="H21" i="8" s="1"/>
  <c r="I21" i="8" s="1"/>
  <c r="J21" i="8" s="1" a="1"/>
  <c r="J21" i="8" s="1"/>
  <c r="E21" i="8" s="1"/>
  <c r="F21" i="8" s="1"/>
  <c r="K21" i="8" s="1"/>
  <c r="D23" i="8"/>
  <c r="H23" i="8" s="1"/>
  <c r="I23" i="8" s="1"/>
  <c r="J23" i="8" s="1" a="1"/>
  <c r="J23" i="8" s="1"/>
  <c r="E23" i="8" s="1"/>
  <c r="F23" i="8" s="1"/>
  <c r="K23" i="8" s="1"/>
  <c r="D19" i="8"/>
  <c r="H19" i="8" s="1"/>
  <c r="I19" i="8" s="1"/>
  <c r="J19" i="8" s="1" a="1"/>
  <c r="J19" i="8" s="1"/>
  <c r="E19" i="8" s="1"/>
  <c r="F19" i="8" s="1"/>
  <c r="K19" i="8" s="1"/>
  <c r="D18" i="8"/>
  <c r="H18" i="8" s="1"/>
  <c r="I18" i="8" s="1"/>
  <c r="J18" i="8" s="1" a="1"/>
  <c r="J18" i="8" s="1"/>
  <c r="E18" i="8" s="1"/>
  <c r="F18" i="8" s="1"/>
  <c r="K18" i="8" s="1"/>
  <c r="D10" i="8"/>
  <c r="H10" i="8" s="1"/>
  <c r="I10" i="8" s="1"/>
  <c r="J10" i="8" s="1" a="1"/>
  <c r="J10" i="8" s="1"/>
  <c r="E10" i="8" s="1"/>
  <c r="F10" i="8" s="1"/>
  <c r="K10" i="8" s="1"/>
  <c r="D25" i="8"/>
  <c r="H25" i="8" s="1"/>
  <c r="I25" i="8" s="1"/>
  <c r="J25" i="8" s="1" a="1"/>
  <c r="J25" i="8" s="1"/>
  <c r="E25" i="8" s="1"/>
  <c r="F25" i="8" s="1"/>
  <c r="K25" i="8" s="1"/>
  <c r="D9" i="8"/>
  <c r="H9" i="8" s="1"/>
  <c r="I9" i="8" s="1"/>
  <c r="J9" i="8" s="1" a="1"/>
  <c r="J9" i="8" s="1"/>
  <c r="E9" i="8" s="1"/>
  <c r="F9" i="8" s="1"/>
  <c r="K9" i="8" s="1"/>
  <c r="D22" i="8"/>
  <c r="H22" i="8" s="1"/>
  <c r="I22" i="8" s="1"/>
  <c r="J22" i="8" s="1" a="1"/>
  <c r="J22" i="8" s="1"/>
  <c r="E22" i="8" s="1"/>
  <c r="F22" i="8" s="1"/>
  <c r="K22" i="8" s="1"/>
  <c r="D17" i="8"/>
  <c r="H17" i="8" s="1"/>
  <c r="I17" i="8" s="1"/>
  <c r="J17" i="8" s="1" a="1"/>
  <c r="J17" i="8" s="1"/>
  <c r="E17" i="8" s="1"/>
  <c r="F17" i="8" s="1"/>
  <c r="K17" i="8" s="1"/>
  <c r="D12" i="8"/>
  <c r="H12" i="8" s="1"/>
  <c r="I12" i="8" s="1"/>
  <c r="J12" i="8" s="1" a="1"/>
  <c r="J12" i="8" s="1"/>
  <c r="E12" i="8" s="1"/>
  <c r="F12" i="8" s="1"/>
  <c r="K12" i="8" s="1"/>
  <c r="D14" i="8"/>
  <c r="H14" i="8" s="1"/>
  <c r="I14" i="8" s="1"/>
  <c r="J14" i="8" s="1" a="1"/>
  <c r="J14" i="8" s="1"/>
  <c r="E14" i="8" s="1"/>
  <c r="F14" i="8" s="1"/>
  <c r="K14" i="8" s="1"/>
  <c r="D58" i="8"/>
  <c r="H58" i="8" s="1"/>
  <c r="I58" i="8" s="1"/>
  <c r="J58" i="8" s="1" a="1"/>
  <c r="J58" i="8" s="1"/>
  <c r="E58" i="8" s="1"/>
  <c r="F58" i="8" s="1"/>
  <c r="K58" i="8" s="1"/>
  <c r="D62" i="8"/>
  <c r="H62" i="8" s="1"/>
  <c r="I62" i="8" s="1"/>
  <c r="J62" i="8" s="1" a="1"/>
  <c r="J62" i="8" s="1"/>
  <c r="E62" i="8" s="1"/>
  <c r="F62" i="8" s="1"/>
  <c r="K62" i="8" s="1"/>
  <c r="D49" i="8"/>
  <c r="H49" i="8" s="1"/>
  <c r="I49" i="8" s="1"/>
  <c r="J49" i="8" s="1" a="1"/>
  <c r="J49" i="8" s="1"/>
  <c r="E49" i="8" s="1"/>
  <c r="F49" i="8" s="1"/>
  <c r="K49" i="8" s="1"/>
  <c r="D61" i="8"/>
  <c r="H61" i="8" s="1"/>
  <c r="I61" i="8" s="1"/>
  <c r="J61" i="8" s="1" a="1"/>
  <c r="J61" i="8" s="1"/>
  <c r="E61" i="8" s="1"/>
  <c r="F61" i="8" s="1"/>
  <c r="K61" i="8" s="1"/>
  <c r="D55" i="8"/>
  <c r="H55" i="8" s="1"/>
  <c r="I55" i="8" s="1"/>
  <c r="J55" i="8" s="1" a="1"/>
  <c r="J55" i="8" s="1"/>
  <c r="E55" i="8" s="1"/>
  <c r="F55" i="8" s="1"/>
  <c r="K55" i="8" s="1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67" i="8"/>
  <c r="H67" i="8" s="1"/>
  <c r="I67" i="8" s="1"/>
  <c r="J67" i="8" s="1" a="1"/>
  <c r="J67" i="8" s="1"/>
  <c r="E67" i="8" s="1"/>
  <c r="F67" i="8" s="1"/>
  <c r="K67" i="8" s="1"/>
  <c r="D65" i="8"/>
  <c r="H65" i="8" s="1"/>
  <c r="I65" i="8" s="1"/>
  <c r="J65" i="8" s="1" a="1"/>
  <c r="J65" i="8" s="1"/>
  <c r="E65" i="8" s="1"/>
  <c r="F65" i="8" s="1"/>
  <c r="K65" i="8" s="1"/>
  <c r="M10" i="12"/>
  <c r="L10" i="12"/>
  <c r="K15" i="12"/>
  <c r="J16" i="12"/>
  <c r="H25" i="12" s="1"/>
  <c r="G44" i="12" s="1"/>
  <c r="J17" i="12"/>
  <c r="H26" i="12" s="1"/>
  <c r="H24" i="12"/>
  <c r="L11" i="12"/>
  <c r="M11" i="12"/>
  <c r="Q6" i="1"/>
  <c r="G8" i="1"/>
  <c r="F36" i="12" l="1"/>
  <c r="F42" i="12"/>
  <c r="M12" i="12"/>
  <c r="I77" i="13"/>
  <c r="J77" i="13" s="1"/>
  <c r="H74" i="13"/>
  <c r="F74" i="13" s="1"/>
  <c r="E74" i="13" s="1"/>
  <c r="F73" i="13"/>
  <c r="J40" i="13"/>
  <c r="H39" i="13" s="1"/>
  <c r="F39" i="13" s="1"/>
  <c r="E39" i="13" s="1"/>
  <c r="G40" i="13"/>
  <c r="I41" i="13"/>
  <c r="J6" i="13"/>
  <c r="H5" i="13" s="1"/>
  <c r="F5" i="13" s="1"/>
  <c r="E5" i="13" s="1"/>
  <c r="I7" i="13"/>
  <c r="G6" i="13"/>
  <c r="I16" i="12"/>
  <c r="H22" i="12" s="1"/>
  <c r="I17" i="12"/>
  <c r="H23" i="12" s="1"/>
  <c r="H21" i="12"/>
  <c r="F38" i="12" s="1"/>
  <c r="F40" i="12" s="1"/>
  <c r="F27" i="8"/>
  <c r="K27" i="8"/>
  <c r="E35" i="8" s="1"/>
  <c r="F69" i="8"/>
  <c r="K69" i="8"/>
  <c r="E77" i="8" s="1"/>
  <c r="L16" i="12"/>
  <c r="L13" i="1"/>
  <c r="Q7" i="1"/>
  <c r="L8" i="1"/>
  <c r="E78" i="8" l="1"/>
  <c r="E79" i="8"/>
  <c r="E36" i="8"/>
  <c r="E37" i="8"/>
  <c r="M17" i="12"/>
  <c r="H29" i="12"/>
  <c r="H42" i="12" s="1"/>
  <c r="I78" i="13"/>
  <c r="J78" i="13" s="1"/>
  <c r="H75" i="13"/>
  <c r="E73" i="13"/>
  <c r="J41" i="13"/>
  <c r="H40" i="13" s="1"/>
  <c r="F40" i="13" s="1"/>
  <c r="E40" i="13" s="1"/>
  <c r="G41" i="13"/>
  <c r="I42" i="13"/>
  <c r="J7" i="13"/>
  <c r="H6" i="13" s="1"/>
  <c r="F6" i="13" s="1"/>
  <c r="E6" i="13" s="1"/>
  <c r="G7" i="13"/>
  <c r="I8" i="13"/>
  <c r="H28" i="12"/>
  <c r="L9" i="1"/>
  <c r="Q10" i="1"/>
  <c r="Q14" i="1"/>
  <c r="L15" i="1"/>
  <c r="G36" i="12" l="1"/>
  <c r="G50" i="12" s="1"/>
  <c r="G42" i="12"/>
  <c r="H36" i="12"/>
  <c r="H38" i="12"/>
  <c r="H40" i="12" s="1"/>
  <c r="I79" i="13"/>
  <c r="J79" i="13" s="1"/>
  <c r="F75" i="13"/>
  <c r="J42" i="13"/>
  <c r="H41" i="13" s="1"/>
  <c r="F41" i="13" s="1"/>
  <c r="E41" i="13" s="1"/>
  <c r="G42" i="13"/>
  <c r="I43" i="13"/>
  <c r="J8" i="13"/>
  <c r="H7" i="13" s="1"/>
  <c r="F7" i="13" s="1"/>
  <c r="E7" i="13" s="1"/>
  <c r="I9" i="13"/>
  <c r="J9" i="13" s="1"/>
  <c r="G8" i="13"/>
  <c r="G38" i="12"/>
  <c r="G40" i="12" s="1"/>
  <c r="G48" i="12"/>
  <c r="I17" i="1"/>
  <c r="Q12" i="1"/>
  <c r="G46" i="12"/>
  <c r="H76" i="13" l="1"/>
  <c r="F76" i="13" s="1"/>
  <c r="E76" i="13" s="1"/>
  <c r="H8" i="13"/>
  <c r="F8" i="13" s="1"/>
  <c r="E8" i="13" s="1"/>
  <c r="H77" i="13"/>
  <c r="E75" i="13"/>
  <c r="J43" i="13"/>
  <c r="H42" i="13" s="1"/>
  <c r="F42" i="13" s="1"/>
  <c r="E42" i="13" s="1"/>
  <c r="I10" i="13"/>
  <c r="G9" i="13"/>
  <c r="F77" i="13" l="1"/>
  <c r="E77" i="13" s="1"/>
  <c r="J10" i="13"/>
  <c r="H9" i="13" s="1"/>
  <c r="F9" i="13" s="1"/>
  <c r="E9" i="13" s="1"/>
  <c r="H78" i="13" l="1"/>
  <c r="F78" i="13" s="1"/>
  <c r="E78" i="13" s="1"/>
  <c r="O76" i="13"/>
  <c r="O73" i="13"/>
  <c r="F79" i="13"/>
  <c r="O42" i="13"/>
  <c r="O39" i="13"/>
  <c r="F43" i="13"/>
  <c r="N47" i="13"/>
  <c r="E43" i="13"/>
  <c r="O40" i="13"/>
  <c r="O43" i="13"/>
  <c r="O45" i="13"/>
  <c r="H43" i="13"/>
  <c r="E79" i="13"/>
  <c r="O74" i="13"/>
  <c r="O77" i="13"/>
  <c r="O79" i="13"/>
  <c r="N81" i="13"/>
  <c r="H79" i="13"/>
  <c r="H10" i="13"/>
  <c r="F10" i="13"/>
  <c r="O5" i="13"/>
  <c r="O8" i="13"/>
  <c r="E10" i="13"/>
  <c r="O6" i="13"/>
  <c r="O9" i="13"/>
  <c r="O11" i="13"/>
  <c r="N1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<sst xmlns="http://schemas.openxmlformats.org/spreadsheetml/2006/main" count="355" uniqueCount="155">
  <si>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</si>
  <si>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</si>
  <si>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</si>
  <si>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</si>
  <si>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</si>
  <si>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</si>
  <si>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</si>
  <si>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</si>
  <si>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</si>
  <si>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</si>
  <si>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</si>
  <si>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</si>
  <si>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</si>
  <si>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</si>
  <si>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</si>
  <si>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</si>
  <si>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</si>
  <si>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</si>
  <si>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</si>
  <si>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</si>
  <si>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</si>
  <si>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</si>
  <si>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</si>
  <si>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</si>
  <si>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</si>
  <si>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</si>
  <si>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</si>
  <si>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</si>
  <si>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</si>
  <si>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</si>
  <si>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</si>
  <si>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</si>
  <si>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</si>
  <si>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</si>
  <si>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</si>
  <si>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</si>
  <si>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</si>
  <si>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</si>
  <si>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</si>
  <si>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</si>
  <si>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</si>
  <si>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</si>
  <si>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</si>
  <si>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</si>
  <si>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</si>
  <si>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</si>
  <si>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</si>
  <si>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</si>
  <si>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</si>
  <si>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</si>
  <si>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</si>
  <si>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</si>
  <si>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</si>
  <si>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</si>
  <si>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</si>
  <si>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</si>
  <si>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</si>
  <si>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</si>
  <si>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</si>
  <si>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</si>
  <si>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</si>
  <si>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</si>
  <si>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</si>
  <si>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</si>
  <si>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</si>
  <si>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</si>
  <si>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</si>
  <si>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</si>
  <si>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</si>
  <si>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</si>
  <si>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</si>
  <si>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</si>
  <si>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</si>
  <si>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</si>
  <si>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</si>
  <si>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</si>
  <si>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</si>
  <si>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</si>
  <si>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</si>
  <si>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</si>
  <si>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</si>
  <si>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</si>
  <si>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</si>
  <si>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</si>
  <si>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</si>
  <si>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</si>
  <si>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</si>
  <si>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</si>
  <si>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</si>
  <si>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</si>
  <si>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</si>
  <si>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</si>
  <si>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</si>
  <si>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</si>
  <si>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</si>
  <si>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</si>
  <si>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</si>
  <si>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</si>
  <si>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</si>
  <si>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</si>
  <si>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</si>
  <si>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</si>
  <si>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</si>
  <si>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</si>
  <si>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</si>
  <si>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</si>
  <si>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</si>
  <si>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</si>
  <si>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</si>
  <si>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P</t>
  </si>
  <si>
    <t>C</t>
  </si>
  <si>
    <t>J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</si>
  <si>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</si>
  <si>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</si>
  <si>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</si>
  <si>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</si>
  <si>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</si>
  <si>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</si>
  <si>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</si>
  <si>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</si>
  <si>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</si>
  <si>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</si>
  <si>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</si>
  <si>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</si>
  <si>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Preparar armado</t>
  </si>
  <si>
    <t xml:space="preserve">Coge Caja </t>
  </si>
  <si>
    <t>Arma Caja</t>
  </si>
  <si>
    <t>Rotular caja</t>
  </si>
  <si>
    <t>R</t>
  </si>
  <si>
    <t>Pegar Direccion de Destino de caja</t>
  </si>
  <si>
    <t>Clasificar prendas</t>
  </si>
  <si>
    <t>Conteo de prendas por estilo, color y talla</t>
  </si>
  <si>
    <t>Llenar caja</t>
  </si>
  <si>
    <t>L</t>
  </si>
  <si>
    <t>Anotar cantidad y peso caja</t>
  </si>
  <si>
    <t>Cerrar y forrar Caja</t>
  </si>
  <si>
    <t>Cerrar y forrar caja</t>
  </si>
  <si>
    <t>Encajado</t>
  </si>
  <si>
    <t>TIPO</t>
  </si>
  <si>
    <t>IIIIIII</t>
  </si>
  <si>
    <t>III</t>
  </si>
  <si>
    <t>II</t>
  </si>
  <si>
    <t>IIII</t>
  </si>
  <si>
    <t>IIIII</t>
  </si>
  <si>
    <t>Tiempo Largo (reloj de puslo ordinario)</t>
  </si>
  <si>
    <t>N° de Elementos en Operación Abrir Rollo de Tela</t>
  </si>
  <si>
    <t>Observaciones</t>
  </si>
  <si>
    <t>NP</t>
  </si>
  <si>
    <t>F</t>
  </si>
  <si>
    <t>CA</t>
  </si>
  <si>
    <t>CI</t>
  </si>
  <si>
    <t>TM</t>
  </si>
  <si>
    <t>M</t>
  </si>
  <si>
    <t xml:space="preserve">Ritmo 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</si>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</sst>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5" fillId="0" borderId="17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8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2" fontId="5" fillId="2" borderId="9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65" fontId="5" fillId="2" borderId="0" xfId="0" quotePrefix="1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8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39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E11" sqref="E11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5" customFormat="1" ht="15.6" x14ac:dyDescent="0.3">
      <c r="C1" s="39"/>
      <c r="D1" s="39"/>
      <c r="E1" s="39"/>
      <c r="F1" s="39"/>
      <c r="G1" s="39"/>
      <c r="H1" s="39"/>
      <c r="I1" s="39"/>
    </row>
    <row r="2" spans="1:10" ht="15.6" x14ac:dyDescent="0.3">
      <c r="B2" s="26" t="s">
        <v>100</v>
      </c>
      <c r="C2" s="39"/>
      <c r="D2" s="40" t="s">
        <v>58</v>
      </c>
      <c r="E2" s="40" t="s">
        <v>138</v>
      </c>
      <c r="F2" s="40" t="s">
        <v>59</v>
      </c>
      <c r="G2" s="40" t="s">
        <v>60</v>
      </c>
      <c r="H2" s="40" t="s">
        <v>61</v>
      </c>
      <c r="I2" s="39"/>
      <c r="J2" s="35"/>
    </row>
    <row r="3" spans="1:10" ht="31.2" customHeight="1" x14ac:dyDescent="0.3">
      <c r="B3" s="26" t="s">
        <v>137</v>
      </c>
      <c r="C3" s="39"/>
      <c r="D3" s="41" t="s">
        <v>124</v>
      </c>
      <c r="E3" s="41" t="s">
        <v>36</v>
      </c>
      <c r="F3" s="41" t="s">
        <v>109</v>
      </c>
      <c r="G3" s="41" t="s">
        <v>125</v>
      </c>
      <c r="H3" s="41" t="s">
        <v>126</v>
      </c>
      <c r="I3" s="39"/>
      <c r="J3" s="35"/>
    </row>
    <row r="4" spans="1:10" ht="31.2" customHeight="1" x14ac:dyDescent="0.3">
      <c r="A4" t="s">
        <v>101</v>
      </c>
      <c r="C4" s="39"/>
      <c r="D4" s="41" t="s">
        <v>127</v>
      </c>
      <c r="E4" s="41" t="s">
        <v>36</v>
      </c>
      <c r="F4" s="41" t="s">
        <v>128</v>
      </c>
      <c r="G4" s="41" t="s">
        <v>126</v>
      </c>
      <c r="H4" s="41" t="s">
        <v>129</v>
      </c>
      <c r="I4" s="39"/>
      <c r="J4" s="35"/>
    </row>
    <row r="5" spans="1:10" ht="31.2" customHeight="1" x14ac:dyDescent="0.3">
      <c r="C5" s="39"/>
      <c r="D5" s="41" t="s">
        <v>130</v>
      </c>
      <c r="E5" s="41" t="s">
        <v>36</v>
      </c>
      <c r="F5" s="41" t="s">
        <v>110</v>
      </c>
      <c r="G5" s="41" t="s">
        <v>129</v>
      </c>
      <c r="H5" s="41" t="s">
        <v>131</v>
      </c>
      <c r="I5" s="39"/>
      <c r="J5" s="35"/>
    </row>
    <row r="6" spans="1:10" ht="31.2" customHeight="1" x14ac:dyDescent="0.3">
      <c r="C6" s="39"/>
      <c r="D6" s="41" t="s">
        <v>132</v>
      </c>
      <c r="E6" s="41" t="s">
        <v>36</v>
      </c>
      <c r="F6" s="41" t="s">
        <v>133</v>
      </c>
      <c r="G6" s="41" t="s">
        <v>131</v>
      </c>
      <c r="H6" s="41" t="s">
        <v>134</v>
      </c>
      <c r="I6" s="39"/>
      <c r="J6" s="35"/>
    </row>
    <row r="7" spans="1:10" ht="31.2" customHeight="1" x14ac:dyDescent="0.3">
      <c r="C7" s="39"/>
      <c r="D7" s="41" t="s">
        <v>135</v>
      </c>
      <c r="E7" s="41" t="s">
        <v>36</v>
      </c>
      <c r="F7" s="41" t="s">
        <v>111</v>
      </c>
      <c r="G7" s="41" t="s">
        <v>134</v>
      </c>
      <c r="H7" s="41" t="s">
        <v>136</v>
      </c>
      <c r="I7" s="39"/>
      <c r="J7" s="35"/>
    </row>
    <row r="8" spans="1:10" ht="31.2" customHeight="1" x14ac:dyDescent="0.3">
      <c r="C8" s="39"/>
      <c r="D8" s="38"/>
      <c r="E8" s="38"/>
      <c r="F8" s="38" t="str">
        <f t="shared" ref="F8:F10" si="0">+MID(D8,1,1)</f>
        <v/>
      </c>
      <c r="G8" s="38"/>
      <c r="H8" s="38"/>
      <c r="I8" s="39"/>
      <c r="J8" s="35"/>
    </row>
    <row r="9" spans="1:10" ht="31.2" customHeight="1" x14ac:dyDescent="0.3">
      <c r="C9" s="35"/>
      <c r="D9" s="37"/>
      <c r="E9" s="37"/>
      <c r="F9" s="38" t="str">
        <f t="shared" si="0"/>
        <v/>
      </c>
      <c r="G9" s="37"/>
      <c r="H9" s="37"/>
      <c r="I9" s="35"/>
      <c r="J9" s="35"/>
    </row>
    <row r="10" spans="1:10" ht="31.2" customHeight="1" x14ac:dyDescent="0.3">
      <c r="D10" s="37"/>
      <c r="E10" s="37"/>
      <c r="F10" s="38" t="str">
        <f t="shared" si="0"/>
        <v/>
      </c>
      <c r="G10" s="37"/>
      <c r="H10" s="37"/>
      <c r="I10" s="35"/>
      <c r="J10" s="35"/>
    </row>
    <row r="11" spans="1:10" ht="31.2" customHeight="1" x14ac:dyDescent="0.3">
      <c r="D11" s="27"/>
      <c r="E11" s="27"/>
      <c r="F11" s="28" t="str">
        <f t="shared" ref="F11:F12" si="1">+MID(D11,1,1)</f>
        <v/>
      </c>
      <c r="G11" s="27"/>
      <c r="H11" s="27"/>
    </row>
    <row r="12" spans="1:10" ht="15.6" x14ac:dyDescent="0.3">
      <c r="D12" s="27"/>
      <c r="E12" s="27"/>
      <c r="F12" s="28" t="str">
        <f t="shared" si="1"/>
        <v/>
      </c>
      <c r="G12" s="27"/>
      <c r="H12" s="27"/>
    </row>
    <row r="13" spans="1:10" ht="15.6" x14ac:dyDescent="0.3">
      <c r="D13" s="27"/>
      <c r="E13" s="27"/>
      <c r="F13" s="28"/>
      <c r="G13" s="27"/>
      <c r="H13" s="27"/>
    </row>
    <row r="14" spans="1:10" ht="15.6" customHeight="1" x14ac:dyDescent="0.3">
      <c r="D14" s="27"/>
      <c r="E14" s="27"/>
      <c r="G14" s="27"/>
      <c r="H14" s="118"/>
      <c r="I14" s="118"/>
      <c r="J14" s="118"/>
    </row>
    <row r="15" spans="1:10" ht="15.6" x14ac:dyDescent="0.3">
      <c r="D15" s="27"/>
      <c r="E15" s="27"/>
      <c r="G15" s="27"/>
      <c r="H15" s="27"/>
    </row>
    <row r="16" spans="1:10" ht="15.6" x14ac:dyDescent="0.3">
      <c r="D16" s="27"/>
      <c r="E16" s="27"/>
      <c r="F16" s="28"/>
      <c r="G16" s="27"/>
      <c r="H16" s="2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O172"/>
  <sheetViews>
    <sheetView showGridLines="0" topLeftCell="A18" zoomScale="95" zoomScaleNormal="95" workbookViewId="0">
      <pane ySplit="2" topLeftCell="A51" activePane="bottomLeft" state="frozen"/>
      <selection activeCell="A18" sqref="A18"/>
      <selection pane="bottomLeft" activeCell="I61" sqref="I61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21875" bestFit="1" customWidth="1"/>
    <col min="6" max="6" width="14.33203125" bestFit="1" customWidth="1"/>
  </cols>
  <sheetData>
    <row r="3" spans="2:15" x14ac:dyDescent="0.3">
      <c r="C3" s="1">
        <f>+C10+F145+IF(D3&gt;=60,1,0)</f>
        <v>12</v>
      </c>
      <c r="D3" s="1">
        <f>+D10+F146+IF(E3&gt;=60,1,0)</f>
        <v>22</v>
      </c>
      <c r="E3" s="25">
        <f>+E10+F147</f>
        <v>93</v>
      </c>
    </row>
    <row r="4" spans="2:15" x14ac:dyDescent="0.3">
      <c r="C4" s="23">
        <f>+C3</f>
        <v>12</v>
      </c>
      <c r="D4" s="23">
        <f>+IF(D3&gt;=60,D3-60,D3)</f>
        <v>22</v>
      </c>
      <c r="E4" s="24">
        <f>+IF(E3&gt;=60,E3-60,E3)</f>
        <v>33</v>
      </c>
      <c r="F4" s="16"/>
      <c r="G4" s="16"/>
      <c r="H4" s="16"/>
      <c r="K4" s="119" t="str">
        <f>+CONCATENATE("Elemento ",C21)</f>
        <v>Elemento P</v>
      </c>
      <c r="L4" s="120"/>
      <c r="N4" s="119" t="str">
        <f>+CONCATENATE("Elemento ",C22)</f>
        <v>Elemento R</v>
      </c>
      <c r="O4" s="120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0" t="s">
        <v>18</v>
      </c>
      <c r="L6" s="30" t="s">
        <v>19</v>
      </c>
      <c r="N6" s="30" t="s">
        <v>18</v>
      </c>
      <c r="O6" s="30" t="s">
        <v>19</v>
      </c>
    </row>
    <row r="7" spans="2:15" x14ac:dyDescent="0.3">
      <c r="C7" s="18"/>
      <c r="D7" s="16"/>
      <c r="E7" s="16"/>
      <c r="F7" s="16"/>
      <c r="K7" s="3">
        <f ca="1">+OFFSET(D21,H15,0)</f>
        <v>95</v>
      </c>
      <c r="L7" s="3">
        <f ca="1">+OFFSET(E21,H15,0)</f>
        <v>8792</v>
      </c>
      <c r="N7" s="3">
        <f ca="1">+OFFSET(D22,H15,0)</f>
        <v>85</v>
      </c>
      <c r="O7" s="3">
        <f ca="1">+OFFSET(E22,H15,0)</f>
        <v>8976</v>
      </c>
    </row>
    <row r="8" spans="2:15" x14ac:dyDescent="0.3">
      <c r="C8" s="30" t="s">
        <v>0</v>
      </c>
      <c r="D8" s="30" t="s">
        <v>1</v>
      </c>
      <c r="E8" s="30" t="s">
        <v>2</v>
      </c>
      <c r="K8" s="3">
        <f t="shared" ref="K8:K26" ca="1" si="0">+OFFSET(D22,H16,0)</f>
        <v>95</v>
      </c>
      <c r="L8" s="3">
        <f t="shared" ref="L8:L26" ca="1" si="1">+OFFSET(E22,H16,0)</f>
        <v>8742</v>
      </c>
      <c r="N8" s="3">
        <f t="shared" ref="N8:N26" ca="1" si="2">+OFFSET(D23,H16,0)</f>
        <v>90</v>
      </c>
      <c r="O8" s="3">
        <f t="shared" ref="O8:O26" ca="1" si="3">+OFFSET(E23,H16,0)</f>
        <v>8840</v>
      </c>
    </row>
    <row r="9" spans="2:15" x14ac:dyDescent="0.3">
      <c r="B9" s="31" t="s">
        <v>3</v>
      </c>
      <c r="C9" s="29">
        <f>+C4</f>
        <v>12</v>
      </c>
      <c r="D9" s="29">
        <f>+D4</f>
        <v>22</v>
      </c>
      <c r="E9" s="29">
        <f>+E4</f>
        <v>33</v>
      </c>
      <c r="G9" s="16"/>
      <c r="H9" s="16"/>
      <c r="K9" s="3">
        <f t="shared" ca="1" si="0"/>
        <v>90</v>
      </c>
      <c r="L9" s="3">
        <f t="shared" ca="1" si="1"/>
        <v>8879</v>
      </c>
      <c r="N9" s="3">
        <f t="shared" ca="1" si="2"/>
        <v>90</v>
      </c>
      <c r="O9" s="3">
        <f t="shared" ca="1" si="3"/>
        <v>8901</v>
      </c>
    </row>
    <row r="10" spans="2:15" x14ac:dyDescent="0.3">
      <c r="B10" s="31" t="s">
        <v>6</v>
      </c>
      <c r="C10" s="29">
        <v>9</v>
      </c>
      <c r="D10" s="29">
        <v>17</v>
      </c>
      <c r="E10" s="29">
        <v>36</v>
      </c>
      <c r="G10" s="16"/>
      <c r="H10" s="16"/>
      <c r="K10" s="3">
        <f t="shared" ca="1" si="0"/>
        <v>90</v>
      </c>
      <c r="L10" s="3">
        <f t="shared" ca="1" si="1"/>
        <v>8750</v>
      </c>
      <c r="N10" s="3">
        <f t="shared" ca="1" si="2"/>
        <v>95</v>
      </c>
      <c r="O10" s="3">
        <f t="shared" ca="1" si="3"/>
        <v>8816</v>
      </c>
    </row>
    <row r="11" spans="2:15" x14ac:dyDescent="0.3">
      <c r="G11" s="16"/>
      <c r="H11" s="16"/>
      <c r="K11" s="3">
        <f t="shared" ca="1" si="0"/>
        <v>105</v>
      </c>
      <c r="L11" s="3">
        <f t="shared" ca="1" si="1"/>
        <v>8711</v>
      </c>
      <c r="N11" s="3">
        <f t="shared" ca="1" si="2"/>
        <v>85</v>
      </c>
      <c r="O11" s="3">
        <f t="shared" ca="1" si="3"/>
        <v>8867</v>
      </c>
    </row>
    <row r="12" spans="2:15" x14ac:dyDescent="0.3">
      <c r="B12" s="1"/>
      <c r="G12" s="16"/>
      <c r="H12" s="16"/>
      <c r="K12" s="3">
        <f t="shared" ca="1" si="0"/>
        <v>95</v>
      </c>
      <c r="L12" s="3">
        <f t="shared" ca="1" si="1"/>
        <v>8707</v>
      </c>
      <c r="N12" s="3">
        <f t="shared" ca="1" si="2"/>
        <v>85</v>
      </c>
      <c r="O12" s="3">
        <f t="shared" ca="1" si="3"/>
        <v>8938</v>
      </c>
    </row>
    <row r="13" spans="2:15" x14ac:dyDescent="0.3">
      <c r="B13" s="1"/>
      <c r="G13" s="16"/>
      <c r="H13" s="16"/>
      <c r="K13" s="3">
        <f t="shared" ca="1" si="0"/>
        <v>90</v>
      </c>
      <c r="L13" s="3">
        <f t="shared" ca="1" si="1"/>
        <v>8864</v>
      </c>
      <c r="N13" s="3">
        <f t="shared" ca="1" si="2"/>
        <v>100</v>
      </c>
      <c r="O13" s="3">
        <f t="shared" ca="1" si="3"/>
        <v>8908</v>
      </c>
    </row>
    <row r="14" spans="2:15" x14ac:dyDescent="0.3">
      <c r="B14" s="1"/>
      <c r="K14" s="3">
        <f t="shared" ca="1" si="0"/>
        <v>100</v>
      </c>
      <c r="L14" s="3">
        <f t="shared" ca="1" si="1"/>
        <v>8862</v>
      </c>
      <c r="N14" s="3">
        <f t="shared" ca="1" si="2"/>
        <v>95</v>
      </c>
      <c r="O14" s="3">
        <f t="shared" ca="1" si="3"/>
        <v>8819</v>
      </c>
    </row>
    <row r="15" spans="2:15" x14ac:dyDescent="0.3">
      <c r="B15" s="1"/>
      <c r="C15" s="122" t="s">
        <v>145</v>
      </c>
      <c r="D15" s="122"/>
      <c r="E15" s="122"/>
      <c r="F15" s="123"/>
      <c r="G15" s="19">
        <v>3</v>
      </c>
      <c r="H15" s="14">
        <v>0</v>
      </c>
      <c r="K15" s="3">
        <f t="shared" ca="1" si="0"/>
        <v>100</v>
      </c>
      <c r="L15" s="3">
        <f t="shared" ca="1" si="1"/>
        <v>8836</v>
      </c>
      <c r="N15" s="3">
        <f t="shared" ca="1" si="2"/>
        <v>95</v>
      </c>
      <c r="O15" s="3">
        <f t="shared" ca="1" si="3"/>
        <v>8860</v>
      </c>
    </row>
    <row r="16" spans="2:15" x14ac:dyDescent="0.3">
      <c r="B16" s="1"/>
      <c r="H16" s="14">
        <f>+H15+$G$15-1</f>
        <v>2</v>
      </c>
      <c r="K16" s="3">
        <f t="shared" ca="1" si="0"/>
        <v>90</v>
      </c>
      <c r="L16" s="3">
        <f t="shared" ca="1" si="1"/>
        <v>8857</v>
      </c>
      <c r="N16" s="3">
        <f t="shared" ca="1" si="2"/>
        <v>85</v>
      </c>
      <c r="O16" s="3">
        <f t="shared" ca="1" si="3"/>
        <v>8966</v>
      </c>
    </row>
    <row r="17" spans="1:15" ht="15.6" x14ac:dyDescent="0.3">
      <c r="A17" s="42"/>
      <c r="B17" s="42"/>
      <c r="C17" s="42"/>
      <c r="D17" s="42"/>
      <c r="E17" s="42"/>
      <c r="F17" s="42"/>
      <c r="G17" s="42"/>
      <c r="H17" s="14">
        <f t="shared" ref="H17:H34" si="4">+H16+$G$15-1</f>
        <v>4</v>
      </c>
      <c r="K17" s="3">
        <f t="shared" ca="1" si="0"/>
        <v>105</v>
      </c>
      <c r="L17" s="3">
        <f t="shared" ca="1" si="1"/>
        <v>8716</v>
      </c>
      <c r="N17" s="3">
        <f t="shared" ca="1" si="2"/>
        <v>85</v>
      </c>
      <c r="O17" s="3">
        <f t="shared" ca="1" si="3"/>
        <v>8826</v>
      </c>
    </row>
    <row r="18" spans="1:15" ht="15.6" x14ac:dyDescent="0.3">
      <c r="A18" s="42"/>
      <c r="B18" s="42"/>
      <c r="C18" s="42"/>
      <c r="D18" s="42"/>
      <c r="E18" s="42"/>
      <c r="F18" s="42"/>
      <c r="G18" s="42"/>
      <c r="H18" s="14">
        <f t="shared" si="4"/>
        <v>6</v>
      </c>
      <c r="K18" s="3">
        <f t="shared" ca="1" si="0"/>
        <v>90</v>
      </c>
      <c r="L18" s="3">
        <f t="shared" ca="1" si="1"/>
        <v>8834</v>
      </c>
      <c r="N18" s="3">
        <f t="shared" ca="1" si="2"/>
        <v>95</v>
      </c>
      <c r="O18" s="3">
        <f t="shared" ca="1" si="3"/>
        <v>8850</v>
      </c>
    </row>
    <row r="19" spans="1:15" ht="15.6" x14ac:dyDescent="0.3">
      <c r="A19" s="42"/>
      <c r="B19" s="43"/>
      <c r="C19" s="40" t="s">
        <v>28</v>
      </c>
      <c r="D19" s="40" t="s">
        <v>18</v>
      </c>
      <c r="E19" s="40" t="s">
        <v>19</v>
      </c>
      <c r="F19" s="42"/>
      <c r="G19" s="42"/>
      <c r="H19" s="14">
        <f t="shared" si="4"/>
        <v>8</v>
      </c>
      <c r="K19" s="3">
        <f t="shared" ca="1" si="0"/>
        <v>95</v>
      </c>
      <c r="L19" s="3">
        <f t="shared" ca="1" si="1"/>
        <v>8889</v>
      </c>
      <c r="N19" s="3">
        <f t="shared" ca="1" si="2"/>
        <v>100</v>
      </c>
      <c r="O19" s="3">
        <f t="shared" ca="1" si="3"/>
        <v>8856</v>
      </c>
    </row>
    <row r="20" spans="1:15" ht="15.6" x14ac:dyDescent="0.3">
      <c r="A20" s="42"/>
      <c r="B20" s="44" t="str">
        <f>+CONCATENATE("E = ",C10,"h",D10,"'",E10,"''")</f>
        <v>E = 9h17'36''</v>
      </c>
      <c r="C20" s="43" t="s">
        <v>11</v>
      </c>
      <c r="D20" s="43" t="s">
        <v>53</v>
      </c>
      <c r="E20" s="43">
        <v>3267</v>
      </c>
      <c r="F20" s="42"/>
      <c r="G20" s="42"/>
      <c r="H20" s="14">
        <f t="shared" si="4"/>
        <v>10</v>
      </c>
      <c r="K20" s="3">
        <f t="shared" ca="1" si="0"/>
        <v>95</v>
      </c>
      <c r="L20" s="3">
        <f t="shared" ca="1" si="1"/>
        <v>8837</v>
      </c>
      <c r="N20" s="3">
        <f t="shared" ca="1" si="2"/>
        <v>85</v>
      </c>
      <c r="O20" s="3">
        <f t="shared" ca="1" si="3"/>
        <v>8839</v>
      </c>
    </row>
    <row r="21" spans="1:15" ht="15.6" x14ac:dyDescent="0.3">
      <c r="A21" s="42"/>
      <c r="B21" s="121" t="s">
        <v>62</v>
      </c>
      <c r="C21" s="43" t="s">
        <v>109</v>
      </c>
      <c r="D21" s="43">
        <v>95</v>
      </c>
      <c r="E21" s="43">
        <v>8792</v>
      </c>
      <c r="F21" s="42"/>
      <c r="G21" s="42"/>
      <c r="H21" s="14">
        <f t="shared" si="4"/>
        <v>12</v>
      </c>
      <c r="K21" s="3">
        <f t="shared" ca="1" si="0"/>
        <v>85</v>
      </c>
      <c r="L21" s="3">
        <f t="shared" ca="1" si="1"/>
        <v>8886</v>
      </c>
      <c r="N21" s="3">
        <f t="shared" ca="1" si="2"/>
        <v>100</v>
      </c>
      <c r="O21" s="3">
        <f t="shared" ca="1" si="3"/>
        <v>8970</v>
      </c>
    </row>
    <row r="22" spans="1:15" ht="15.6" x14ac:dyDescent="0.3">
      <c r="A22" s="42"/>
      <c r="B22" s="121"/>
      <c r="C22" s="43" t="s">
        <v>128</v>
      </c>
      <c r="D22" s="43">
        <v>85</v>
      </c>
      <c r="E22" s="43">
        <v>8976</v>
      </c>
      <c r="F22" s="42"/>
      <c r="G22" s="42"/>
      <c r="H22" s="14">
        <f t="shared" si="4"/>
        <v>14</v>
      </c>
      <c r="K22" s="3">
        <f t="shared" ca="1" si="0"/>
        <v>90</v>
      </c>
      <c r="L22" s="3">
        <f t="shared" ca="1" si="1"/>
        <v>8828</v>
      </c>
      <c r="N22" s="3">
        <f t="shared" ca="1" si="2"/>
        <v>90</v>
      </c>
      <c r="O22" s="3">
        <f t="shared" ca="1" si="3"/>
        <v>8880</v>
      </c>
    </row>
    <row r="23" spans="1:15" ht="15.6" x14ac:dyDescent="0.3">
      <c r="A23" s="42"/>
      <c r="B23" s="121"/>
      <c r="C23" s="43" t="s">
        <v>111</v>
      </c>
      <c r="D23" s="43">
        <v>105</v>
      </c>
      <c r="E23" s="43">
        <v>37698</v>
      </c>
      <c r="F23" s="42"/>
      <c r="G23" s="42"/>
      <c r="H23" s="14">
        <f t="shared" si="4"/>
        <v>16</v>
      </c>
      <c r="K23" s="3">
        <f t="shared" ca="1" si="0"/>
        <v>95</v>
      </c>
      <c r="L23" s="3">
        <f t="shared" ca="1" si="1"/>
        <v>8831</v>
      </c>
      <c r="N23" s="3">
        <f t="shared" ca="1" si="2"/>
        <v>100</v>
      </c>
      <c r="O23" s="3">
        <f t="shared" ca="1" si="3"/>
        <v>8978</v>
      </c>
    </row>
    <row r="24" spans="1:15" ht="15.6" x14ac:dyDescent="0.3">
      <c r="A24" s="42"/>
      <c r="B24" s="121" t="s">
        <v>63</v>
      </c>
      <c r="C24" s="43" t="str">
        <f t="shared" ref="C24:C55" si="5">+C21</f>
        <v>P</v>
      </c>
      <c r="D24" s="43">
        <v>95</v>
      </c>
      <c r="E24" s="43">
        <v>8742</v>
      </c>
      <c r="F24" s="42"/>
      <c r="G24" s="42"/>
      <c r="H24" s="14">
        <f t="shared" si="4"/>
        <v>18</v>
      </c>
      <c r="K24" s="3">
        <f t="shared" ca="1" si="0"/>
        <v>90</v>
      </c>
      <c r="L24" s="3">
        <f t="shared" ca="1" si="1"/>
        <v>8832</v>
      </c>
      <c r="N24" s="3">
        <f t="shared" ca="1" si="2"/>
        <v>90</v>
      </c>
      <c r="O24" s="3">
        <f t="shared" ca="1" si="3"/>
        <v>8866</v>
      </c>
    </row>
    <row r="25" spans="1:15" ht="15.6" x14ac:dyDescent="0.3">
      <c r="A25" s="42"/>
      <c r="B25" s="121"/>
      <c r="C25" s="43" t="str">
        <f t="shared" si="5"/>
        <v>R</v>
      </c>
      <c r="D25" s="43">
        <v>90</v>
      </c>
      <c r="E25" s="43">
        <v>8840</v>
      </c>
      <c r="F25" s="42"/>
      <c r="G25" s="42"/>
      <c r="H25" s="14">
        <f t="shared" si="4"/>
        <v>20</v>
      </c>
      <c r="K25" s="3">
        <f t="shared" ca="1" si="0"/>
        <v>100</v>
      </c>
      <c r="L25" s="3">
        <f t="shared" ca="1" si="1"/>
        <v>8859</v>
      </c>
      <c r="N25" s="3">
        <f t="shared" ca="1" si="2"/>
        <v>85</v>
      </c>
      <c r="O25" s="3">
        <f t="shared" ca="1" si="3"/>
        <v>8910</v>
      </c>
    </row>
    <row r="26" spans="1:15" ht="15.6" x14ac:dyDescent="0.3">
      <c r="A26" s="42"/>
      <c r="B26" s="121"/>
      <c r="C26" s="43" t="str">
        <f t="shared" si="5"/>
        <v>J</v>
      </c>
      <c r="D26" s="43">
        <v>95</v>
      </c>
      <c r="E26" s="43">
        <v>38084</v>
      </c>
      <c r="F26" s="42"/>
      <c r="G26" s="42"/>
      <c r="H26" s="14">
        <f t="shared" si="4"/>
        <v>22</v>
      </c>
      <c r="K26" s="3">
        <f t="shared" ca="1" si="0"/>
        <v>95</v>
      </c>
      <c r="L26" s="3">
        <f t="shared" ca="1" si="1"/>
        <v>8835</v>
      </c>
      <c r="N26" s="3">
        <f t="shared" ca="1" si="2"/>
        <v>100</v>
      </c>
      <c r="O26" s="3">
        <f t="shared" ca="1" si="3"/>
        <v>8954</v>
      </c>
    </row>
    <row r="27" spans="1:15" ht="15.6" x14ac:dyDescent="0.3">
      <c r="A27" s="42"/>
      <c r="B27" s="121" t="s">
        <v>64</v>
      </c>
      <c r="C27" s="43" t="str">
        <f t="shared" si="5"/>
        <v>P</v>
      </c>
      <c r="D27" s="43">
        <v>90</v>
      </c>
      <c r="E27" s="43">
        <v>8879</v>
      </c>
      <c r="F27" s="42"/>
      <c r="G27" s="42"/>
      <c r="H27" s="14">
        <f t="shared" si="4"/>
        <v>24</v>
      </c>
    </row>
    <row r="28" spans="1:15" ht="15.6" x14ac:dyDescent="0.3">
      <c r="A28" s="42"/>
      <c r="B28" s="121"/>
      <c r="C28" s="43" t="str">
        <f t="shared" si="5"/>
        <v>R</v>
      </c>
      <c r="D28" s="43">
        <v>90</v>
      </c>
      <c r="E28" s="43">
        <v>8901</v>
      </c>
      <c r="F28" s="42"/>
      <c r="G28" s="42"/>
      <c r="H28" s="14">
        <f t="shared" si="4"/>
        <v>26</v>
      </c>
    </row>
    <row r="29" spans="1:15" ht="15.6" x14ac:dyDescent="0.3">
      <c r="A29" s="42"/>
      <c r="B29" s="121"/>
      <c r="C29" s="43" t="str">
        <f t="shared" si="5"/>
        <v>J</v>
      </c>
      <c r="D29" s="43">
        <v>95</v>
      </c>
      <c r="E29" s="43">
        <v>36622</v>
      </c>
      <c r="F29" s="42"/>
      <c r="G29" s="42"/>
      <c r="H29" s="14">
        <f t="shared" si="4"/>
        <v>28</v>
      </c>
    </row>
    <row r="30" spans="1:15" ht="15.6" x14ac:dyDescent="0.3">
      <c r="A30" s="42"/>
      <c r="B30" s="121" t="s">
        <v>65</v>
      </c>
      <c r="C30" s="43" t="str">
        <f t="shared" si="5"/>
        <v>P</v>
      </c>
      <c r="D30" s="43">
        <v>90</v>
      </c>
      <c r="E30" s="43">
        <v>8750</v>
      </c>
      <c r="F30" s="42"/>
      <c r="G30" s="42"/>
      <c r="H30" s="14">
        <f t="shared" si="4"/>
        <v>30</v>
      </c>
    </row>
    <row r="31" spans="1:15" ht="15.6" x14ac:dyDescent="0.3">
      <c r="A31" s="42"/>
      <c r="B31" s="121"/>
      <c r="C31" s="43" t="str">
        <f t="shared" si="5"/>
        <v>R</v>
      </c>
      <c r="D31" s="43">
        <v>95</v>
      </c>
      <c r="E31" s="43">
        <v>8816</v>
      </c>
      <c r="F31" s="42"/>
      <c r="G31" s="42"/>
      <c r="H31" s="14">
        <f t="shared" si="4"/>
        <v>32</v>
      </c>
    </row>
    <row r="32" spans="1:15" ht="15.6" x14ac:dyDescent="0.3">
      <c r="A32" s="42"/>
      <c r="B32" s="121"/>
      <c r="C32" s="43" t="str">
        <f t="shared" si="5"/>
        <v>J</v>
      </c>
      <c r="D32" s="43">
        <v>90</v>
      </c>
      <c r="E32" s="43">
        <v>38104</v>
      </c>
      <c r="F32" s="42"/>
      <c r="G32" s="42"/>
      <c r="H32" s="14">
        <f t="shared" si="4"/>
        <v>34</v>
      </c>
    </row>
    <row r="33" spans="1:8" ht="15.6" x14ac:dyDescent="0.3">
      <c r="A33" s="42"/>
      <c r="B33" s="121" t="s">
        <v>66</v>
      </c>
      <c r="C33" s="43" t="str">
        <f t="shared" si="5"/>
        <v>P</v>
      </c>
      <c r="D33" s="43">
        <v>105</v>
      </c>
      <c r="E33" s="43">
        <v>8711</v>
      </c>
      <c r="F33" s="42"/>
      <c r="G33" s="42"/>
      <c r="H33" s="14">
        <f t="shared" si="4"/>
        <v>36</v>
      </c>
    </row>
    <row r="34" spans="1:8" ht="15.6" x14ac:dyDescent="0.3">
      <c r="A34" s="42"/>
      <c r="B34" s="121"/>
      <c r="C34" s="43" t="str">
        <f t="shared" si="5"/>
        <v>R</v>
      </c>
      <c r="D34" s="43">
        <v>85</v>
      </c>
      <c r="E34" s="43">
        <v>8867</v>
      </c>
      <c r="F34" s="42"/>
      <c r="G34" s="42"/>
      <c r="H34" s="14">
        <f t="shared" si="4"/>
        <v>38</v>
      </c>
    </row>
    <row r="35" spans="1:8" ht="15.6" x14ac:dyDescent="0.3">
      <c r="A35" s="42"/>
      <c r="B35" s="121"/>
      <c r="C35" s="43" t="str">
        <f t="shared" si="5"/>
        <v>J</v>
      </c>
      <c r="D35" s="43">
        <v>105</v>
      </c>
      <c r="E35" s="43">
        <v>36750</v>
      </c>
      <c r="F35" s="42"/>
      <c r="G35" s="42"/>
    </row>
    <row r="36" spans="1:8" ht="15.6" x14ac:dyDescent="0.3">
      <c r="A36" s="42"/>
      <c r="B36" s="121" t="s">
        <v>67</v>
      </c>
      <c r="C36" s="43" t="str">
        <f t="shared" si="5"/>
        <v>P</v>
      </c>
      <c r="D36" s="43">
        <v>95</v>
      </c>
      <c r="E36" s="43">
        <v>8707</v>
      </c>
      <c r="F36" s="42"/>
      <c r="G36" s="42"/>
    </row>
    <row r="37" spans="1:8" ht="15.6" x14ac:dyDescent="0.3">
      <c r="A37" s="42"/>
      <c r="B37" s="121"/>
      <c r="C37" s="43" t="str">
        <f t="shared" si="5"/>
        <v>R</v>
      </c>
      <c r="D37" s="43">
        <v>85</v>
      </c>
      <c r="E37" s="43">
        <v>8938</v>
      </c>
      <c r="F37" s="42"/>
      <c r="G37" s="42"/>
    </row>
    <row r="38" spans="1:8" ht="15.6" x14ac:dyDescent="0.3">
      <c r="A38" s="42"/>
      <c r="B38" s="121"/>
      <c r="C38" s="43" t="str">
        <f t="shared" si="5"/>
        <v>J</v>
      </c>
      <c r="D38" s="43">
        <v>95</v>
      </c>
      <c r="E38" s="43">
        <v>37327</v>
      </c>
      <c r="F38" s="42"/>
      <c r="G38" s="42"/>
    </row>
    <row r="39" spans="1:8" ht="15.6" x14ac:dyDescent="0.3">
      <c r="A39" s="42"/>
      <c r="B39" s="121" t="s">
        <v>68</v>
      </c>
      <c r="C39" s="43" t="str">
        <f t="shared" si="5"/>
        <v>P</v>
      </c>
      <c r="D39" s="43">
        <v>90</v>
      </c>
      <c r="E39" s="43">
        <v>8864</v>
      </c>
      <c r="F39" s="42"/>
      <c r="G39" s="42"/>
    </row>
    <row r="40" spans="1:8" ht="15.6" x14ac:dyDescent="0.3">
      <c r="A40" s="42"/>
      <c r="B40" s="121"/>
      <c r="C40" s="43" t="str">
        <f t="shared" si="5"/>
        <v>R</v>
      </c>
      <c r="D40" s="43">
        <v>100</v>
      </c>
      <c r="E40" s="43">
        <v>8908</v>
      </c>
      <c r="F40" s="42"/>
      <c r="G40" s="42"/>
    </row>
    <row r="41" spans="1:8" ht="15.6" x14ac:dyDescent="0.3">
      <c r="A41" s="42"/>
      <c r="B41" s="121"/>
      <c r="C41" s="43" t="str">
        <f t="shared" si="5"/>
        <v>J</v>
      </c>
      <c r="D41" s="43">
        <v>90</v>
      </c>
      <c r="E41" s="43">
        <v>38276</v>
      </c>
      <c r="F41" s="42"/>
      <c r="G41" s="42"/>
    </row>
    <row r="42" spans="1:8" ht="15.6" x14ac:dyDescent="0.3">
      <c r="A42" s="42"/>
      <c r="B42" s="121" t="s">
        <v>69</v>
      </c>
      <c r="C42" s="43" t="str">
        <f t="shared" si="5"/>
        <v>P</v>
      </c>
      <c r="D42" s="43">
        <v>100</v>
      </c>
      <c r="E42" s="43">
        <v>8862</v>
      </c>
      <c r="F42" s="42"/>
      <c r="G42" s="42"/>
    </row>
    <row r="43" spans="1:8" ht="15.6" x14ac:dyDescent="0.3">
      <c r="A43" s="42"/>
      <c r="B43" s="121"/>
      <c r="C43" s="43" t="str">
        <f t="shared" si="5"/>
        <v>R</v>
      </c>
      <c r="D43" s="43">
        <v>95</v>
      </c>
      <c r="E43" s="43">
        <v>8819</v>
      </c>
      <c r="F43" s="42"/>
      <c r="G43" s="42"/>
    </row>
    <row r="44" spans="1:8" ht="15.6" x14ac:dyDescent="0.3">
      <c r="A44" s="42"/>
      <c r="B44" s="121"/>
      <c r="C44" s="43" t="str">
        <f t="shared" si="5"/>
        <v>J</v>
      </c>
      <c r="D44" s="43">
        <v>85</v>
      </c>
      <c r="E44" s="43">
        <v>37081</v>
      </c>
      <c r="F44" s="42"/>
      <c r="G44" s="42"/>
    </row>
    <row r="45" spans="1:8" ht="15.6" x14ac:dyDescent="0.3">
      <c r="A45" s="42"/>
      <c r="B45" s="121" t="s">
        <v>70</v>
      </c>
      <c r="C45" s="43" t="str">
        <f t="shared" si="5"/>
        <v>P</v>
      </c>
      <c r="D45" s="43">
        <v>100</v>
      </c>
      <c r="E45" s="43">
        <v>8836</v>
      </c>
      <c r="F45" s="42"/>
      <c r="G45" s="42"/>
    </row>
    <row r="46" spans="1:8" ht="15.6" x14ac:dyDescent="0.3">
      <c r="A46" s="42"/>
      <c r="B46" s="121"/>
      <c r="C46" s="43" t="str">
        <f t="shared" si="5"/>
        <v>R</v>
      </c>
      <c r="D46" s="43">
        <v>95</v>
      </c>
      <c r="E46" s="43">
        <v>8860</v>
      </c>
      <c r="F46" s="42"/>
      <c r="G46" s="42"/>
    </row>
    <row r="47" spans="1:8" ht="15.6" x14ac:dyDescent="0.3">
      <c r="A47" s="42"/>
      <c r="B47" s="121"/>
      <c r="C47" s="43" t="str">
        <f t="shared" si="5"/>
        <v>J</v>
      </c>
      <c r="D47" s="43">
        <v>100</v>
      </c>
      <c r="E47" s="43">
        <v>38458</v>
      </c>
      <c r="F47" s="42"/>
      <c r="G47" s="42"/>
    </row>
    <row r="48" spans="1:8" ht="15.6" x14ac:dyDescent="0.3">
      <c r="A48" s="42"/>
      <c r="B48" s="121" t="s">
        <v>71</v>
      </c>
      <c r="C48" s="43" t="str">
        <f t="shared" si="5"/>
        <v>P</v>
      </c>
      <c r="D48" s="43">
        <v>90</v>
      </c>
      <c r="E48" s="43">
        <v>8857</v>
      </c>
      <c r="F48" s="42"/>
      <c r="G48" s="42"/>
    </row>
    <row r="49" spans="1:12" ht="15.6" x14ac:dyDescent="0.3">
      <c r="A49" s="42"/>
      <c r="B49" s="121"/>
      <c r="C49" s="43" t="str">
        <f t="shared" si="5"/>
        <v>R</v>
      </c>
      <c r="D49" s="43">
        <v>85</v>
      </c>
      <c r="E49" s="43">
        <v>8966</v>
      </c>
      <c r="F49" s="42"/>
      <c r="G49" s="42"/>
    </row>
    <row r="50" spans="1:12" ht="15.6" x14ac:dyDescent="0.3">
      <c r="A50" s="42"/>
      <c r="B50" s="121"/>
      <c r="C50" s="43" t="str">
        <f t="shared" si="5"/>
        <v>J</v>
      </c>
      <c r="D50" s="43">
        <v>105</v>
      </c>
      <c r="E50" s="43">
        <v>37819</v>
      </c>
      <c r="F50" s="42"/>
      <c r="G50" s="42"/>
    </row>
    <row r="51" spans="1:12" ht="15.6" x14ac:dyDescent="0.3">
      <c r="A51" s="42"/>
      <c r="B51" s="121" t="s">
        <v>72</v>
      </c>
      <c r="C51" s="43" t="str">
        <f t="shared" si="5"/>
        <v>P</v>
      </c>
      <c r="D51" s="43">
        <v>105</v>
      </c>
      <c r="E51" s="43">
        <v>8716</v>
      </c>
      <c r="F51" s="42"/>
      <c r="G51" s="42"/>
    </row>
    <row r="52" spans="1:12" ht="15.6" x14ac:dyDescent="0.3">
      <c r="A52" s="42"/>
      <c r="B52" s="121"/>
      <c r="C52" s="43" t="str">
        <f t="shared" si="5"/>
        <v>R</v>
      </c>
      <c r="D52" s="43">
        <v>85</v>
      </c>
      <c r="E52" s="43">
        <v>8826</v>
      </c>
      <c r="F52" s="42"/>
      <c r="G52" s="42"/>
    </row>
    <row r="53" spans="1:12" ht="15.6" x14ac:dyDescent="0.3">
      <c r="A53" s="42"/>
      <c r="B53" s="121"/>
      <c r="C53" s="43" t="str">
        <f t="shared" si="5"/>
        <v>J</v>
      </c>
      <c r="D53" s="43">
        <v>85</v>
      </c>
      <c r="E53" s="43">
        <v>38119</v>
      </c>
      <c r="F53" s="42"/>
      <c r="G53" s="42"/>
    </row>
    <row r="54" spans="1:12" ht="15.6" x14ac:dyDescent="0.3">
      <c r="A54" s="42"/>
      <c r="B54" s="121" t="s">
        <v>73</v>
      </c>
      <c r="C54" s="43" t="str">
        <f t="shared" si="5"/>
        <v>P</v>
      </c>
      <c r="D54" s="43">
        <v>90</v>
      </c>
      <c r="E54" s="43">
        <v>8834</v>
      </c>
      <c r="F54" s="42"/>
      <c r="G54" s="42"/>
      <c r="K54" s="119" t="str">
        <f>+CONCATENATE("Elemento ",C23)</f>
        <v>Elemento J</v>
      </c>
      <c r="L54" s="120"/>
    </row>
    <row r="55" spans="1:12" ht="15.6" x14ac:dyDescent="0.3">
      <c r="A55" s="42"/>
      <c r="B55" s="121"/>
      <c r="C55" s="43" t="str">
        <f t="shared" si="5"/>
        <v>R</v>
      </c>
      <c r="D55" s="43">
        <v>95</v>
      </c>
      <c r="E55" s="43">
        <v>8850</v>
      </c>
      <c r="F55" s="42"/>
      <c r="G55" s="42"/>
    </row>
    <row r="56" spans="1:12" ht="15.6" x14ac:dyDescent="0.3">
      <c r="A56" s="42"/>
      <c r="B56" s="121"/>
      <c r="C56" s="43" t="str">
        <f t="shared" ref="C56:C80" si="6">+C53</f>
        <v>J</v>
      </c>
      <c r="D56" s="43">
        <v>100</v>
      </c>
      <c r="E56" s="43">
        <v>38051</v>
      </c>
      <c r="F56" s="42"/>
      <c r="G56" s="42"/>
      <c r="K56" s="30" t="s">
        <v>18</v>
      </c>
      <c r="L56" s="30" t="s">
        <v>19</v>
      </c>
    </row>
    <row r="57" spans="1:12" ht="15.6" x14ac:dyDescent="0.3">
      <c r="A57" s="42"/>
      <c r="B57" s="121" t="s">
        <v>74</v>
      </c>
      <c r="C57" s="43" t="str">
        <f t="shared" si="6"/>
        <v>P</v>
      </c>
      <c r="D57" s="43">
        <v>95</v>
      </c>
      <c r="E57" s="43">
        <v>8889</v>
      </c>
      <c r="F57" s="42"/>
      <c r="G57" s="42"/>
      <c r="K57" s="3">
        <f ca="1">+OFFSET(D23,H15,0)</f>
        <v>105</v>
      </c>
      <c r="L57" s="3">
        <f ca="1">+OFFSET(E23,H15,0)</f>
        <v>37698</v>
      </c>
    </row>
    <row r="58" spans="1:12" ht="15.6" x14ac:dyDescent="0.3">
      <c r="A58" s="42"/>
      <c r="B58" s="121"/>
      <c r="C58" s="43" t="str">
        <f t="shared" si="6"/>
        <v>R</v>
      </c>
      <c r="D58" s="43">
        <v>100</v>
      </c>
      <c r="E58" s="43">
        <v>8856</v>
      </c>
      <c r="F58" s="42"/>
      <c r="G58" s="42"/>
      <c r="K58" s="3">
        <f t="shared" ref="K58:K76" ca="1" si="7">+OFFSET(D24,H16,0)</f>
        <v>95</v>
      </c>
      <c r="L58" s="3">
        <f t="shared" ref="L58:L76" ca="1" si="8">+OFFSET(E24,H16,0)</f>
        <v>38084</v>
      </c>
    </row>
    <row r="59" spans="1:12" ht="15.6" x14ac:dyDescent="0.3">
      <c r="A59" s="42"/>
      <c r="B59" s="121"/>
      <c r="C59" s="43" t="str">
        <f t="shared" si="6"/>
        <v>J</v>
      </c>
      <c r="D59" s="43">
        <v>95</v>
      </c>
      <c r="E59" s="43">
        <v>36977</v>
      </c>
      <c r="F59" s="42"/>
      <c r="G59" s="42"/>
      <c r="K59" s="3">
        <f t="shared" ca="1" si="7"/>
        <v>95</v>
      </c>
      <c r="L59" s="3">
        <f t="shared" ca="1" si="8"/>
        <v>36622</v>
      </c>
    </row>
    <row r="60" spans="1:12" ht="15.6" x14ac:dyDescent="0.3">
      <c r="A60" s="42"/>
      <c r="B60" s="121" t="s">
        <v>75</v>
      </c>
      <c r="C60" s="43" t="str">
        <f t="shared" si="6"/>
        <v>P</v>
      </c>
      <c r="D60" s="43">
        <v>95</v>
      </c>
      <c r="E60" s="43">
        <v>8837</v>
      </c>
      <c r="F60" s="42"/>
      <c r="G60" s="42"/>
      <c r="K60" s="3">
        <f t="shared" ca="1" si="7"/>
        <v>90</v>
      </c>
      <c r="L60" s="3">
        <f t="shared" ca="1" si="8"/>
        <v>38104</v>
      </c>
    </row>
    <row r="61" spans="1:12" ht="15.6" x14ac:dyDescent="0.3">
      <c r="A61" s="42"/>
      <c r="B61" s="121"/>
      <c r="C61" s="43" t="str">
        <f t="shared" si="6"/>
        <v>R</v>
      </c>
      <c r="D61" s="43">
        <v>85</v>
      </c>
      <c r="E61" s="43">
        <v>8839</v>
      </c>
      <c r="F61" s="42"/>
      <c r="G61" s="42"/>
      <c r="K61" s="3">
        <f t="shared" ca="1" si="7"/>
        <v>105</v>
      </c>
      <c r="L61" s="3">
        <f t="shared" ca="1" si="8"/>
        <v>36750</v>
      </c>
    </row>
    <row r="62" spans="1:12" ht="15.6" x14ac:dyDescent="0.3">
      <c r="A62" s="42"/>
      <c r="B62" s="121"/>
      <c r="C62" s="43" t="str">
        <f t="shared" si="6"/>
        <v>J</v>
      </c>
      <c r="D62" s="43">
        <v>95</v>
      </c>
      <c r="E62" s="43">
        <v>36506</v>
      </c>
      <c r="F62" s="42"/>
      <c r="G62" s="42"/>
      <c r="K62" s="3">
        <f t="shared" ca="1" si="7"/>
        <v>95</v>
      </c>
      <c r="L62" s="3">
        <f t="shared" ca="1" si="8"/>
        <v>37327</v>
      </c>
    </row>
    <row r="63" spans="1:12" ht="15.6" x14ac:dyDescent="0.3">
      <c r="A63" s="42"/>
      <c r="B63" s="121" t="s">
        <v>76</v>
      </c>
      <c r="C63" s="43" t="str">
        <f t="shared" si="6"/>
        <v>P</v>
      </c>
      <c r="D63" s="43">
        <v>85</v>
      </c>
      <c r="E63" s="43">
        <v>8886</v>
      </c>
      <c r="F63" s="42"/>
      <c r="G63" s="42"/>
      <c r="K63" s="3">
        <f t="shared" ca="1" si="7"/>
        <v>90</v>
      </c>
      <c r="L63" s="3">
        <f t="shared" ca="1" si="8"/>
        <v>38276</v>
      </c>
    </row>
    <row r="64" spans="1:12" ht="15.6" x14ac:dyDescent="0.3">
      <c r="A64" s="42"/>
      <c r="B64" s="121"/>
      <c r="C64" s="43" t="str">
        <f t="shared" si="6"/>
        <v>R</v>
      </c>
      <c r="D64" s="43">
        <v>100</v>
      </c>
      <c r="E64" s="43">
        <v>8970</v>
      </c>
      <c r="F64" s="42"/>
      <c r="G64" s="42"/>
      <c r="K64" s="3">
        <f t="shared" ca="1" si="7"/>
        <v>85</v>
      </c>
      <c r="L64" s="3">
        <f t="shared" ca="1" si="8"/>
        <v>37081</v>
      </c>
    </row>
    <row r="65" spans="1:12" ht="15.6" x14ac:dyDescent="0.3">
      <c r="A65" s="42"/>
      <c r="B65" s="121"/>
      <c r="C65" s="43" t="str">
        <f t="shared" si="6"/>
        <v>J</v>
      </c>
      <c r="D65" s="43">
        <v>100</v>
      </c>
      <c r="E65" s="43">
        <v>36946</v>
      </c>
      <c r="F65" s="42"/>
      <c r="G65" s="42"/>
      <c r="K65" s="3">
        <f t="shared" ca="1" si="7"/>
        <v>100</v>
      </c>
      <c r="L65" s="3">
        <f t="shared" ca="1" si="8"/>
        <v>38458</v>
      </c>
    </row>
    <row r="66" spans="1:12" ht="15.6" x14ac:dyDescent="0.3">
      <c r="A66" s="42"/>
      <c r="B66" s="121" t="s">
        <v>77</v>
      </c>
      <c r="C66" s="43" t="str">
        <f t="shared" si="6"/>
        <v>P</v>
      </c>
      <c r="D66" s="43">
        <v>90</v>
      </c>
      <c r="E66" s="43">
        <v>8828</v>
      </c>
      <c r="F66" s="42"/>
      <c r="G66" s="42"/>
      <c r="K66" s="3">
        <f t="shared" ca="1" si="7"/>
        <v>105</v>
      </c>
      <c r="L66" s="3">
        <f t="shared" ca="1" si="8"/>
        <v>37819</v>
      </c>
    </row>
    <row r="67" spans="1:12" ht="15.6" x14ac:dyDescent="0.3">
      <c r="A67" s="42"/>
      <c r="B67" s="121"/>
      <c r="C67" s="43" t="str">
        <f t="shared" si="6"/>
        <v>R</v>
      </c>
      <c r="D67" s="43">
        <v>90</v>
      </c>
      <c r="E67" s="43">
        <v>8880</v>
      </c>
      <c r="F67" s="42"/>
      <c r="G67" s="42"/>
      <c r="K67" s="3">
        <f t="shared" ca="1" si="7"/>
        <v>85</v>
      </c>
      <c r="L67" s="3">
        <f t="shared" ca="1" si="8"/>
        <v>38119</v>
      </c>
    </row>
    <row r="68" spans="1:12" ht="15.6" x14ac:dyDescent="0.3">
      <c r="A68" s="42"/>
      <c r="B68" s="121"/>
      <c r="C68" s="43" t="str">
        <f t="shared" si="6"/>
        <v>J</v>
      </c>
      <c r="D68" s="43">
        <v>105</v>
      </c>
      <c r="E68" s="43">
        <v>38068</v>
      </c>
      <c r="F68" s="42"/>
      <c r="G68" s="42"/>
      <c r="K68" s="3">
        <f t="shared" ca="1" si="7"/>
        <v>100</v>
      </c>
      <c r="L68" s="3">
        <f t="shared" ca="1" si="8"/>
        <v>38051</v>
      </c>
    </row>
    <row r="69" spans="1:12" ht="15.6" x14ac:dyDescent="0.3">
      <c r="A69" s="42"/>
      <c r="B69" s="121" t="s">
        <v>78</v>
      </c>
      <c r="C69" s="43" t="str">
        <f t="shared" si="6"/>
        <v>P</v>
      </c>
      <c r="D69" s="43">
        <v>95</v>
      </c>
      <c r="E69" s="43">
        <v>8831</v>
      </c>
      <c r="F69" s="42"/>
      <c r="G69" s="42"/>
      <c r="K69" s="3">
        <f t="shared" ca="1" si="7"/>
        <v>95</v>
      </c>
      <c r="L69" s="3">
        <f t="shared" ca="1" si="8"/>
        <v>36977</v>
      </c>
    </row>
    <row r="70" spans="1:12" ht="15.6" x14ac:dyDescent="0.3">
      <c r="A70" s="42"/>
      <c r="B70" s="121"/>
      <c r="C70" s="43" t="str">
        <f t="shared" si="6"/>
        <v>R</v>
      </c>
      <c r="D70" s="43">
        <v>100</v>
      </c>
      <c r="E70" s="43">
        <v>8978</v>
      </c>
      <c r="F70" s="42"/>
      <c r="G70" s="42"/>
      <c r="K70" s="3">
        <f t="shared" ca="1" si="7"/>
        <v>95</v>
      </c>
      <c r="L70" s="3">
        <f t="shared" ca="1" si="8"/>
        <v>36506</v>
      </c>
    </row>
    <row r="71" spans="1:12" ht="15.6" x14ac:dyDescent="0.3">
      <c r="A71" s="42"/>
      <c r="B71" s="121"/>
      <c r="C71" s="43" t="str">
        <f t="shared" si="6"/>
        <v>J</v>
      </c>
      <c r="D71" s="43">
        <v>90</v>
      </c>
      <c r="E71" s="43">
        <v>38023</v>
      </c>
      <c r="F71" s="42"/>
      <c r="G71" s="42"/>
      <c r="K71" s="3">
        <f t="shared" ca="1" si="7"/>
        <v>100</v>
      </c>
      <c r="L71" s="3">
        <f t="shared" ca="1" si="8"/>
        <v>36946</v>
      </c>
    </row>
    <row r="72" spans="1:12" ht="15.6" x14ac:dyDescent="0.3">
      <c r="A72" s="42"/>
      <c r="B72" s="121" t="s">
        <v>79</v>
      </c>
      <c r="C72" s="43" t="str">
        <f t="shared" si="6"/>
        <v>P</v>
      </c>
      <c r="D72" s="43">
        <v>90</v>
      </c>
      <c r="E72" s="43">
        <v>8832</v>
      </c>
      <c r="F72" s="42"/>
      <c r="G72" s="42"/>
      <c r="K72" s="3">
        <f t="shared" ca="1" si="7"/>
        <v>105</v>
      </c>
      <c r="L72" s="3">
        <f t="shared" ca="1" si="8"/>
        <v>38068</v>
      </c>
    </row>
    <row r="73" spans="1:12" ht="15.6" x14ac:dyDescent="0.3">
      <c r="A73" s="42"/>
      <c r="B73" s="121"/>
      <c r="C73" s="43" t="str">
        <f t="shared" si="6"/>
        <v>R</v>
      </c>
      <c r="D73" s="43">
        <v>90</v>
      </c>
      <c r="E73" s="43">
        <v>8866</v>
      </c>
      <c r="F73" s="42"/>
      <c r="G73" s="42"/>
      <c r="K73" s="3">
        <f t="shared" ca="1" si="7"/>
        <v>90</v>
      </c>
      <c r="L73" s="3">
        <f t="shared" ca="1" si="8"/>
        <v>38023</v>
      </c>
    </row>
    <row r="74" spans="1:12" ht="15.6" x14ac:dyDescent="0.3">
      <c r="A74" s="42"/>
      <c r="B74" s="121"/>
      <c r="C74" s="43" t="str">
        <f t="shared" si="6"/>
        <v>J</v>
      </c>
      <c r="D74" s="43">
        <v>100</v>
      </c>
      <c r="E74" s="43">
        <v>36727</v>
      </c>
      <c r="F74" s="42"/>
      <c r="G74" s="42"/>
      <c r="K74" s="3">
        <f t="shared" ca="1" si="7"/>
        <v>100</v>
      </c>
      <c r="L74" s="3">
        <f t="shared" ca="1" si="8"/>
        <v>36727</v>
      </c>
    </row>
    <row r="75" spans="1:12" ht="15.6" x14ac:dyDescent="0.3">
      <c r="A75" s="42"/>
      <c r="B75" s="121" t="s">
        <v>80</v>
      </c>
      <c r="C75" s="43" t="str">
        <f t="shared" si="6"/>
        <v>P</v>
      </c>
      <c r="D75" s="43">
        <v>100</v>
      </c>
      <c r="E75" s="43">
        <v>8859</v>
      </c>
      <c r="F75" s="42"/>
      <c r="G75" s="42"/>
      <c r="K75" s="3">
        <f t="shared" ca="1" si="7"/>
        <v>95</v>
      </c>
      <c r="L75" s="3">
        <f t="shared" ca="1" si="8"/>
        <v>36894</v>
      </c>
    </row>
    <row r="76" spans="1:12" ht="15.6" x14ac:dyDescent="0.3">
      <c r="A76" s="42"/>
      <c r="B76" s="121"/>
      <c r="C76" s="43" t="str">
        <f t="shared" si="6"/>
        <v>R</v>
      </c>
      <c r="D76" s="43">
        <v>85</v>
      </c>
      <c r="E76" s="43">
        <v>8910</v>
      </c>
      <c r="F76" s="42"/>
      <c r="G76" s="42"/>
      <c r="K76" s="3">
        <f t="shared" ca="1" si="7"/>
        <v>100</v>
      </c>
      <c r="L76" s="3">
        <f t="shared" ca="1" si="8"/>
        <v>37569</v>
      </c>
    </row>
    <row r="77" spans="1:12" ht="15.6" x14ac:dyDescent="0.3">
      <c r="A77" s="42"/>
      <c r="B77" s="121"/>
      <c r="C77" s="43" t="str">
        <f t="shared" si="6"/>
        <v>J</v>
      </c>
      <c r="D77" s="43">
        <v>95</v>
      </c>
      <c r="E77" s="43">
        <v>36894</v>
      </c>
      <c r="F77" s="42"/>
      <c r="G77" s="42"/>
    </row>
    <row r="78" spans="1:12" ht="15.6" x14ac:dyDescent="0.3">
      <c r="A78" s="42"/>
      <c r="B78" s="121" t="s">
        <v>81</v>
      </c>
      <c r="C78" s="43" t="str">
        <f t="shared" si="6"/>
        <v>P</v>
      </c>
      <c r="D78" s="43">
        <v>95</v>
      </c>
      <c r="E78" s="43">
        <v>8835</v>
      </c>
      <c r="F78" s="42"/>
      <c r="G78" s="42"/>
    </row>
    <row r="79" spans="1:12" ht="15.6" x14ac:dyDescent="0.3">
      <c r="A79" s="42"/>
      <c r="B79" s="121"/>
      <c r="C79" s="43" t="str">
        <f t="shared" si="6"/>
        <v>R</v>
      </c>
      <c r="D79" s="43">
        <v>100</v>
      </c>
      <c r="E79" s="43">
        <v>8954</v>
      </c>
      <c r="F79" s="42"/>
      <c r="G79" s="42"/>
    </row>
    <row r="80" spans="1:12" ht="15.6" x14ac:dyDescent="0.3">
      <c r="A80" s="42"/>
      <c r="B80" s="121"/>
      <c r="C80" s="43" t="str">
        <f t="shared" si="6"/>
        <v>J</v>
      </c>
      <c r="D80" s="43">
        <v>100</v>
      </c>
      <c r="E80" s="43">
        <v>37569</v>
      </c>
      <c r="F80" s="42"/>
      <c r="G80" s="42"/>
    </row>
    <row r="81" spans="1:7" ht="15.6" x14ac:dyDescent="0.3">
      <c r="A81" s="42"/>
      <c r="B81" s="43" t="str">
        <f>+CONCATENATE("T = ",C9,"h",D9,"'",E9,"''")</f>
        <v>T = 12h22'33''</v>
      </c>
      <c r="C81" s="43" t="s">
        <v>12</v>
      </c>
      <c r="D81" s="43" t="s">
        <v>53</v>
      </c>
      <c r="E81" s="43">
        <v>2132</v>
      </c>
      <c r="F81" s="42"/>
      <c r="G81" s="42"/>
    </row>
    <row r="82" spans="1:7" ht="15.6" x14ac:dyDescent="0.3">
      <c r="A82" s="42"/>
      <c r="B82" s="43"/>
      <c r="C82" s="43"/>
      <c r="D82" s="43" t="s">
        <v>16</v>
      </c>
      <c r="E82" s="43">
        <f>+SUM(E20:E81)</f>
        <v>1109665</v>
      </c>
      <c r="F82" s="42"/>
      <c r="G82" s="42"/>
    </row>
    <row r="83" spans="1:7" ht="15.6" x14ac:dyDescent="0.3">
      <c r="A83" s="42"/>
      <c r="B83" s="42"/>
      <c r="C83" s="42"/>
      <c r="D83" s="42"/>
      <c r="E83" s="42"/>
      <c r="F83" s="42"/>
      <c r="G83" s="42"/>
    </row>
    <row r="84" spans="1:7" ht="15.6" x14ac:dyDescent="0.3">
      <c r="A84" s="42"/>
      <c r="B84" s="42"/>
      <c r="C84" s="42"/>
      <c r="D84" s="42"/>
      <c r="E84" s="42">
        <f>+E82/100</f>
        <v>11096.65</v>
      </c>
      <c r="F84" s="42"/>
      <c r="G84" s="42"/>
    </row>
    <row r="85" spans="1:7" ht="15.6" x14ac:dyDescent="0.3">
      <c r="A85" s="42"/>
      <c r="B85" s="42"/>
      <c r="C85" s="42"/>
      <c r="D85" s="42"/>
      <c r="E85" s="42">
        <f>+E84/3600</f>
        <v>3.0824027777777778</v>
      </c>
      <c r="F85" s="42"/>
      <c r="G85" s="42"/>
    </row>
    <row r="86" spans="1:7" ht="15.6" x14ac:dyDescent="0.3">
      <c r="A86" s="42"/>
      <c r="B86" s="42"/>
      <c r="C86" s="42"/>
      <c r="D86" s="42"/>
      <c r="E86" s="42">
        <f>+(E85-F145)*60</f>
        <v>4.9441666666666695</v>
      </c>
      <c r="F86" s="42"/>
      <c r="G86" s="42"/>
    </row>
    <row r="87" spans="1:7" ht="15.6" x14ac:dyDescent="0.3">
      <c r="A87" s="42"/>
      <c r="B87" s="46"/>
      <c r="C87" s="46"/>
      <c r="D87" s="46"/>
      <c r="E87" s="46">
        <f>+(E86-F146)*60</f>
        <v>56.650000000000169</v>
      </c>
      <c r="F87" s="42"/>
      <c r="G87" s="42"/>
    </row>
    <row r="88" spans="1:7" ht="15.6" x14ac:dyDescent="0.3">
      <c r="A88" s="42"/>
      <c r="B88" s="46"/>
      <c r="C88" s="46"/>
      <c r="D88" s="46"/>
      <c r="E88" s="46"/>
      <c r="F88" s="42"/>
      <c r="G88" s="42"/>
    </row>
    <row r="89" spans="1:7" ht="15.6" x14ac:dyDescent="0.3">
      <c r="A89" s="42"/>
      <c r="B89" s="46"/>
      <c r="C89" s="46"/>
      <c r="D89" s="46"/>
      <c r="E89" s="46"/>
      <c r="F89" s="42"/>
      <c r="G89" s="42"/>
    </row>
    <row r="90" spans="1:7" ht="15.6" x14ac:dyDescent="0.3">
      <c r="A90" s="42"/>
      <c r="B90" s="46"/>
      <c r="C90" s="46"/>
      <c r="D90" s="46"/>
      <c r="E90" s="46"/>
      <c r="F90" s="42"/>
      <c r="G90" s="42"/>
    </row>
    <row r="91" spans="1:7" ht="15.6" x14ac:dyDescent="0.3">
      <c r="A91" s="42"/>
      <c r="B91" s="46"/>
      <c r="C91" s="46"/>
      <c r="D91" s="46"/>
      <c r="E91" s="46"/>
      <c r="F91" s="42"/>
      <c r="G91" s="42"/>
    </row>
    <row r="92" spans="1:7" ht="15.6" x14ac:dyDescent="0.3">
      <c r="A92" s="42"/>
      <c r="B92" s="46"/>
      <c r="C92" s="46"/>
      <c r="D92" s="46"/>
      <c r="E92" s="46"/>
      <c r="F92" s="42"/>
      <c r="G92" s="42"/>
    </row>
    <row r="93" spans="1:7" ht="15.6" x14ac:dyDescent="0.3">
      <c r="A93" s="42"/>
      <c r="B93" s="46"/>
      <c r="C93" s="46"/>
      <c r="D93" s="46"/>
      <c r="E93" s="46"/>
      <c r="F93" s="42"/>
      <c r="G93" s="42"/>
    </row>
    <row r="94" spans="1:7" ht="15.6" x14ac:dyDescent="0.3">
      <c r="A94" s="42"/>
      <c r="B94" s="46"/>
      <c r="C94" s="46"/>
      <c r="D94" s="46"/>
      <c r="E94" s="46"/>
      <c r="F94" s="42"/>
      <c r="G94" s="42"/>
    </row>
    <row r="95" spans="1:7" ht="15.6" x14ac:dyDescent="0.3">
      <c r="A95" s="42"/>
      <c r="B95" s="46"/>
      <c r="C95" s="46"/>
      <c r="D95" s="46"/>
      <c r="E95" s="46"/>
      <c r="F95" s="42"/>
      <c r="G95" s="42"/>
    </row>
    <row r="96" spans="1:7" ht="15.6" x14ac:dyDescent="0.3">
      <c r="A96" s="42"/>
      <c r="B96" s="46"/>
      <c r="C96" s="46"/>
      <c r="D96" s="46"/>
      <c r="E96" s="46"/>
      <c r="F96" s="42"/>
      <c r="G96" s="42"/>
    </row>
    <row r="97" spans="1:7" ht="15.6" x14ac:dyDescent="0.3">
      <c r="A97" s="42"/>
      <c r="B97" s="46"/>
      <c r="C97" s="46"/>
      <c r="D97" s="46"/>
      <c r="E97" s="46"/>
      <c r="F97" s="42"/>
      <c r="G97" s="42"/>
    </row>
    <row r="98" spans="1:7" ht="15.6" x14ac:dyDescent="0.3">
      <c r="A98" s="42"/>
      <c r="B98" s="46"/>
      <c r="C98" s="46"/>
      <c r="D98" s="46"/>
      <c r="E98" s="46"/>
      <c r="F98" s="42"/>
      <c r="G98" s="42"/>
    </row>
    <row r="99" spans="1:7" ht="15.6" x14ac:dyDescent="0.3">
      <c r="A99" s="42"/>
      <c r="B99" s="46"/>
      <c r="C99" s="46"/>
      <c r="D99" s="46"/>
      <c r="E99" s="46"/>
      <c r="F99" s="42"/>
      <c r="G99" s="42"/>
    </row>
    <row r="100" spans="1:7" ht="15.6" x14ac:dyDescent="0.3">
      <c r="A100" s="42"/>
      <c r="B100" s="46"/>
      <c r="C100" s="46"/>
      <c r="D100" s="46"/>
      <c r="E100" s="46"/>
      <c r="F100" s="42"/>
      <c r="G100" s="42"/>
    </row>
    <row r="101" spans="1:7" ht="15.6" x14ac:dyDescent="0.3">
      <c r="A101" s="42"/>
      <c r="B101" s="46"/>
      <c r="C101" s="46"/>
      <c r="D101" s="46"/>
      <c r="E101" s="46"/>
      <c r="F101" s="42"/>
      <c r="G101" s="42"/>
    </row>
    <row r="102" spans="1:7" ht="15.6" x14ac:dyDescent="0.3">
      <c r="A102" s="42"/>
      <c r="B102" s="46"/>
      <c r="C102" s="46"/>
      <c r="D102" s="46"/>
      <c r="E102" s="46"/>
      <c r="F102" s="42"/>
      <c r="G102" s="42"/>
    </row>
    <row r="103" spans="1:7" ht="15.6" x14ac:dyDescent="0.3">
      <c r="A103" s="42"/>
      <c r="B103" s="46"/>
      <c r="C103" s="46"/>
      <c r="D103" s="46"/>
      <c r="E103" s="46"/>
      <c r="F103" s="42"/>
      <c r="G103" s="42"/>
    </row>
    <row r="104" spans="1:7" ht="15.6" x14ac:dyDescent="0.3">
      <c r="A104" s="42"/>
      <c r="B104" s="46"/>
      <c r="C104" s="46"/>
      <c r="D104" s="46"/>
      <c r="E104" s="46"/>
      <c r="F104" s="42"/>
      <c r="G104" s="42"/>
    </row>
    <row r="105" spans="1:7" ht="15.6" x14ac:dyDescent="0.3">
      <c r="A105" s="42"/>
      <c r="B105" s="46"/>
      <c r="C105" s="46"/>
      <c r="D105" s="46"/>
      <c r="E105" s="46"/>
      <c r="F105" s="42"/>
      <c r="G105" s="42"/>
    </row>
    <row r="106" spans="1:7" ht="15.6" x14ac:dyDescent="0.3">
      <c r="A106" s="42"/>
      <c r="B106" s="46"/>
      <c r="C106" s="46"/>
      <c r="D106" s="46"/>
      <c r="E106" s="46"/>
      <c r="F106" s="42"/>
      <c r="G106" s="42"/>
    </row>
    <row r="107" spans="1:7" ht="15.6" x14ac:dyDescent="0.3">
      <c r="A107" s="42"/>
      <c r="B107" s="42"/>
      <c r="C107" s="42"/>
      <c r="D107" s="42"/>
      <c r="E107" s="42"/>
      <c r="F107" s="42"/>
      <c r="G107" s="42"/>
    </row>
    <row r="108" spans="1:7" ht="15.6" x14ac:dyDescent="0.3">
      <c r="A108" s="42"/>
      <c r="B108" s="42"/>
      <c r="C108" s="42"/>
      <c r="D108" s="42"/>
      <c r="E108" s="42"/>
      <c r="F108" s="42"/>
      <c r="G108" s="42"/>
    </row>
    <row r="109" spans="1:7" ht="15.6" x14ac:dyDescent="0.3">
      <c r="A109" s="42"/>
      <c r="B109" s="42"/>
      <c r="C109" s="42"/>
      <c r="D109" s="42"/>
      <c r="E109" s="42"/>
      <c r="F109" s="42"/>
      <c r="G109" s="42"/>
    </row>
    <row r="110" spans="1:7" ht="15.6" x14ac:dyDescent="0.3">
      <c r="A110" s="42"/>
      <c r="B110" s="42"/>
      <c r="C110" s="42"/>
      <c r="D110" s="42"/>
      <c r="E110" s="42"/>
      <c r="F110" s="42"/>
      <c r="G110" s="42"/>
    </row>
    <row r="111" spans="1:7" ht="15.6" x14ac:dyDescent="0.3">
      <c r="A111" s="42"/>
      <c r="B111" s="42"/>
      <c r="C111" s="42"/>
      <c r="D111" s="42"/>
      <c r="E111" s="42"/>
      <c r="F111" s="42"/>
      <c r="G111" s="42"/>
    </row>
    <row r="112" spans="1:7" ht="15.6" x14ac:dyDescent="0.3">
      <c r="A112" s="42"/>
      <c r="B112" s="42"/>
      <c r="C112" s="42"/>
      <c r="D112" s="42"/>
      <c r="E112" s="42"/>
      <c r="F112" s="42"/>
      <c r="G112" s="42"/>
    </row>
    <row r="113" spans="1:7" ht="15.6" x14ac:dyDescent="0.3">
      <c r="A113" s="42"/>
      <c r="B113" s="42"/>
      <c r="C113" s="42"/>
      <c r="D113" s="42"/>
      <c r="E113" s="42"/>
      <c r="F113" s="42"/>
      <c r="G113" s="42"/>
    </row>
    <row r="114" spans="1:7" ht="15.6" x14ac:dyDescent="0.3">
      <c r="A114" s="42"/>
      <c r="B114" s="42"/>
      <c r="C114" s="42"/>
      <c r="D114" s="42"/>
      <c r="E114" s="42"/>
      <c r="F114" s="42"/>
      <c r="G114" s="42"/>
    </row>
    <row r="115" spans="1:7" ht="15.6" x14ac:dyDescent="0.3">
      <c r="A115" s="42"/>
      <c r="B115" s="42"/>
      <c r="C115" s="42"/>
      <c r="D115" s="42"/>
      <c r="E115" s="42"/>
      <c r="F115" s="42"/>
      <c r="G115" s="42"/>
    </row>
    <row r="116" spans="1:7" ht="15.6" x14ac:dyDescent="0.3">
      <c r="A116" s="42"/>
      <c r="B116" s="42"/>
      <c r="C116" s="42"/>
      <c r="D116" s="42"/>
      <c r="E116" s="42"/>
      <c r="F116" s="42"/>
      <c r="G116" s="42"/>
    </row>
    <row r="117" spans="1:7" ht="15.6" x14ac:dyDescent="0.3">
      <c r="A117" s="42"/>
      <c r="B117" s="42"/>
      <c r="C117" s="42"/>
      <c r="D117" s="42"/>
      <c r="E117" s="42"/>
      <c r="F117" s="42"/>
      <c r="G117" s="42"/>
    </row>
    <row r="118" spans="1:7" ht="15.6" x14ac:dyDescent="0.3">
      <c r="A118" s="42"/>
      <c r="B118" s="42"/>
      <c r="C118" s="42"/>
      <c r="D118" s="42"/>
      <c r="E118" s="42"/>
      <c r="F118" s="42"/>
      <c r="G118" s="42"/>
    </row>
    <row r="119" spans="1:7" ht="15.6" x14ac:dyDescent="0.3">
      <c r="A119" s="42"/>
      <c r="B119" s="42"/>
      <c r="C119" s="42"/>
      <c r="D119" s="42"/>
      <c r="E119" s="42"/>
      <c r="F119" s="42"/>
      <c r="G119" s="42"/>
    </row>
    <row r="120" spans="1:7" ht="15.6" x14ac:dyDescent="0.3">
      <c r="A120" s="42"/>
      <c r="B120" s="42"/>
      <c r="C120" s="42"/>
      <c r="D120" s="42"/>
      <c r="E120" s="42"/>
      <c r="F120" s="42"/>
      <c r="G120" s="42"/>
    </row>
    <row r="121" spans="1:7" ht="15.6" x14ac:dyDescent="0.3">
      <c r="A121" s="42"/>
      <c r="B121" s="42"/>
      <c r="C121" s="42"/>
      <c r="D121" s="42"/>
      <c r="E121" s="42"/>
      <c r="F121" s="42"/>
      <c r="G121" s="42"/>
    </row>
    <row r="122" spans="1:7" ht="15.6" x14ac:dyDescent="0.3">
      <c r="A122" s="42"/>
      <c r="B122" s="42"/>
      <c r="C122" s="42"/>
      <c r="D122" s="42"/>
      <c r="E122" s="42"/>
      <c r="F122" s="42"/>
      <c r="G122" s="42"/>
    </row>
    <row r="123" spans="1:7" ht="15.6" x14ac:dyDescent="0.3">
      <c r="A123" s="42"/>
      <c r="B123" s="42"/>
      <c r="C123" s="42"/>
      <c r="D123" s="42"/>
      <c r="E123" s="42"/>
      <c r="F123" s="42"/>
      <c r="G123" s="42"/>
    </row>
    <row r="124" spans="1:7" ht="15.6" x14ac:dyDescent="0.3">
      <c r="A124" s="42"/>
      <c r="B124" s="42"/>
      <c r="C124" s="42"/>
      <c r="D124" s="42"/>
      <c r="E124" s="42"/>
      <c r="F124" s="42"/>
      <c r="G124" s="42"/>
    </row>
    <row r="125" spans="1:7" ht="15.6" x14ac:dyDescent="0.3">
      <c r="A125" s="42"/>
      <c r="B125" s="42"/>
      <c r="C125" s="42"/>
      <c r="D125" s="42"/>
      <c r="E125" s="42"/>
      <c r="F125" s="42"/>
      <c r="G125" s="42"/>
    </row>
    <row r="126" spans="1:7" ht="15.6" x14ac:dyDescent="0.3">
      <c r="A126" s="42"/>
      <c r="B126" s="42"/>
      <c r="C126" s="42"/>
      <c r="D126" s="42"/>
      <c r="E126" s="42"/>
      <c r="F126" s="42"/>
      <c r="G126" s="42"/>
    </row>
    <row r="127" spans="1:7" ht="15.6" x14ac:dyDescent="0.3">
      <c r="A127" s="42"/>
      <c r="B127" s="42"/>
      <c r="C127" s="42"/>
      <c r="D127" s="42"/>
      <c r="E127" s="42"/>
      <c r="F127" s="42"/>
      <c r="G127" s="42"/>
    </row>
    <row r="128" spans="1:7" ht="15.6" x14ac:dyDescent="0.3">
      <c r="A128" s="42"/>
      <c r="B128" s="42"/>
      <c r="C128" s="42"/>
      <c r="D128" s="42"/>
      <c r="E128" s="42"/>
      <c r="F128" s="42"/>
      <c r="G128" s="42"/>
    </row>
    <row r="129" spans="1:7" ht="15.6" x14ac:dyDescent="0.3">
      <c r="A129" s="42"/>
      <c r="B129" s="42"/>
      <c r="C129" s="42"/>
      <c r="D129" s="42"/>
      <c r="E129" s="42"/>
      <c r="F129" s="42"/>
      <c r="G129" s="42"/>
    </row>
    <row r="130" spans="1:7" ht="15.6" x14ac:dyDescent="0.3">
      <c r="A130" s="42"/>
      <c r="B130" s="42"/>
      <c r="C130" s="42"/>
      <c r="D130" s="42"/>
      <c r="E130" s="42"/>
      <c r="F130" s="42"/>
      <c r="G130" s="42"/>
    </row>
    <row r="131" spans="1:7" ht="15.6" x14ac:dyDescent="0.3">
      <c r="A131" s="42"/>
      <c r="B131" s="42"/>
      <c r="C131" s="42"/>
      <c r="D131" s="42"/>
      <c r="E131" s="42"/>
      <c r="F131" s="42"/>
      <c r="G131" s="42"/>
    </row>
    <row r="132" spans="1:7" ht="15.6" x14ac:dyDescent="0.3">
      <c r="A132" s="42"/>
      <c r="B132" s="42"/>
      <c r="C132" s="42"/>
      <c r="D132" s="42"/>
      <c r="E132" s="42"/>
      <c r="F132" s="42"/>
      <c r="G132" s="42"/>
    </row>
    <row r="133" spans="1:7" ht="15.6" x14ac:dyDescent="0.3">
      <c r="A133" s="42"/>
      <c r="B133" s="42"/>
      <c r="C133" s="42"/>
      <c r="D133" s="42"/>
      <c r="E133" s="42"/>
      <c r="F133" s="42"/>
      <c r="G133" s="42"/>
    </row>
    <row r="134" spans="1:7" ht="15.6" x14ac:dyDescent="0.3">
      <c r="A134" s="42"/>
      <c r="B134" s="42"/>
      <c r="C134" s="42"/>
      <c r="D134" s="42"/>
      <c r="E134" s="42"/>
      <c r="F134" s="42"/>
      <c r="G134" s="42"/>
    </row>
    <row r="135" spans="1:7" ht="15.6" x14ac:dyDescent="0.3">
      <c r="A135" s="42"/>
      <c r="B135" s="42"/>
      <c r="C135" s="42"/>
      <c r="D135" s="42"/>
      <c r="E135" s="42"/>
      <c r="F135" s="42"/>
      <c r="G135" s="42"/>
    </row>
    <row r="136" spans="1:7" ht="15.6" x14ac:dyDescent="0.3">
      <c r="A136" s="42"/>
      <c r="B136" s="42"/>
      <c r="C136" s="42"/>
      <c r="D136" s="42"/>
      <c r="E136" s="42"/>
      <c r="F136" s="42"/>
      <c r="G136" s="42"/>
    </row>
    <row r="137" spans="1:7" ht="15.6" x14ac:dyDescent="0.3">
      <c r="A137" s="42"/>
      <c r="B137" s="42"/>
      <c r="C137" s="42"/>
      <c r="D137" s="42"/>
      <c r="E137" s="42"/>
      <c r="F137" s="42"/>
      <c r="G137" s="42"/>
    </row>
    <row r="138" spans="1:7" ht="15.6" x14ac:dyDescent="0.3">
      <c r="A138" s="42"/>
      <c r="B138" s="42"/>
      <c r="C138" s="42"/>
      <c r="D138" s="42"/>
      <c r="E138" s="42"/>
      <c r="F138" s="42"/>
      <c r="G138" s="42"/>
    </row>
    <row r="139" spans="1:7" ht="15.6" x14ac:dyDescent="0.3">
      <c r="A139" s="42"/>
      <c r="B139" s="42"/>
      <c r="C139" s="42"/>
      <c r="D139" s="42"/>
      <c r="E139" s="42"/>
      <c r="F139" s="42"/>
      <c r="G139" s="42"/>
    </row>
    <row r="140" spans="1:7" ht="15.6" x14ac:dyDescent="0.3">
      <c r="A140" s="42"/>
      <c r="B140" s="42"/>
      <c r="C140" s="42"/>
      <c r="D140" s="42"/>
      <c r="E140" s="42"/>
      <c r="F140" s="42"/>
      <c r="G140" s="42"/>
    </row>
    <row r="141" spans="1:7" ht="15.6" x14ac:dyDescent="0.3">
      <c r="A141" s="42"/>
      <c r="B141" s="42"/>
      <c r="C141" s="42"/>
      <c r="D141" s="42"/>
      <c r="E141" s="42"/>
      <c r="F141" s="42"/>
      <c r="G141" s="42"/>
    </row>
    <row r="142" spans="1:7" ht="15.6" x14ac:dyDescent="0.3">
      <c r="A142" s="42"/>
      <c r="B142" s="42"/>
      <c r="C142" s="42"/>
      <c r="D142" s="42"/>
      <c r="E142" s="42"/>
      <c r="F142" s="42"/>
      <c r="G142" s="42"/>
    </row>
    <row r="145" spans="6:7" x14ac:dyDescent="0.3">
      <c r="F145">
        <f>+INT(E85)</f>
        <v>3</v>
      </c>
      <c r="G145" t="s">
        <v>82</v>
      </c>
    </row>
    <row r="146" spans="6:7" x14ac:dyDescent="0.3">
      <c r="F146" s="1">
        <f>+INT(E86)</f>
        <v>4</v>
      </c>
      <c r="G146" t="s">
        <v>83</v>
      </c>
    </row>
    <row r="147" spans="6:7" x14ac:dyDescent="0.3">
      <c r="F147" s="21">
        <f>+ROUND(E87,0)</f>
        <v>57</v>
      </c>
      <c r="G147" t="s">
        <v>84</v>
      </c>
    </row>
    <row r="148" spans="6:7" x14ac:dyDescent="0.3">
      <c r="F148" s="20"/>
    </row>
    <row r="149" spans="6:7" x14ac:dyDescent="0.3">
      <c r="F149" s="20"/>
    </row>
    <row r="150" spans="6:7" x14ac:dyDescent="0.3">
      <c r="F150" s="20"/>
    </row>
    <row r="151" spans="6:7" x14ac:dyDescent="0.3">
      <c r="F151" s="20"/>
    </row>
    <row r="152" spans="6:7" x14ac:dyDescent="0.3">
      <c r="F152" s="20"/>
    </row>
    <row r="153" spans="6:7" x14ac:dyDescent="0.3">
      <c r="F153" s="20"/>
    </row>
    <row r="154" spans="6:7" x14ac:dyDescent="0.3">
      <c r="F154" s="20"/>
    </row>
    <row r="155" spans="6:7" x14ac:dyDescent="0.3">
      <c r="F155" s="20"/>
    </row>
    <row r="156" spans="6:7" x14ac:dyDescent="0.3">
      <c r="F156" s="20"/>
    </row>
    <row r="157" spans="6:7" x14ac:dyDescent="0.3">
      <c r="F157" s="20"/>
    </row>
    <row r="158" spans="6:7" x14ac:dyDescent="0.3">
      <c r="F158" s="20"/>
    </row>
    <row r="159" spans="6:7" x14ac:dyDescent="0.3">
      <c r="F159" s="20"/>
    </row>
    <row r="160" spans="6:7" x14ac:dyDescent="0.3">
      <c r="F160" s="20"/>
    </row>
    <row r="161" spans="6:8" x14ac:dyDescent="0.3">
      <c r="F161" s="20"/>
    </row>
    <row r="162" spans="6:8" x14ac:dyDescent="0.3">
      <c r="F162" s="20"/>
    </row>
    <row r="163" spans="6:8" x14ac:dyDescent="0.3">
      <c r="F163" s="20"/>
    </row>
    <row r="164" spans="6:8" x14ac:dyDescent="0.3">
      <c r="F164" s="20"/>
    </row>
    <row r="165" spans="6:8" x14ac:dyDescent="0.3">
      <c r="F165" s="20"/>
    </row>
    <row r="166" spans="6:8" x14ac:dyDescent="0.3">
      <c r="F166" s="20"/>
    </row>
    <row r="168" spans="6:8" x14ac:dyDescent="0.3">
      <c r="F168" s="16"/>
      <c r="G168" s="16"/>
      <c r="H168" s="16"/>
    </row>
    <row r="169" spans="6:8" x14ac:dyDescent="0.3">
      <c r="F169" s="16"/>
      <c r="G169" s="16"/>
      <c r="H169" s="16"/>
    </row>
    <row r="170" spans="6:8" x14ac:dyDescent="0.3">
      <c r="F170" s="16"/>
      <c r="G170" s="16"/>
      <c r="H170" s="16"/>
    </row>
    <row r="171" spans="6:8" x14ac:dyDescent="0.3">
      <c r="F171" s="16"/>
      <c r="G171" s="16"/>
      <c r="H171" s="16"/>
    </row>
    <row r="172" spans="6:8" x14ac:dyDescent="0.3">
      <c r="F172" s="16"/>
      <c r="G172" s="16"/>
      <c r="H172" s="16"/>
    </row>
  </sheetData>
  <mergeCells count="24">
    <mergeCell ref="B72:B74"/>
    <mergeCell ref="B75:B77"/>
    <mergeCell ref="B78:B80"/>
    <mergeCell ref="C15:F15"/>
    <mergeCell ref="B57:B59"/>
    <mergeCell ref="B60:B62"/>
    <mergeCell ref="B63:B65"/>
    <mergeCell ref="B66:B68"/>
    <mergeCell ref="B69:B71"/>
    <mergeCell ref="K54:L54"/>
    <mergeCell ref="K4:L4"/>
    <mergeCell ref="N4:O4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S16" sqref="S16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8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8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0" t="s">
        <v>0</v>
      </c>
      <c r="D3" s="30" t="s">
        <v>1</v>
      </c>
      <c r="E3" s="30" t="s">
        <v>2</v>
      </c>
      <c r="J3" s="9" t="s">
        <v>11</v>
      </c>
      <c r="K3" s="10" t="s">
        <v>4</v>
      </c>
      <c r="L3" s="33">
        <f>+'Hoja de cronometraje'!E20</f>
        <v>3267</v>
      </c>
      <c r="M3" s="8" t="s">
        <v>7</v>
      </c>
      <c r="P3" s="50" t="s">
        <v>85</v>
      </c>
      <c r="Q3" s="51" t="s">
        <v>86</v>
      </c>
    </row>
    <row r="4" spans="1:17" ht="16.2" thickBot="1" x14ac:dyDescent="0.35">
      <c r="A4" s="1"/>
      <c r="B4" s="13" t="s">
        <v>3</v>
      </c>
      <c r="C4" s="3">
        <f>+'Hoja de cronometraje'!C9</f>
        <v>12</v>
      </c>
      <c r="D4" s="3">
        <f>+'Hoja de cronometraje'!D9</f>
        <v>22</v>
      </c>
      <c r="E4" s="3">
        <f>+'Hoja de cronometraje'!E9</f>
        <v>33</v>
      </c>
      <c r="F4" t="s">
        <v>4</v>
      </c>
      <c r="G4" s="4">
        <f>(C4*3600)+(D4*60)+E4</f>
        <v>44553</v>
      </c>
      <c r="H4" s="5" t="s">
        <v>5</v>
      </c>
      <c r="J4" s="9" t="s">
        <v>12</v>
      </c>
      <c r="K4" s="10" t="s">
        <v>4</v>
      </c>
      <c r="L4" s="32">
        <f>+'Hoja de cronometraje'!E81</f>
        <v>2132</v>
      </c>
      <c r="M4" s="8" t="s">
        <v>7</v>
      </c>
      <c r="P4" s="48" t="s">
        <v>87</v>
      </c>
      <c r="Q4" s="52" t="str">
        <f>+CONCATENATE(C4,"h ",D4,"'",E4,"""")</f>
        <v>12h 22'33"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17</v>
      </c>
      <c r="E5" s="3">
        <f>+'Hoja de cronometraje'!E10</f>
        <v>36</v>
      </c>
      <c r="F5" t="s">
        <v>4</v>
      </c>
      <c r="G5" s="7">
        <f>(C5*3600)+(D5*60)+E5</f>
        <v>33456</v>
      </c>
      <c r="H5" s="8" t="s">
        <v>5</v>
      </c>
      <c r="J5" s="9" t="s">
        <v>14</v>
      </c>
      <c r="K5" s="10" t="s">
        <v>4</v>
      </c>
      <c r="L5" s="34">
        <v>0</v>
      </c>
      <c r="M5" s="8" t="s">
        <v>7</v>
      </c>
      <c r="P5" s="48" t="s">
        <v>88</v>
      </c>
      <c r="Q5" s="52" t="str">
        <f>+CONCATENATE(C5,"h ",D5,"'",E5,"""")</f>
        <v>9h 17'36"</v>
      </c>
    </row>
    <row r="6" spans="1:17" ht="15.6" x14ac:dyDescent="0.3">
      <c r="E6" s="1"/>
      <c r="J6" s="1"/>
      <c r="P6" s="49" t="s">
        <v>10</v>
      </c>
      <c r="Q6" s="53" t="str">
        <f>+CONCATENATE(G7," seg")</f>
        <v>11097 seg</v>
      </c>
    </row>
    <row r="7" spans="1:17" ht="16.2" thickBot="1" x14ac:dyDescent="0.35">
      <c r="E7" s="9" t="s">
        <v>10</v>
      </c>
      <c r="F7" s="10" t="s">
        <v>4</v>
      </c>
      <c r="G7" s="10">
        <f>G4-G5</f>
        <v>11097</v>
      </c>
      <c r="H7" s="8" t="s">
        <v>5</v>
      </c>
      <c r="J7" s="1"/>
      <c r="P7" s="49" t="s">
        <v>10</v>
      </c>
      <c r="Q7" s="53" t="str">
        <f>+CONCATENATE(G8," c.s.")</f>
        <v>1109700 c.s.</v>
      </c>
    </row>
    <row r="8" spans="1:17" ht="16.2" thickBot="1" x14ac:dyDescent="0.35">
      <c r="E8" s="9" t="s">
        <v>10</v>
      </c>
      <c r="F8" s="10" t="s">
        <v>4</v>
      </c>
      <c r="G8" s="32">
        <f>G7*100</f>
        <v>1109700</v>
      </c>
      <c r="H8" s="8" t="s">
        <v>7</v>
      </c>
      <c r="J8" s="9" t="s">
        <v>13</v>
      </c>
      <c r="K8" s="10" t="s">
        <v>4</v>
      </c>
      <c r="L8" s="10">
        <f>G8-L3-L4</f>
        <v>1104301</v>
      </c>
      <c r="M8" s="8" t="s">
        <v>7</v>
      </c>
      <c r="P8" s="48" t="s">
        <v>11</v>
      </c>
      <c r="Q8" s="52" t="str">
        <f>+CONCATENATE(L3," c.s.")</f>
        <v>3267 c.s.</v>
      </c>
    </row>
    <row r="9" spans="1:17" ht="15.6" x14ac:dyDescent="0.3">
      <c r="J9" s="9" t="s">
        <v>15</v>
      </c>
      <c r="K9" s="10" t="s">
        <v>4</v>
      </c>
      <c r="L9" s="10">
        <f>L8-L5</f>
        <v>1104301</v>
      </c>
      <c r="M9" s="8" t="s">
        <v>7</v>
      </c>
      <c r="P9" s="48" t="s">
        <v>12</v>
      </c>
      <c r="Q9" s="52" t="str">
        <f>+CONCATENATE(L4," c.s.")</f>
        <v>2132 c.s.</v>
      </c>
    </row>
    <row r="10" spans="1:17" ht="15.6" x14ac:dyDescent="0.3">
      <c r="J10" s="1"/>
      <c r="P10" s="49" t="s">
        <v>13</v>
      </c>
      <c r="Q10" s="53" t="str">
        <f>+CONCATENATE(L8," c.s.")</f>
        <v>1104301 c.s.</v>
      </c>
    </row>
    <row r="11" spans="1:17" ht="15.6" x14ac:dyDescent="0.3">
      <c r="P11" s="49" t="s">
        <v>89</v>
      </c>
      <c r="Q11" s="53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cronometraje'!E82</f>
        <v>1109665</v>
      </c>
      <c r="M12" s="8" t="s">
        <v>7</v>
      </c>
      <c r="P12" s="49" t="s">
        <v>15</v>
      </c>
      <c r="Q12" s="53" t="str">
        <f>+CONCATENATE(L9," c.s.")</f>
        <v>1104301 c.s.</v>
      </c>
    </row>
    <row r="13" spans="1:17" ht="15.6" x14ac:dyDescent="0.3">
      <c r="J13" s="12" t="s">
        <v>17</v>
      </c>
      <c r="K13" s="10" t="s">
        <v>4</v>
      </c>
      <c r="L13" s="10">
        <f>G8-L12</f>
        <v>35</v>
      </c>
      <c r="M13" s="8" t="s">
        <v>7</v>
      </c>
      <c r="P13" s="48" t="s">
        <v>16</v>
      </c>
      <c r="Q13" s="52" t="str">
        <f>+CONCATENATE(L12," c.s.")</f>
        <v>1109665 c.s.</v>
      </c>
    </row>
    <row r="14" spans="1:17" ht="15.6" x14ac:dyDescent="0.3">
      <c r="J14" s="1"/>
      <c r="P14" s="49" t="s">
        <v>90</v>
      </c>
      <c r="Q14" s="53" t="str">
        <f>+CONCATENATE(L13," c.s.")</f>
        <v>35 c.s.</v>
      </c>
    </row>
    <row r="15" spans="1:17" ht="15.6" x14ac:dyDescent="0.3">
      <c r="J15" s="9" t="s">
        <v>9</v>
      </c>
      <c r="K15" s="10" t="s">
        <v>4</v>
      </c>
      <c r="L15" s="11">
        <f>(L13/G8)*100</f>
        <v>3.1540055870956114E-3</v>
      </c>
      <c r="M15" s="8" t="s">
        <v>8</v>
      </c>
      <c r="P15" s="49" t="s">
        <v>9</v>
      </c>
      <c r="Q15" s="54" t="str">
        <f>+CONCATENATE(ROUND(L15,3)," %")</f>
        <v>0.003 %</v>
      </c>
    </row>
    <row r="16" spans="1:17" x14ac:dyDescent="0.3">
      <c r="G16" s="2"/>
    </row>
    <row r="17" spans="9:17" x14ac:dyDescent="0.3">
      <c r="I17" s="124" t="str">
        <f>IF(ABS(L15)&lt;1,"Los tiempos son confiables","Los tiempos no son confiables")</f>
        <v>Los tiempos son confiables</v>
      </c>
      <c r="J17" s="125"/>
      <c r="K17" s="125"/>
      <c r="L17" s="125"/>
      <c r="M17" s="125"/>
      <c r="N17" s="126"/>
      <c r="P17" s="16"/>
      <c r="Q17" s="16"/>
    </row>
    <row r="18" spans="9:17" x14ac:dyDescent="0.3">
      <c r="I18" s="127"/>
      <c r="J18" s="128"/>
      <c r="K18" s="128"/>
      <c r="L18" s="128"/>
      <c r="M18" s="128"/>
      <c r="N18" s="129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A24" zoomScaleNormal="100" workbookViewId="0">
      <selection activeCell="H57" sqref="H57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2" spans="2:19" x14ac:dyDescent="0.3">
      <c r="B2" s="14"/>
      <c r="G2" s="134" t="str">
        <f>+'Hoja de cronometraje'!K4</f>
        <v>Elemento P</v>
      </c>
      <c r="H2" s="135"/>
      <c r="P2" s="134" t="str">
        <f>+'Hoja de cronometraje'!N4</f>
        <v>Elemento R</v>
      </c>
      <c r="Q2" s="135"/>
    </row>
    <row r="3" spans="2:19" ht="15.6" x14ac:dyDescent="0.3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2:19" ht="15.6" x14ac:dyDescent="0.3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2:19" ht="15.6" x14ac:dyDescent="0.3">
      <c r="C5" s="42"/>
      <c r="D5" s="51" t="s">
        <v>18</v>
      </c>
      <c r="E5" s="62" t="s">
        <v>19</v>
      </c>
      <c r="F5" s="51" t="s">
        <v>20</v>
      </c>
      <c r="G5" s="51" t="s">
        <v>21</v>
      </c>
      <c r="H5" s="42"/>
      <c r="I5" s="42"/>
      <c r="J5" s="42"/>
      <c r="K5" s="42"/>
      <c r="L5" s="42"/>
      <c r="M5" s="51" t="s">
        <v>18</v>
      </c>
      <c r="N5" s="62" t="s">
        <v>19</v>
      </c>
      <c r="O5" s="51" t="s">
        <v>20</v>
      </c>
      <c r="P5" s="51" t="s">
        <v>21</v>
      </c>
      <c r="Q5" s="42"/>
      <c r="R5" s="42"/>
    </row>
    <row r="6" spans="2:19" ht="15.6" x14ac:dyDescent="0.3">
      <c r="C6" s="42"/>
      <c r="D6" s="58">
        <f ca="1">+'Hoja de cronometraje'!K7</f>
        <v>95</v>
      </c>
      <c r="E6" s="39">
        <f ca="1">+'Hoja de cronometraje'!L7</f>
        <v>8792</v>
      </c>
      <c r="F6" s="58">
        <f ca="1">(D6*E6)/100</f>
        <v>8352.4</v>
      </c>
      <c r="G6" s="58">
        <f ca="1">POWER(F6,2)</f>
        <v>69762585.75999999</v>
      </c>
      <c r="H6" s="42"/>
      <c r="I6" s="42"/>
      <c r="J6" s="42"/>
      <c r="K6" s="42"/>
      <c r="L6" s="42"/>
      <c r="M6" s="58">
        <f ca="1">+'Hoja de cronometraje'!N7</f>
        <v>85</v>
      </c>
      <c r="N6" s="39">
        <f ca="1">+'Hoja de cronometraje'!O7</f>
        <v>8976</v>
      </c>
      <c r="O6" s="58">
        <f ca="1">(M6*N6)/100</f>
        <v>7629.6</v>
      </c>
      <c r="P6" s="58">
        <f ca="1">POWER(O6,2)</f>
        <v>58210796.160000004</v>
      </c>
      <c r="Q6" s="42"/>
      <c r="R6" s="42"/>
    </row>
    <row r="7" spans="2:19" ht="15.6" x14ac:dyDescent="0.3">
      <c r="C7" s="42"/>
      <c r="D7" s="58">
        <f ca="1">+'Hoja de cronometraje'!K8</f>
        <v>95</v>
      </c>
      <c r="E7" s="39">
        <f ca="1">+'Hoja de cronometraje'!L8</f>
        <v>8742</v>
      </c>
      <c r="F7" s="58">
        <f t="shared" ref="F7:F25" ca="1" si="0">(D7*E7)/100</f>
        <v>8304.9</v>
      </c>
      <c r="G7" s="58">
        <f t="shared" ref="G7:G25" ca="1" si="1">POWER(F7,2)</f>
        <v>68971364.00999999</v>
      </c>
      <c r="H7" s="42"/>
      <c r="I7" s="43" t="s">
        <v>23</v>
      </c>
      <c r="J7" s="43">
        <f ca="1">COUNTA(E6:E25)</f>
        <v>20</v>
      </c>
      <c r="K7" s="42"/>
      <c r="L7" s="42"/>
      <c r="M7" s="58">
        <f ca="1">+'Hoja de cronometraje'!N8</f>
        <v>90</v>
      </c>
      <c r="N7" s="39">
        <f ca="1">+'Hoja de cronometraje'!O8</f>
        <v>8840</v>
      </c>
      <c r="O7" s="58">
        <f t="shared" ref="O7:O25" ca="1" si="2">(M7*N7)/100</f>
        <v>7956</v>
      </c>
      <c r="P7" s="58">
        <f t="shared" ref="P7:P25" ca="1" si="3">POWER(O7,2)</f>
        <v>63297936</v>
      </c>
      <c r="Q7" s="42"/>
      <c r="R7" s="43" t="s">
        <v>23</v>
      </c>
      <c r="S7" s="3">
        <f ca="1">COUNTA(N6:N25)</f>
        <v>20</v>
      </c>
    </row>
    <row r="8" spans="2:19" ht="15.6" x14ac:dyDescent="0.3">
      <c r="C8" s="42"/>
      <c r="D8" s="58">
        <f ca="1">+'Hoja de cronometraje'!K9</f>
        <v>90</v>
      </c>
      <c r="E8" s="39">
        <f ca="1">+'Hoja de cronometraje'!L9</f>
        <v>8879</v>
      </c>
      <c r="F8" s="58">
        <f t="shared" ca="1" si="0"/>
        <v>7991.1</v>
      </c>
      <c r="G8" s="58">
        <f t="shared" ca="1" si="1"/>
        <v>63857679.210000008</v>
      </c>
      <c r="H8" s="42"/>
      <c r="I8" s="42"/>
      <c r="J8" s="42"/>
      <c r="K8" s="42"/>
      <c r="L8" s="42"/>
      <c r="M8" s="58">
        <f ca="1">+'Hoja de cronometraje'!N9</f>
        <v>90</v>
      </c>
      <c r="N8" s="39">
        <f ca="1">+'Hoja de cronometraje'!O9</f>
        <v>8901</v>
      </c>
      <c r="O8" s="58">
        <f t="shared" ca="1" si="2"/>
        <v>8010.9</v>
      </c>
      <c r="P8" s="58">
        <f t="shared" ca="1" si="3"/>
        <v>64174518.809999995</v>
      </c>
      <c r="Q8" s="42"/>
      <c r="R8" s="42"/>
    </row>
    <row r="9" spans="2:19" ht="15.6" x14ac:dyDescent="0.3">
      <c r="C9" s="42"/>
      <c r="D9" s="58">
        <f ca="1">+'Hoja de cronometraje'!K10</f>
        <v>90</v>
      </c>
      <c r="E9" s="39">
        <f ca="1">+'Hoja de cronometraje'!L10</f>
        <v>8750</v>
      </c>
      <c r="F9" s="58">
        <f t="shared" ca="1" si="0"/>
        <v>7875</v>
      </c>
      <c r="G9" s="58">
        <f t="shared" ca="1" si="1"/>
        <v>62015625</v>
      </c>
      <c r="H9" s="42"/>
      <c r="I9" s="42"/>
      <c r="J9" s="42"/>
      <c r="K9" s="42"/>
      <c r="L9" s="42"/>
      <c r="M9" s="58">
        <f ca="1">+'Hoja de cronometraje'!N10</f>
        <v>95</v>
      </c>
      <c r="N9" s="39">
        <f ca="1">+'Hoja de cronometraje'!O10</f>
        <v>8816</v>
      </c>
      <c r="O9" s="58">
        <f t="shared" ca="1" si="2"/>
        <v>8375.2000000000007</v>
      </c>
      <c r="P9" s="58">
        <f t="shared" ca="1" si="3"/>
        <v>70143975.040000007</v>
      </c>
      <c r="Q9" s="42"/>
      <c r="R9" s="42"/>
    </row>
    <row r="10" spans="2:19" ht="15.6" x14ac:dyDescent="0.3">
      <c r="C10" s="42"/>
      <c r="D10" s="58">
        <f ca="1">+'Hoja de cronometraje'!K11</f>
        <v>105</v>
      </c>
      <c r="E10" s="39">
        <f ca="1">+'Hoja de cronometraje'!L11</f>
        <v>8711</v>
      </c>
      <c r="F10" s="58">
        <f t="shared" ca="1" si="0"/>
        <v>9146.5499999999993</v>
      </c>
      <c r="G10" s="58">
        <f t="shared" ca="1" si="1"/>
        <v>83659376.902499989</v>
      </c>
      <c r="H10" s="42"/>
      <c r="I10" s="42"/>
      <c r="J10" s="42"/>
      <c r="K10" s="42"/>
      <c r="L10" s="42"/>
      <c r="M10" s="58">
        <f ca="1">+'Hoja de cronometraje'!N11</f>
        <v>85</v>
      </c>
      <c r="N10" s="39">
        <f ca="1">+'Hoja de cronometraje'!O11</f>
        <v>8867</v>
      </c>
      <c r="O10" s="58">
        <f t="shared" ca="1" si="2"/>
        <v>7536.95</v>
      </c>
      <c r="P10" s="58">
        <f t="shared" ca="1" si="3"/>
        <v>56805615.302499995</v>
      </c>
      <c r="Q10" s="42"/>
      <c r="R10" s="42"/>
    </row>
    <row r="11" spans="2:19" ht="15.6" x14ac:dyDescent="0.3">
      <c r="C11" s="42"/>
      <c r="D11" s="58">
        <f ca="1">+'Hoja de cronometraje'!K12</f>
        <v>95</v>
      </c>
      <c r="E11" s="39">
        <f ca="1">+'Hoja de cronometraje'!L12</f>
        <v>8707</v>
      </c>
      <c r="F11" s="58">
        <f t="shared" ca="1" si="0"/>
        <v>8271.65</v>
      </c>
      <c r="G11" s="58">
        <f t="shared" ca="1" si="1"/>
        <v>68420193.722499996</v>
      </c>
      <c r="H11" s="42"/>
      <c r="I11" s="42"/>
      <c r="J11" s="42"/>
      <c r="K11" s="42"/>
      <c r="L11" s="42"/>
      <c r="M11" s="58">
        <f ca="1">+'Hoja de cronometraje'!N12</f>
        <v>85</v>
      </c>
      <c r="N11" s="39">
        <f ca="1">+'Hoja de cronometraje'!O12</f>
        <v>8938</v>
      </c>
      <c r="O11" s="58">
        <f t="shared" ca="1" si="2"/>
        <v>7597.3</v>
      </c>
      <c r="P11" s="58">
        <f t="shared" ca="1" si="3"/>
        <v>57718967.289999999</v>
      </c>
      <c r="Q11" s="42"/>
      <c r="R11" s="42"/>
    </row>
    <row r="12" spans="2:19" ht="15.6" x14ac:dyDescent="0.3">
      <c r="C12" s="42"/>
      <c r="D12" s="58">
        <f ca="1">+'Hoja de cronometraje'!K13</f>
        <v>90</v>
      </c>
      <c r="E12" s="39">
        <f ca="1">+'Hoja de cronometraje'!L13</f>
        <v>8864</v>
      </c>
      <c r="F12" s="58">
        <f t="shared" ca="1" si="0"/>
        <v>7977.6</v>
      </c>
      <c r="G12" s="58">
        <f t="shared" ca="1" si="1"/>
        <v>63642101.760000005</v>
      </c>
      <c r="H12" s="42"/>
      <c r="I12" s="43" t="s">
        <v>22</v>
      </c>
      <c r="J12" s="43">
        <f ca="1">ROUNDUP(POWER(((40*SQRT((J7*G26)-POWER(F26,2)))/F26),2),0)</f>
        <v>5</v>
      </c>
      <c r="K12" s="42"/>
      <c r="L12" s="42"/>
      <c r="M12" s="58">
        <f ca="1">+'Hoja de cronometraje'!N13</f>
        <v>100</v>
      </c>
      <c r="N12" s="39">
        <f ca="1">+'Hoja de cronometraje'!O13</f>
        <v>8908</v>
      </c>
      <c r="O12" s="58">
        <f t="shared" ca="1" si="2"/>
        <v>8908</v>
      </c>
      <c r="P12" s="58">
        <f t="shared" ca="1" si="3"/>
        <v>79352464</v>
      </c>
      <c r="Q12" s="42"/>
      <c r="R12" s="43" t="s">
        <v>22</v>
      </c>
      <c r="S12" s="3">
        <f ca="1">ROUNDUP(POWER(((40*SQRT((S7*P26)-POWER(O26,2)))/O26),2),0)</f>
        <v>7</v>
      </c>
    </row>
    <row r="13" spans="2:19" ht="15.6" x14ac:dyDescent="0.3">
      <c r="C13" s="42"/>
      <c r="D13" s="58">
        <f ca="1">+'Hoja de cronometraje'!K14</f>
        <v>100</v>
      </c>
      <c r="E13" s="39">
        <f ca="1">+'Hoja de cronometraje'!L14</f>
        <v>8862</v>
      </c>
      <c r="F13" s="58">
        <f t="shared" ca="1" si="0"/>
        <v>8862</v>
      </c>
      <c r="G13" s="58">
        <f t="shared" ca="1" si="1"/>
        <v>78535044</v>
      </c>
      <c r="H13" s="42"/>
      <c r="I13" s="42"/>
      <c r="J13" s="42"/>
      <c r="K13" s="42"/>
      <c r="L13" s="42"/>
      <c r="M13" s="58">
        <f ca="1">+'Hoja de cronometraje'!N14</f>
        <v>95</v>
      </c>
      <c r="N13" s="39">
        <f ca="1">+'Hoja de cronometraje'!O14</f>
        <v>8819</v>
      </c>
      <c r="O13" s="58">
        <f t="shared" ca="1" si="2"/>
        <v>8378.0499999999993</v>
      </c>
      <c r="P13" s="58">
        <f t="shared" ca="1" si="3"/>
        <v>70191721.802499995</v>
      </c>
      <c r="Q13" s="42"/>
      <c r="R13" s="42"/>
    </row>
    <row r="14" spans="2:19" ht="15.6" x14ac:dyDescent="0.3">
      <c r="C14" s="42"/>
      <c r="D14" s="58">
        <f ca="1">+'Hoja de cronometraje'!K15</f>
        <v>100</v>
      </c>
      <c r="E14" s="39">
        <f ca="1">+'Hoja de cronometraje'!L15</f>
        <v>8836</v>
      </c>
      <c r="F14" s="58">
        <f t="shared" ca="1" si="0"/>
        <v>8836</v>
      </c>
      <c r="G14" s="58">
        <f t="shared" ca="1" si="1"/>
        <v>78074896</v>
      </c>
      <c r="H14" s="42"/>
      <c r="I14" s="42"/>
      <c r="J14" s="42"/>
      <c r="K14" s="42"/>
      <c r="L14" s="42"/>
      <c r="M14" s="58">
        <f ca="1">+'Hoja de cronometraje'!N15</f>
        <v>95</v>
      </c>
      <c r="N14" s="39">
        <f ca="1">+'Hoja de cronometraje'!O15</f>
        <v>8860</v>
      </c>
      <c r="O14" s="58">
        <f t="shared" ca="1" si="2"/>
        <v>8417</v>
      </c>
      <c r="P14" s="58">
        <f t="shared" ca="1" si="3"/>
        <v>70845889</v>
      </c>
      <c r="Q14" s="42"/>
      <c r="R14" s="42"/>
    </row>
    <row r="15" spans="2:19" ht="15.6" x14ac:dyDescent="0.3">
      <c r="C15" s="42"/>
      <c r="D15" s="58">
        <f ca="1">+'Hoja de cronometraje'!K16</f>
        <v>90</v>
      </c>
      <c r="E15" s="39">
        <f ca="1">+'Hoja de cronometraje'!L16</f>
        <v>8857</v>
      </c>
      <c r="F15" s="58">
        <f t="shared" ca="1" si="0"/>
        <v>7971.3</v>
      </c>
      <c r="G15" s="58">
        <f t="shared" ca="1" si="1"/>
        <v>63541623.690000005</v>
      </c>
      <c r="H15" s="42"/>
      <c r="I15" s="42"/>
      <c r="J15" s="42"/>
      <c r="K15" s="42"/>
      <c r="L15" s="42"/>
      <c r="M15" s="58">
        <f ca="1">+'Hoja de cronometraje'!N16</f>
        <v>85</v>
      </c>
      <c r="N15" s="39">
        <f ca="1">+'Hoja de cronometraje'!O16</f>
        <v>8966</v>
      </c>
      <c r="O15" s="58">
        <f t="shared" ca="1" si="2"/>
        <v>7621.1</v>
      </c>
      <c r="P15" s="58">
        <f t="shared" ca="1" si="3"/>
        <v>58081165.210000008</v>
      </c>
      <c r="Q15" s="42"/>
      <c r="R15" s="42"/>
    </row>
    <row r="16" spans="2:19" ht="15.6" x14ac:dyDescent="0.3">
      <c r="C16" s="42"/>
      <c r="D16" s="58">
        <f ca="1">+'Hoja de cronometraje'!K17</f>
        <v>105</v>
      </c>
      <c r="E16" s="39">
        <f ca="1">+'Hoja de cronometraje'!L17</f>
        <v>8716</v>
      </c>
      <c r="F16" s="58">
        <f t="shared" ca="1" si="0"/>
        <v>9151.7999999999993</v>
      </c>
      <c r="G16" s="58">
        <f t="shared" ca="1" si="1"/>
        <v>83755443.23999998</v>
      </c>
      <c r="H16" s="42"/>
      <c r="I16" s="42"/>
      <c r="J16" s="42"/>
      <c r="K16" s="42"/>
      <c r="L16" s="42"/>
      <c r="M16" s="58">
        <f ca="1">+'Hoja de cronometraje'!N17</f>
        <v>85</v>
      </c>
      <c r="N16" s="39">
        <f ca="1">+'Hoja de cronometraje'!O17</f>
        <v>8826</v>
      </c>
      <c r="O16" s="58">
        <f t="shared" ca="1" si="2"/>
        <v>7502.1</v>
      </c>
      <c r="P16" s="58">
        <f t="shared" ca="1" si="3"/>
        <v>56281504.410000004</v>
      </c>
      <c r="Q16" s="42"/>
      <c r="R16" s="42"/>
    </row>
    <row r="17" spans="3:18" ht="15.6" x14ac:dyDescent="0.3">
      <c r="C17" s="42"/>
      <c r="D17" s="58">
        <f ca="1">+'Hoja de cronometraje'!K18</f>
        <v>90</v>
      </c>
      <c r="E17" s="39">
        <f ca="1">+'Hoja de cronometraje'!L18</f>
        <v>8834</v>
      </c>
      <c r="F17" s="58">
        <f t="shared" ca="1" si="0"/>
        <v>7950.6</v>
      </c>
      <c r="G17" s="58">
        <f t="shared" ca="1" si="1"/>
        <v>63212040.360000007</v>
      </c>
      <c r="H17" s="42"/>
      <c r="I17" s="42"/>
      <c r="J17" s="42"/>
      <c r="K17" s="42"/>
      <c r="L17" s="42"/>
      <c r="M17" s="58">
        <f ca="1">+'Hoja de cronometraje'!N18</f>
        <v>95</v>
      </c>
      <c r="N17" s="39">
        <f ca="1">+'Hoja de cronometraje'!O18</f>
        <v>8850</v>
      </c>
      <c r="O17" s="58">
        <f t="shared" ca="1" si="2"/>
        <v>8407.5</v>
      </c>
      <c r="P17" s="58">
        <f t="shared" ca="1" si="3"/>
        <v>70686056.25</v>
      </c>
      <c r="Q17" s="42"/>
      <c r="R17" s="42"/>
    </row>
    <row r="18" spans="3:18" ht="15.6" x14ac:dyDescent="0.3">
      <c r="C18" s="42"/>
      <c r="D18" s="58">
        <f ca="1">+'Hoja de cronometraje'!K19</f>
        <v>95</v>
      </c>
      <c r="E18" s="39">
        <f ca="1">+'Hoja de cronometraje'!L19</f>
        <v>8889</v>
      </c>
      <c r="F18" s="58">
        <f t="shared" ca="1" si="0"/>
        <v>8444.5499999999993</v>
      </c>
      <c r="G18" s="58">
        <f t="shared" ca="1" si="1"/>
        <v>71310424.702499986</v>
      </c>
      <c r="H18" s="42"/>
      <c r="I18" s="42"/>
      <c r="J18" s="42"/>
      <c r="K18" s="42"/>
      <c r="L18" s="42"/>
      <c r="M18" s="58">
        <f ca="1">+'Hoja de cronometraje'!N19</f>
        <v>100</v>
      </c>
      <c r="N18" s="39">
        <f ca="1">+'Hoja de cronometraje'!O19</f>
        <v>8856</v>
      </c>
      <c r="O18" s="58">
        <f t="shared" ca="1" si="2"/>
        <v>8856</v>
      </c>
      <c r="P18" s="58">
        <f t="shared" ca="1" si="3"/>
        <v>78428736</v>
      </c>
      <c r="Q18" s="42"/>
      <c r="R18" s="42"/>
    </row>
    <row r="19" spans="3:18" ht="15.6" x14ac:dyDescent="0.3">
      <c r="C19" s="42"/>
      <c r="D19" s="58">
        <f ca="1">+'Hoja de cronometraje'!K20</f>
        <v>95</v>
      </c>
      <c r="E19" s="39">
        <f ca="1">+'Hoja de cronometraje'!L20</f>
        <v>8837</v>
      </c>
      <c r="F19" s="58">
        <f t="shared" ca="1" si="0"/>
        <v>8395.15</v>
      </c>
      <c r="G19" s="58">
        <f t="shared" ca="1" si="1"/>
        <v>70478543.522499993</v>
      </c>
      <c r="H19" s="42"/>
      <c r="I19" s="42"/>
      <c r="J19" s="42"/>
      <c r="K19" s="42"/>
      <c r="L19" s="42"/>
      <c r="M19" s="58">
        <f ca="1">+'Hoja de cronometraje'!N20</f>
        <v>85</v>
      </c>
      <c r="N19" s="39">
        <f ca="1">+'Hoja de cronometraje'!O20</f>
        <v>8839</v>
      </c>
      <c r="O19" s="58">
        <f t="shared" ca="1" si="2"/>
        <v>7513.15</v>
      </c>
      <c r="P19" s="58">
        <f t="shared" ca="1" si="3"/>
        <v>56447422.922499992</v>
      </c>
      <c r="Q19" s="42"/>
      <c r="R19" s="42"/>
    </row>
    <row r="20" spans="3:18" ht="15.6" x14ac:dyDescent="0.3">
      <c r="C20" s="42"/>
      <c r="D20" s="58">
        <f ca="1">+'Hoja de cronometraje'!K21</f>
        <v>85</v>
      </c>
      <c r="E20" s="39">
        <f ca="1">+'Hoja de cronometraje'!L21</f>
        <v>8886</v>
      </c>
      <c r="F20" s="58">
        <f t="shared" ca="1" si="0"/>
        <v>7553.1</v>
      </c>
      <c r="G20" s="58">
        <f t="shared" ca="1" si="1"/>
        <v>57049319.610000007</v>
      </c>
      <c r="H20" s="42"/>
      <c r="I20" s="42"/>
      <c r="J20" s="42"/>
      <c r="K20" s="42"/>
      <c r="L20" s="42"/>
      <c r="M20" s="58">
        <f ca="1">+'Hoja de cronometraje'!N21</f>
        <v>100</v>
      </c>
      <c r="N20" s="39">
        <f ca="1">+'Hoja de cronometraje'!O21</f>
        <v>8970</v>
      </c>
      <c r="O20" s="58">
        <f t="shared" ca="1" si="2"/>
        <v>8970</v>
      </c>
      <c r="P20" s="58">
        <f t="shared" ca="1" si="3"/>
        <v>80460900</v>
      </c>
      <c r="Q20" s="42"/>
      <c r="R20" s="42"/>
    </row>
    <row r="21" spans="3:18" ht="15.6" x14ac:dyDescent="0.3">
      <c r="C21" s="42"/>
      <c r="D21" s="58">
        <f ca="1">+'Hoja de cronometraje'!K22</f>
        <v>90</v>
      </c>
      <c r="E21" s="39">
        <f ca="1">+'Hoja de cronometraje'!L22</f>
        <v>8828</v>
      </c>
      <c r="F21" s="58">
        <f t="shared" ca="1" si="0"/>
        <v>7945.2</v>
      </c>
      <c r="G21" s="58">
        <f t="shared" ca="1" si="1"/>
        <v>63126203.039999999</v>
      </c>
      <c r="H21" s="42"/>
      <c r="I21" s="42"/>
      <c r="J21" s="42"/>
      <c r="K21" s="42"/>
      <c r="L21" s="42"/>
      <c r="M21" s="58">
        <f ca="1">+'Hoja de cronometraje'!N22</f>
        <v>90</v>
      </c>
      <c r="N21" s="39">
        <f ca="1">+'Hoja de cronometraje'!O22</f>
        <v>8880</v>
      </c>
      <c r="O21" s="58">
        <f t="shared" ca="1" si="2"/>
        <v>7992</v>
      </c>
      <c r="P21" s="58">
        <f t="shared" ca="1" si="3"/>
        <v>63872064</v>
      </c>
      <c r="Q21" s="42"/>
      <c r="R21" s="42"/>
    </row>
    <row r="22" spans="3:18" ht="15.6" x14ac:dyDescent="0.3">
      <c r="C22" s="42"/>
      <c r="D22" s="58">
        <f ca="1">+'Hoja de cronometraje'!K23</f>
        <v>95</v>
      </c>
      <c r="E22" s="39">
        <f ca="1">+'Hoja de cronometraje'!L23</f>
        <v>8831</v>
      </c>
      <c r="F22" s="58">
        <f t="shared" ca="1" si="0"/>
        <v>8389.4500000000007</v>
      </c>
      <c r="G22" s="58">
        <f t="shared" ca="1" si="1"/>
        <v>70382871.30250001</v>
      </c>
      <c r="H22" s="42"/>
      <c r="I22" s="42"/>
      <c r="J22" s="42"/>
      <c r="K22" s="42"/>
      <c r="L22" s="42"/>
      <c r="M22" s="58">
        <f ca="1">+'Hoja de cronometraje'!N23</f>
        <v>100</v>
      </c>
      <c r="N22" s="39">
        <f ca="1">+'Hoja de cronometraje'!O23</f>
        <v>8978</v>
      </c>
      <c r="O22" s="58">
        <f t="shared" ca="1" si="2"/>
        <v>8978</v>
      </c>
      <c r="P22" s="58">
        <f t="shared" ca="1" si="3"/>
        <v>80604484</v>
      </c>
      <c r="Q22" s="42"/>
      <c r="R22" s="42"/>
    </row>
    <row r="23" spans="3:18" ht="15.6" x14ac:dyDescent="0.3">
      <c r="C23" s="42"/>
      <c r="D23" s="58">
        <f ca="1">+'Hoja de cronometraje'!K24</f>
        <v>90</v>
      </c>
      <c r="E23" s="39">
        <f ca="1">+'Hoja de cronometraje'!L24</f>
        <v>8832</v>
      </c>
      <c r="F23" s="58">
        <f t="shared" ca="1" si="0"/>
        <v>7948.8</v>
      </c>
      <c r="G23" s="58">
        <f t="shared" ca="1" si="1"/>
        <v>63183421.440000005</v>
      </c>
      <c r="H23" s="42"/>
      <c r="I23" s="42"/>
      <c r="J23" s="42"/>
      <c r="K23" s="42"/>
      <c r="L23" s="42"/>
      <c r="M23" s="58">
        <f ca="1">+'Hoja de cronometraje'!N24</f>
        <v>90</v>
      </c>
      <c r="N23" s="39">
        <f ca="1">+'Hoja de cronometraje'!O24</f>
        <v>8866</v>
      </c>
      <c r="O23" s="58">
        <f t="shared" ca="1" si="2"/>
        <v>7979.4</v>
      </c>
      <c r="P23" s="58">
        <f t="shared" ca="1" si="3"/>
        <v>63670824.359999992</v>
      </c>
      <c r="Q23" s="42"/>
      <c r="R23" s="42"/>
    </row>
    <row r="24" spans="3:18" ht="15.6" x14ac:dyDescent="0.3">
      <c r="C24" s="42"/>
      <c r="D24" s="58">
        <f ca="1">+'Hoja de cronometraje'!K25</f>
        <v>100</v>
      </c>
      <c r="E24" s="39">
        <f ca="1">+'Hoja de cronometraje'!L25</f>
        <v>8859</v>
      </c>
      <c r="F24" s="58">
        <f t="shared" ca="1" si="0"/>
        <v>8859</v>
      </c>
      <c r="G24" s="58">
        <f t="shared" ca="1" si="1"/>
        <v>78481881</v>
      </c>
      <c r="H24" s="42"/>
      <c r="I24" s="42"/>
      <c r="J24" s="42"/>
      <c r="K24" s="42"/>
      <c r="L24" s="42"/>
      <c r="M24" s="58">
        <f ca="1">+'Hoja de cronometraje'!N25</f>
        <v>85</v>
      </c>
      <c r="N24" s="39">
        <f ca="1">+'Hoja de cronometraje'!O25</f>
        <v>8910</v>
      </c>
      <c r="O24" s="58">
        <f t="shared" ca="1" si="2"/>
        <v>7573.5</v>
      </c>
      <c r="P24" s="58">
        <f t="shared" ca="1" si="3"/>
        <v>57357902.25</v>
      </c>
      <c r="Q24" s="42"/>
      <c r="R24" s="42"/>
    </row>
    <row r="25" spans="3:18" ht="15.6" x14ac:dyDescent="0.3">
      <c r="C25" s="42"/>
      <c r="D25" s="59">
        <f ca="1">+'Hoja de cronometraje'!K26</f>
        <v>95</v>
      </c>
      <c r="E25" s="55">
        <f ca="1">+'Hoja de cronometraje'!L26</f>
        <v>8835</v>
      </c>
      <c r="F25" s="59">
        <f t="shared" ca="1" si="0"/>
        <v>8393.25</v>
      </c>
      <c r="G25" s="59">
        <f t="shared" ca="1" si="1"/>
        <v>70446645.5625</v>
      </c>
      <c r="H25" s="42"/>
      <c r="I25" s="42"/>
      <c r="J25" s="42"/>
      <c r="K25" s="42"/>
      <c r="L25" s="42"/>
      <c r="M25" s="59">
        <f ca="1">+'Hoja de cronometraje'!N26</f>
        <v>100</v>
      </c>
      <c r="N25" s="55">
        <f ca="1">+'Hoja de cronometraje'!O26</f>
        <v>8954</v>
      </c>
      <c r="O25" s="59">
        <f t="shared" ca="1" si="2"/>
        <v>8954</v>
      </c>
      <c r="P25" s="59">
        <f t="shared" ca="1" si="3"/>
        <v>80174116</v>
      </c>
      <c r="Q25" s="42"/>
      <c r="R25" s="42"/>
    </row>
    <row r="26" spans="3:18" ht="15.6" x14ac:dyDescent="0.3">
      <c r="C26" s="42"/>
      <c r="D26" s="130" t="s">
        <v>91</v>
      </c>
      <c r="E26" s="131"/>
      <c r="F26" s="57">
        <f ca="1">SUM(F6:F25)</f>
        <v>166619.40000000002</v>
      </c>
      <c r="G26" s="57">
        <f ca="1">SUM(G6:G25)</f>
        <v>1391907283.8350003</v>
      </c>
      <c r="H26" s="42"/>
      <c r="I26" s="42"/>
      <c r="J26" s="42"/>
      <c r="K26" s="42"/>
      <c r="L26" s="42"/>
      <c r="M26" s="130" t="s">
        <v>91</v>
      </c>
      <c r="N26" s="131"/>
      <c r="O26" s="57">
        <f ca="1">SUM(O6:O25)</f>
        <v>163155.75</v>
      </c>
      <c r="P26" s="57">
        <f ca="1">SUM(P6:P25)</f>
        <v>1336807058.8074999</v>
      </c>
      <c r="Q26" s="42"/>
      <c r="R26" s="42"/>
    </row>
    <row r="27" spans="3:18" ht="15.6" x14ac:dyDescent="0.3">
      <c r="C27" s="42"/>
      <c r="D27" s="132" t="s">
        <v>92</v>
      </c>
      <c r="E27" s="133"/>
      <c r="F27" s="56">
        <f ca="1">+J12</f>
        <v>5</v>
      </c>
      <c r="G27" s="47" t="s">
        <v>146</v>
      </c>
      <c r="H27" s="42"/>
      <c r="I27" s="42"/>
      <c r="J27" s="42"/>
      <c r="K27" s="42"/>
      <c r="L27" s="42"/>
      <c r="M27" s="132" t="s">
        <v>92</v>
      </c>
      <c r="N27" s="133"/>
      <c r="O27" s="56">
        <f ca="1">+S12</f>
        <v>7</v>
      </c>
      <c r="P27" s="47" t="s">
        <v>146</v>
      </c>
      <c r="Q27" s="42"/>
      <c r="R27" s="42"/>
    </row>
    <row r="28" spans="3:18" ht="15.6" x14ac:dyDescent="0.3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3:18" ht="15.6" x14ac:dyDescent="0.3"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3:18" ht="15.6" x14ac:dyDescent="0.3">
      <c r="C30" s="42"/>
      <c r="D30" s="42"/>
      <c r="E30" s="42"/>
      <c r="F30" s="42"/>
      <c r="G30" s="136" t="str">
        <f>+'Hoja de cronometraje'!K54</f>
        <v>Elemento J</v>
      </c>
      <c r="H30" s="137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3:18" ht="15.6" x14ac:dyDescent="0.3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3:18" ht="15.6" x14ac:dyDescent="0.3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3:18" ht="15.6" x14ac:dyDescent="0.3">
      <c r="C33" s="42"/>
      <c r="D33" s="51" t="s">
        <v>18</v>
      </c>
      <c r="E33" s="62" t="s">
        <v>19</v>
      </c>
      <c r="F33" s="51" t="s">
        <v>20</v>
      </c>
      <c r="G33" s="51" t="s">
        <v>21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4" spans="3:18" ht="15.6" x14ac:dyDescent="0.3">
      <c r="C34" s="42"/>
      <c r="D34" s="58">
        <f ca="1">+'Hoja de cronometraje'!K57</f>
        <v>105</v>
      </c>
      <c r="E34" s="39">
        <f ca="1">+'Hoja de cronometraje'!L57</f>
        <v>37698</v>
      </c>
      <c r="F34" s="58">
        <f ca="1">(D34*E34)/100</f>
        <v>39582.9</v>
      </c>
      <c r="G34" s="58">
        <f ca="1">POWER(F34,2)</f>
        <v>1566805972.4100001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3:18" ht="15.6" x14ac:dyDescent="0.3">
      <c r="C35" s="42"/>
      <c r="D35" s="58">
        <f ca="1">+'Hoja de cronometraje'!K58</f>
        <v>95</v>
      </c>
      <c r="E35" s="39">
        <f ca="1">+'Hoja de cronometraje'!L58</f>
        <v>38084</v>
      </c>
      <c r="F35" s="58">
        <f t="shared" ref="F35:F53" ca="1" si="4">(D35*E35)/100</f>
        <v>36179.800000000003</v>
      </c>
      <c r="G35" s="58">
        <f t="shared" ref="G35:G53" ca="1" si="5">POWER(F35,2)</f>
        <v>1308977928.0400002</v>
      </c>
      <c r="H35" s="42"/>
      <c r="I35" s="43" t="s">
        <v>23</v>
      </c>
      <c r="J35" s="43">
        <f ca="1">COUNTA(E34:E53)</f>
        <v>20</v>
      </c>
      <c r="K35" s="42"/>
      <c r="L35" s="42"/>
      <c r="M35" s="42"/>
      <c r="N35" s="42"/>
      <c r="O35" s="42"/>
      <c r="P35" s="42"/>
      <c r="Q35" s="42"/>
      <c r="R35" s="42"/>
    </row>
    <row r="36" spans="3:18" ht="15.6" x14ac:dyDescent="0.3">
      <c r="C36" s="42"/>
      <c r="D36" s="58">
        <f ca="1">+'Hoja de cronometraje'!K59</f>
        <v>95</v>
      </c>
      <c r="E36" s="39">
        <f ca="1">+'Hoja de cronometraje'!L59</f>
        <v>36622</v>
      </c>
      <c r="F36" s="58">
        <f t="shared" ca="1" si="4"/>
        <v>34790.9</v>
      </c>
      <c r="G36" s="58">
        <f t="shared" ca="1" si="5"/>
        <v>1210406722.8100002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spans="3:18" ht="15.6" x14ac:dyDescent="0.3">
      <c r="C37" s="42"/>
      <c r="D37" s="58">
        <f ca="1">+'Hoja de cronometraje'!K60</f>
        <v>90</v>
      </c>
      <c r="E37" s="39">
        <f ca="1">+'Hoja de cronometraje'!L60</f>
        <v>38104</v>
      </c>
      <c r="F37" s="58">
        <f t="shared" ca="1" si="4"/>
        <v>34293.599999999999</v>
      </c>
      <c r="G37" s="58">
        <f t="shared" ca="1" si="5"/>
        <v>1176051000.9599998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</row>
    <row r="38" spans="3:18" ht="15.6" x14ac:dyDescent="0.3">
      <c r="C38" s="42"/>
      <c r="D38" s="58">
        <f ca="1">+'Hoja de cronometraje'!K61</f>
        <v>105</v>
      </c>
      <c r="E38" s="39">
        <f ca="1">+'Hoja de cronometraje'!L61</f>
        <v>36750</v>
      </c>
      <c r="F38" s="58">
        <f t="shared" ca="1" si="4"/>
        <v>38587.5</v>
      </c>
      <c r="G38" s="58">
        <f t="shared" ca="1" si="5"/>
        <v>1488995156.25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3:18" ht="15.6" x14ac:dyDescent="0.3">
      <c r="C39" s="42"/>
      <c r="D39" s="58">
        <f ca="1">+'Hoja de cronometraje'!K62</f>
        <v>95</v>
      </c>
      <c r="E39" s="39">
        <f ca="1">+'Hoja de cronometraje'!L62</f>
        <v>37327</v>
      </c>
      <c r="F39" s="58">
        <f t="shared" ca="1" si="4"/>
        <v>35460.65</v>
      </c>
      <c r="G39" s="58">
        <f t="shared" ca="1" si="5"/>
        <v>1257457698.4225001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 spans="3:18" ht="15.6" x14ac:dyDescent="0.3">
      <c r="C40" s="42"/>
      <c r="D40" s="58">
        <f ca="1">+'Hoja de cronometraje'!K63</f>
        <v>90</v>
      </c>
      <c r="E40" s="39">
        <f ca="1">+'Hoja de cronometraje'!L63</f>
        <v>38276</v>
      </c>
      <c r="F40" s="58">
        <f t="shared" ca="1" si="4"/>
        <v>34448.400000000001</v>
      </c>
      <c r="G40" s="58">
        <f t="shared" ca="1" si="5"/>
        <v>1186692262.5600002</v>
      </c>
      <c r="H40" s="42"/>
      <c r="I40" s="43" t="s">
        <v>22</v>
      </c>
      <c r="J40" s="43">
        <f ca="1">ROUNDUP(POWER(((40*SQRT((J35*G54)-POWER(F54,2)))/F54),2),0)</f>
        <v>7</v>
      </c>
      <c r="K40" s="42"/>
      <c r="L40" s="42"/>
      <c r="M40" s="42"/>
      <c r="N40" s="42"/>
      <c r="O40" s="42"/>
      <c r="P40" s="42"/>
      <c r="Q40" s="42"/>
      <c r="R40" s="42"/>
    </row>
    <row r="41" spans="3:18" ht="15.6" x14ac:dyDescent="0.3">
      <c r="C41" s="42"/>
      <c r="D41" s="58">
        <f ca="1">+'Hoja de cronometraje'!K64</f>
        <v>85</v>
      </c>
      <c r="E41" s="39">
        <f ca="1">+'Hoja de cronometraje'!L64</f>
        <v>37081</v>
      </c>
      <c r="F41" s="58">
        <f t="shared" ca="1" si="4"/>
        <v>31518.85</v>
      </c>
      <c r="G41" s="58">
        <f t="shared" ca="1" si="5"/>
        <v>993437905.32249987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</row>
    <row r="42" spans="3:18" ht="15.6" x14ac:dyDescent="0.3">
      <c r="C42" s="42"/>
      <c r="D42" s="58">
        <f ca="1">+'Hoja de cronometraje'!K65</f>
        <v>100</v>
      </c>
      <c r="E42" s="39">
        <f ca="1">+'Hoja de cronometraje'!L65</f>
        <v>38458</v>
      </c>
      <c r="F42" s="58">
        <f t="shared" ca="1" si="4"/>
        <v>38458</v>
      </c>
      <c r="G42" s="58">
        <f t="shared" ca="1" si="5"/>
        <v>1479017764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</row>
    <row r="43" spans="3:18" ht="15.6" x14ac:dyDescent="0.3">
      <c r="C43" s="42"/>
      <c r="D43" s="58">
        <f ca="1">+'Hoja de cronometraje'!K66</f>
        <v>105</v>
      </c>
      <c r="E43" s="39">
        <f ca="1">+'Hoja de cronometraje'!L66</f>
        <v>37819</v>
      </c>
      <c r="F43" s="58">
        <f t="shared" ca="1" si="4"/>
        <v>39709.949999999997</v>
      </c>
      <c r="G43" s="58">
        <f t="shared" ca="1" si="5"/>
        <v>1576880129.0024998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</row>
    <row r="44" spans="3:18" ht="15.6" x14ac:dyDescent="0.3">
      <c r="C44" s="42"/>
      <c r="D44" s="58">
        <f ca="1">+'Hoja de cronometraje'!K67</f>
        <v>85</v>
      </c>
      <c r="E44" s="39">
        <f ca="1">+'Hoja de cronometraje'!L67</f>
        <v>38119</v>
      </c>
      <c r="F44" s="58">
        <f t="shared" ca="1" si="4"/>
        <v>32401.15</v>
      </c>
      <c r="G44" s="58">
        <f t="shared" ca="1" si="5"/>
        <v>1049834521.3225001</v>
      </c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</row>
    <row r="45" spans="3:18" ht="15.6" x14ac:dyDescent="0.3">
      <c r="C45" s="42"/>
      <c r="D45" s="58">
        <f ca="1">+'Hoja de cronometraje'!K68</f>
        <v>100</v>
      </c>
      <c r="E45" s="39">
        <f ca="1">+'Hoja de cronometraje'!L68</f>
        <v>38051</v>
      </c>
      <c r="F45" s="58">
        <f t="shared" ca="1" si="4"/>
        <v>38051</v>
      </c>
      <c r="G45" s="58">
        <f t="shared" ca="1" si="5"/>
        <v>1447878601</v>
      </c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</row>
    <row r="46" spans="3:18" ht="15.6" x14ac:dyDescent="0.3">
      <c r="C46" s="42"/>
      <c r="D46" s="58">
        <f ca="1">+'Hoja de cronometraje'!K69</f>
        <v>95</v>
      </c>
      <c r="E46" s="39">
        <f ca="1">+'Hoja de cronometraje'!L69</f>
        <v>36977</v>
      </c>
      <c r="F46" s="58">
        <f t="shared" ca="1" si="4"/>
        <v>35128.15</v>
      </c>
      <c r="G46" s="58">
        <f t="shared" ca="1" si="5"/>
        <v>1233986922.4225001</v>
      </c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</row>
    <row r="47" spans="3:18" ht="15.6" x14ac:dyDescent="0.3">
      <c r="C47" s="42"/>
      <c r="D47" s="58">
        <f ca="1">+'Hoja de cronometraje'!K70</f>
        <v>95</v>
      </c>
      <c r="E47" s="39">
        <f ca="1">+'Hoja de cronometraje'!L70</f>
        <v>36506</v>
      </c>
      <c r="F47" s="58">
        <f t="shared" ca="1" si="4"/>
        <v>34680.699999999997</v>
      </c>
      <c r="G47" s="58">
        <f t="shared" ca="1" si="5"/>
        <v>1202750952.4899998</v>
      </c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</row>
    <row r="48" spans="3:18" ht="15.6" x14ac:dyDescent="0.3">
      <c r="C48" s="42"/>
      <c r="D48" s="58">
        <f ca="1">+'Hoja de cronometraje'!K71</f>
        <v>100</v>
      </c>
      <c r="E48" s="39">
        <f ca="1">+'Hoja de cronometraje'!L71</f>
        <v>36946</v>
      </c>
      <c r="F48" s="58">
        <f t="shared" ca="1" si="4"/>
        <v>36946</v>
      </c>
      <c r="G48" s="58">
        <f t="shared" ca="1" si="5"/>
        <v>1365006916</v>
      </c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</row>
    <row r="49" spans="3:18" ht="15.6" x14ac:dyDescent="0.3">
      <c r="C49" s="42"/>
      <c r="D49" s="58">
        <f ca="1">+'Hoja de cronometraje'!K72</f>
        <v>105</v>
      </c>
      <c r="E49" s="39">
        <f ca="1">+'Hoja de cronometraje'!L72</f>
        <v>38068</v>
      </c>
      <c r="F49" s="58">
        <f t="shared" ca="1" si="4"/>
        <v>39971.4</v>
      </c>
      <c r="G49" s="58">
        <f t="shared" ca="1" si="5"/>
        <v>1597712817.96</v>
      </c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 spans="3:18" ht="15.6" x14ac:dyDescent="0.3">
      <c r="C50" s="42"/>
      <c r="D50" s="58">
        <f ca="1">+'Hoja de cronometraje'!K73</f>
        <v>90</v>
      </c>
      <c r="E50" s="39">
        <f ca="1">+'Hoja de cronometraje'!L73</f>
        <v>38023</v>
      </c>
      <c r="F50" s="58">
        <f t="shared" ca="1" si="4"/>
        <v>34220.699999999997</v>
      </c>
      <c r="G50" s="58">
        <f t="shared" ca="1" si="5"/>
        <v>1171056308.4899998</v>
      </c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3:18" ht="15.6" x14ac:dyDescent="0.3">
      <c r="C51" s="42"/>
      <c r="D51" s="58">
        <f ca="1">+'Hoja de cronometraje'!K74</f>
        <v>100</v>
      </c>
      <c r="E51" s="39">
        <f ca="1">+'Hoja de cronometraje'!L74</f>
        <v>36727</v>
      </c>
      <c r="F51" s="58">
        <f t="shared" ca="1" si="4"/>
        <v>36727</v>
      </c>
      <c r="G51" s="58">
        <f t="shared" ca="1" si="5"/>
        <v>1348872529</v>
      </c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 spans="3:18" ht="15.6" x14ac:dyDescent="0.3">
      <c r="C52" s="42"/>
      <c r="D52" s="58">
        <f ca="1">+'Hoja de cronometraje'!K75</f>
        <v>95</v>
      </c>
      <c r="E52" s="39">
        <f ca="1">+'Hoja de cronometraje'!L75</f>
        <v>36894</v>
      </c>
      <c r="F52" s="58">
        <f t="shared" ca="1" si="4"/>
        <v>35049.300000000003</v>
      </c>
      <c r="G52" s="58">
        <f t="shared" ca="1" si="5"/>
        <v>1228453430.4900002</v>
      </c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3:18" ht="15.6" x14ac:dyDescent="0.3">
      <c r="C53" s="42"/>
      <c r="D53" s="59">
        <f ca="1">+'Hoja de cronometraje'!K76</f>
        <v>100</v>
      </c>
      <c r="E53" s="55">
        <f ca="1">+'Hoja de cronometraje'!L76</f>
        <v>37569</v>
      </c>
      <c r="F53" s="59">
        <f t="shared" ca="1" si="4"/>
        <v>37569</v>
      </c>
      <c r="G53" s="59">
        <f t="shared" ca="1" si="5"/>
        <v>1411429761</v>
      </c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3:18" ht="15.6" x14ac:dyDescent="0.3">
      <c r="C54" s="42"/>
      <c r="D54" s="130" t="s">
        <v>91</v>
      </c>
      <c r="E54" s="131"/>
      <c r="F54" s="57">
        <f ca="1">SUM(F34:F53)</f>
        <v>723774.95000000007</v>
      </c>
      <c r="G54" s="57">
        <f ca="1">SUM(G34:G53)</f>
        <v>26301705299.952503</v>
      </c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 spans="3:18" ht="15.6" x14ac:dyDescent="0.3">
      <c r="C55" s="42"/>
      <c r="D55" s="132" t="s">
        <v>92</v>
      </c>
      <c r="E55" s="133"/>
      <c r="F55" s="56">
        <f ca="1">+J40</f>
        <v>7</v>
      </c>
      <c r="G55" s="47" t="s">
        <v>146</v>
      </c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</row>
  </sheetData>
  <mergeCells count="9">
    <mergeCell ref="D54:E54"/>
    <mergeCell ref="D55:E55"/>
    <mergeCell ref="D26:E26"/>
    <mergeCell ref="D27:E27"/>
    <mergeCell ref="P2:Q2"/>
    <mergeCell ref="G30:H30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N125"/>
  <sheetViews>
    <sheetView topLeftCell="A94" zoomScaleNormal="100" workbookViewId="0">
      <selection activeCell="M116" sqref="M116"/>
    </sheetView>
  </sheetViews>
  <sheetFormatPr baseColWidth="10" defaultRowHeight="14.4" x14ac:dyDescent="0.3"/>
  <cols>
    <col min="4" max="4" width="14.44140625" bestFit="1" customWidth="1"/>
  </cols>
  <sheetData>
    <row r="1" spans="1:14" x14ac:dyDescent="0.3">
      <c r="C1" s="16"/>
      <c r="D1" s="16"/>
      <c r="E1" s="16"/>
      <c r="F1" s="16"/>
      <c r="G1" s="16"/>
    </row>
    <row r="2" spans="1:14" x14ac:dyDescent="0.3">
      <c r="C2" s="16"/>
      <c r="D2" s="16"/>
      <c r="E2" s="16"/>
      <c r="F2" s="16"/>
      <c r="G2" s="16"/>
    </row>
    <row r="3" spans="1:14" x14ac:dyDescent="0.3">
      <c r="C3" s="16"/>
      <c r="D3" s="16"/>
      <c r="E3" s="141" t="str">
        <f>+'N° de Obs.'!G2</f>
        <v>Elemento P</v>
      </c>
      <c r="F3" s="141"/>
      <c r="G3" s="16"/>
    </row>
    <row r="4" spans="1:14" ht="15.6" x14ac:dyDescent="0.3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15.6" x14ac:dyDescent="0.3">
      <c r="A5" s="39"/>
      <c r="B5" s="55"/>
      <c r="C5" s="55"/>
      <c r="D5" s="55"/>
      <c r="E5" s="55"/>
      <c r="F5" s="55"/>
      <c r="G5" s="39"/>
      <c r="H5" s="39"/>
      <c r="I5" s="39"/>
      <c r="J5" s="39"/>
      <c r="K5" s="39"/>
      <c r="L5" s="39"/>
      <c r="M5" s="39"/>
      <c r="N5" s="39"/>
    </row>
    <row r="6" spans="1:14" ht="15.6" x14ac:dyDescent="0.3">
      <c r="A6" s="39"/>
      <c r="B6" s="51" t="s">
        <v>26</v>
      </c>
      <c r="C6" s="69" t="s">
        <v>93</v>
      </c>
      <c r="D6" s="51" t="s">
        <v>94</v>
      </c>
      <c r="E6" s="69" t="s">
        <v>27</v>
      </c>
      <c r="F6" s="51" t="s">
        <v>95</v>
      </c>
      <c r="G6" s="39"/>
      <c r="H6" s="39"/>
      <c r="I6" s="39"/>
      <c r="J6" s="39"/>
      <c r="K6" s="39"/>
      <c r="L6" s="39"/>
      <c r="M6" s="39"/>
      <c r="N6" s="39"/>
    </row>
    <row r="7" spans="1:14" ht="15.6" x14ac:dyDescent="0.3">
      <c r="A7" s="39"/>
      <c r="B7" s="58">
        <f ca="1">+'N° de Obs.'!D6</f>
        <v>95</v>
      </c>
      <c r="C7" s="39">
        <f ca="1">+'N° de Obs.'!E6</f>
        <v>8792</v>
      </c>
      <c r="D7" s="58">
        <f ca="1">+ROUND($B$29*$C$29/C7,2)</f>
        <v>94.76</v>
      </c>
      <c r="E7" s="39">
        <f ca="1">+J7</f>
        <v>95</v>
      </c>
      <c r="F7" s="58">
        <f ca="1">+B7-E7</f>
        <v>0</v>
      </c>
      <c r="G7" s="39"/>
      <c r="H7" s="39">
        <f ca="1">+ROUND(D7,1)</f>
        <v>94.8</v>
      </c>
      <c r="I7" s="63" t="str">
        <f ca="1">+RIGHT(H7*10,2)</f>
        <v>48</v>
      </c>
      <c r="J7" s="39" cm="1">
        <f t="array" aca="1" ref="J7" ca="1">+_xlfn.IFS(AND(I7&gt;="0",I7&lt;"25"),H7-(I7/10),AND(I7&gt;="25",I7&lt;"50"),H7+(5-(I7/10)),AND(I7&gt;="50",I7&lt;"75"),H7-((I7-50)/10),I7&gt;="75",H7+(10-(I7/10)))</f>
        <v>95</v>
      </c>
      <c r="K7" s="39">
        <f ca="1">+ABS(F7)</f>
        <v>0</v>
      </c>
      <c r="L7" s="39"/>
      <c r="M7" s="39"/>
      <c r="N7" s="39"/>
    </row>
    <row r="8" spans="1:14" ht="15.6" x14ac:dyDescent="0.3">
      <c r="A8" s="39"/>
      <c r="B8" s="58">
        <f ca="1">+'N° de Obs.'!D7</f>
        <v>95</v>
      </c>
      <c r="C8" s="39">
        <f ca="1">+'N° de Obs.'!E7</f>
        <v>8742</v>
      </c>
      <c r="D8" s="58">
        <f t="shared" ref="D8:D26" ca="1" si="0">+ROUND($B$29*$C$29/C8,2)</f>
        <v>95.3</v>
      </c>
      <c r="E8" s="39">
        <f t="shared" ref="E8:E26" ca="1" si="1">+J8</f>
        <v>95</v>
      </c>
      <c r="F8" s="58">
        <f t="shared" ref="F8:F26" ca="1" si="2">+B8-E8</f>
        <v>0</v>
      </c>
      <c r="G8" s="39"/>
      <c r="H8" s="39">
        <f t="shared" ref="H8:H26" ca="1" si="3">+ROUND(D8,1)</f>
        <v>95.3</v>
      </c>
      <c r="I8" s="63" t="str">
        <f t="shared" ref="I8:I26" ca="1" si="4">+RIGHT(H8*10,2)</f>
        <v>53</v>
      </c>
      <c r="J8" s="39" cm="1">
        <f t="array" aca="1" ref="J8" ca="1">+_xlfn.IFS(AND(I8&gt;="0",I8&lt;"25"),H8-(I8/10),AND(I8&gt;="25",I8&lt;"50"),H8+(5-(I8/10)),AND(I8&gt;="50",I8&lt;"75"),H8-((I8-50)/10),I8&gt;="75",H8+(10-(I8/10)))</f>
        <v>95</v>
      </c>
      <c r="K8" s="39">
        <f t="shared" ref="K8:K26" ca="1" si="5">+ABS(F8)</f>
        <v>0</v>
      </c>
      <c r="L8" s="39"/>
      <c r="M8" s="39"/>
      <c r="N8" s="39"/>
    </row>
    <row r="9" spans="1:14" ht="15.6" x14ac:dyDescent="0.3">
      <c r="A9" s="39"/>
      <c r="B9" s="58">
        <f ca="1">+'N° de Obs.'!D8</f>
        <v>90</v>
      </c>
      <c r="C9" s="39">
        <f ca="1">+'N° de Obs.'!E8</f>
        <v>8879</v>
      </c>
      <c r="D9" s="58">
        <f t="shared" ca="1" si="0"/>
        <v>93.83</v>
      </c>
      <c r="E9" s="39">
        <f t="shared" ca="1" si="1"/>
        <v>95</v>
      </c>
      <c r="F9" s="58">
        <f t="shared" ca="1" si="2"/>
        <v>-5</v>
      </c>
      <c r="G9" s="39"/>
      <c r="H9" s="39">
        <f t="shared" ca="1" si="3"/>
        <v>93.8</v>
      </c>
      <c r="I9" s="63" t="str">
        <f t="shared" ca="1" si="4"/>
        <v>38</v>
      </c>
      <c r="J9" s="39" cm="1">
        <f t="array" aca="1" ref="J9" ca="1">+_xlfn.IFS(AND(I9&gt;="0",I9&lt;"25"),H9-(I9/10),AND(I9&gt;="25",I9&lt;"50"),H9+(5-(I9/10)),AND(I9&gt;="50",I9&lt;"75"),H9-((I9-50)/10),I9&gt;="75",H9+(10-(I9/10)))</f>
        <v>95</v>
      </c>
      <c r="K9" s="39">
        <f t="shared" ca="1" si="5"/>
        <v>5</v>
      </c>
      <c r="L9" s="39"/>
      <c r="M9" s="39"/>
      <c r="N9" s="39"/>
    </row>
    <row r="10" spans="1:14" ht="15.6" x14ac:dyDescent="0.3">
      <c r="A10" s="39"/>
      <c r="B10" s="58">
        <f ca="1">+'N° de Obs.'!D9</f>
        <v>90</v>
      </c>
      <c r="C10" s="39">
        <f ca="1">+'N° de Obs.'!E9</f>
        <v>8750</v>
      </c>
      <c r="D10" s="58">
        <f t="shared" ca="1" si="0"/>
        <v>95.21</v>
      </c>
      <c r="E10" s="39">
        <f t="shared" ca="1" si="1"/>
        <v>95</v>
      </c>
      <c r="F10" s="58">
        <f t="shared" ca="1" si="2"/>
        <v>-5</v>
      </c>
      <c r="G10" s="39"/>
      <c r="H10" s="39">
        <f t="shared" ca="1" si="3"/>
        <v>95.2</v>
      </c>
      <c r="I10" s="63" t="str">
        <f t="shared" ca="1" si="4"/>
        <v>52</v>
      </c>
      <c r="J10" s="39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39">
        <f t="shared" ca="1" si="5"/>
        <v>5</v>
      </c>
      <c r="L10" s="39"/>
      <c r="M10" s="39"/>
      <c r="N10" s="39"/>
    </row>
    <row r="11" spans="1:14" ht="15.6" x14ac:dyDescent="0.3">
      <c r="A11" s="39"/>
      <c r="B11" s="58">
        <f ca="1">+'N° de Obs.'!D10</f>
        <v>105</v>
      </c>
      <c r="C11" s="39">
        <f ca="1">+'N° de Obs.'!E10</f>
        <v>8711</v>
      </c>
      <c r="D11" s="58">
        <f t="shared" ca="1" si="0"/>
        <v>95.64</v>
      </c>
      <c r="E11" s="39">
        <f t="shared" ca="1" si="1"/>
        <v>95</v>
      </c>
      <c r="F11" s="58">
        <f t="shared" ca="1" si="2"/>
        <v>10</v>
      </c>
      <c r="G11" s="39"/>
      <c r="H11" s="39">
        <f t="shared" ca="1" si="3"/>
        <v>95.6</v>
      </c>
      <c r="I11" s="63" t="str">
        <f t="shared" ca="1" si="4"/>
        <v>56</v>
      </c>
      <c r="J11" s="39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39">
        <f t="shared" ca="1" si="5"/>
        <v>10</v>
      </c>
      <c r="L11" s="39"/>
      <c r="M11" s="39"/>
      <c r="N11" s="39"/>
    </row>
    <row r="12" spans="1:14" ht="15.6" x14ac:dyDescent="0.3">
      <c r="A12" s="39"/>
      <c r="B12" s="58">
        <f ca="1">+'N° de Obs.'!D11</f>
        <v>95</v>
      </c>
      <c r="C12" s="39">
        <f ca="1">+'N° de Obs.'!E11</f>
        <v>8707</v>
      </c>
      <c r="D12" s="58">
        <f t="shared" ca="1" si="0"/>
        <v>95.68</v>
      </c>
      <c r="E12" s="39">
        <f t="shared" ca="1" si="1"/>
        <v>95</v>
      </c>
      <c r="F12" s="58">
        <f t="shared" ca="1" si="2"/>
        <v>0</v>
      </c>
      <c r="G12" s="39"/>
      <c r="H12" s="39">
        <f t="shared" ca="1" si="3"/>
        <v>95.7</v>
      </c>
      <c r="I12" s="63" t="str">
        <f t="shared" ca="1" si="4"/>
        <v>57</v>
      </c>
      <c r="J12" s="39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39">
        <f t="shared" ca="1" si="5"/>
        <v>0</v>
      </c>
      <c r="L12" s="39"/>
      <c r="M12" s="39"/>
      <c r="N12" s="39"/>
    </row>
    <row r="13" spans="1:14" ht="15.6" x14ac:dyDescent="0.3">
      <c r="A13" s="39"/>
      <c r="B13" s="58">
        <f ca="1">+'N° de Obs.'!D12</f>
        <v>90</v>
      </c>
      <c r="C13" s="39">
        <f ca="1">+'N° de Obs.'!E12</f>
        <v>8864</v>
      </c>
      <c r="D13" s="58">
        <f t="shared" ca="1" si="0"/>
        <v>93.99</v>
      </c>
      <c r="E13" s="39">
        <f t="shared" ca="1" si="1"/>
        <v>95</v>
      </c>
      <c r="F13" s="58">
        <f t="shared" ca="1" si="2"/>
        <v>-5</v>
      </c>
      <c r="G13" s="39"/>
      <c r="H13" s="39">
        <f t="shared" ca="1" si="3"/>
        <v>94</v>
      </c>
      <c r="I13" s="63" t="str">
        <f t="shared" ca="1" si="4"/>
        <v>40</v>
      </c>
      <c r="J13" s="39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39">
        <f t="shared" ca="1" si="5"/>
        <v>5</v>
      </c>
      <c r="L13" s="39"/>
      <c r="M13" s="39"/>
      <c r="N13" s="39"/>
    </row>
    <row r="14" spans="1:14" ht="15.6" x14ac:dyDescent="0.3">
      <c r="A14" s="39"/>
      <c r="B14" s="58">
        <f ca="1">+'N° de Obs.'!D13</f>
        <v>100</v>
      </c>
      <c r="C14" s="39">
        <f ca="1">+'N° de Obs.'!E13</f>
        <v>8862</v>
      </c>
      <c r="D14" s="58">
        <f t="shared" ca="1" si="0"/>
        <v>94.01</v>
      </c>
      <c r="E14" s="39">
        <f t="shared" ca="1" si="1"/>
        <v>95</v>
      </c>
      <c r="F14" s="58">
        <f t="shared" ca="1" si="2"/>
        <v>5</v>
      </c>
      <c r="G14" s="39"/>
      <c r="H14" s="39">
        <f t="shared" ca="1" si="3"/>
        <v>94</v>
      </c>
      <c r="I14" s="63" t="str">
        <f t="shared" ca="1" si="4"/>
        <v>40</v>
      </c>
      <c r="J14" s="39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39">
        <f t="shared" ca="1" si="5"/>
        <v>5</v>
      </c>
      <c r="L14" s="39"/>
      <c r="M14" s="39"/>
      <c r="N14" s="39"/>
    </row>
    <row r="15" spans="1:14" ht="15.6" x14ac:dyDescent="0.3">
      <c r="A15" s="39"/>
      <c r="B15" s="58">
        <f ca="1">+'N° de Obs.'!D14</f>
        <v>100</v>
      </c>
      <c r="C15" s="39">
        <f ca="1">+'N° de Obs.'!E14</f>
        <v>8836</v>
      </c>
      <c r="D15" s="58">
        <f t="shared" ca="1" si="0"/>
        <v>94.28</v>
      </c>
      <c r="E15" s="39">
        <f t="shared" ca="1" si="1"/>
        <v>95</v>
      </c>
      <c r="F15" s="58">
        <f t="shared" ca="1" si="2"/>
        <v>5</v>
      </c>
      <c r="G15" s="39"/>
      <c r="H15" s="39">
        <f t="shared" ca="1" si="3"/>
        <v>94.3</v>
      </c>
      <c r="I15" s="63" t="str">
        <f t="shared" ca="1" si="4"/>
        <v>43</v>
      </c>
      <c r="J15" s="39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39">
        <f t="shared" ca="1" si="5"/>
        <v>5</v>
      </c>
      <c r="L15" s="39"/>
      <c r="M15" s="39"/>
      <c r="N15" s="39"/>
    </row>
    <row r="16" spans="1:14" ht="15.6" x14ac:dyDescent="0.3">
      <c r="A16" s="39"/>
      <c r="B16" s="58">
        <f ca="1">+'N° de Obs.'!D15</f>
        <v>90</v>
      </c>
      <c r="C16" s="39">
        <f ca="1">+'N° de Obs.'!E15</f>
        <v>8857</v>
      </c>
      <c r="D16" s="58">
        <f t="shared" ca="1" si="0"/>
        <v>94.06</v>
      </c>
      <c r="E16" s="39">
        <f t="shared" ca="1" si="1"/>
        <v>95</v>
      </c>
      <c r="F16" s="58">
        <f t="shared" ca="1" si="2"/>
        <v>-5</v>
      </c>
      <c r="G16" s="39"/>
      <c r="H16" s="39">
        <f t="shared" ca="1" si="3"/>
        <v>94.1</v>
      </c>
      <c r="I16" s="63" t="str">
        <f t="shared" ca="1" si="4"/>
        <v>41</v>
      </c>
      <c r="J16" s="39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39">
        <f t="shared" ca="1" si="5"/>
        <v>5</v>
      </c>
      <c r="L16" s="39"/>
      <c r="M16" s="39"/>
      <c r="N16" s="39"/>
    </row>
    <row r="17" spans="1:14" ht="15.6" x14ac:dyDescent="0.3">
      <c r="A17" s="39"/>
      <c r="B17" s="58">
        <f ca="1">+'N° de Obs.'!D16</f>
        <v>105</v>
      </c>
      <c r="C17" s="39">
        <f ca="1">+'N° de Obs.'!E16</f>
        <v>8716</v>
      </c>
      <c r="D17" s="58">
        <f t="shared" ca="1" si="0"/>
        <v>95.58</v>
      </c>
      <c r="E17" s="39">
        <f t="shared" ca="1" si="1"/>
        <v>95</v>
      </c>
      <c r="F17" s="58">
        <f t="shared" ca="1" si="2"/>
        <v>10</v>
      </c>
      <c r="G17" s="39"/>
      <c r="H17" s="39">
        <f t="shared" ca="1" si="3"/>
        <v>95.6</v>
      </c>
      <c r="I17" s="63" t="str">
        <f t="shared" ca="1" si="4"/>
        <v>56</v>
      </c>
      <c r="J17" s="39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39">
        <f t="shared" ca="1" si="5"/>
        <v>10</v>
      </c>
      <c r="L17" s="39"/>
      <c r="M17" s="39"/>
      <c r="N17" s="39"/>
    </row>
    <row r="18" spans="1:14" ht="15.6" x14ac:dyDescent="0.3">
      <c r="A18" s="39"/>
      <c r="B18" s="58">
        <f ca="1">+'N° de Obs.'!D17</f>
        <v>90</v>
      </c>
      <c r="C18" s="39">
        <f ca="1">+'N° de Obs.'!E17</f>
        <v>8834</v>
      </c>
      <c r="D18" s="58">
        <f t="shared" ca="1" si="0"/>
        <v>94.31</v>
      </c>
      <c r="E18" s="39">
        <f t="shared" ca="1" si="1"/>
        <v>95</v>
      </c>
      <c r="F18" s="58">
        <f t="shared" ca="1" si="2"/>
        <v>-5</v>
      </c>
      <c r="G18" s="39"/>
      <c r="H18" s="39">
        <f t="shared" ca="1" si="3"/>
        <v>94.3</v>
      </c>
      <c r="I18" s="63" t="str">
        <f t="shared" ca="1" si="4"/>
        <v>43</v>
      </c>
      <c r="J18" s="39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39">
        <f t="shared" ca="1" si="5"/>
        <v>5</v>
      </c>
      <c r="L18" s="39"/>
      <c r="M18" s="39"/>
      <c r="N18" s="39"/>
    </row>
    <row r="19" spans="1:14" ht="15.6" x14ac:dyDescent="0.3">
      <c r="A19" s="39"/>
      <c r="B19" s="58">
        <f ca="1">+'N° de Obs.'!D18</f>
        <v>95</v>
      </c>
      <c r="C19" s="39">
        <f ca="1">+'N° de Obs.'!E18</f>
        <v>8889</v>
      </c>
      <c r="D19" s="58">
        <f t="shared" ca="1" si="0"/>
        <v>93.72</v>
      </c>
      <c r="E19" s="39">
        <f t="shared" ca="1" si="1"/>
        <v>95</v>
      </c>
      <c r="F19" s="58">
        <f t="shared" ca="1" si="2"/>
        <v>0</v>
      </c>
      <c r="G19" s="39"/>
      <c r="H19" s="39">
        <f t="shared" ca="1" si="3"/>
        <v>93.7</v>
      </c>
      <c r="I19" s="63" t="str">
        <f t="shared" ca="1" si="4"/>
        <v>37</v>
      </c>
      <c r="J19" s="39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39">
        <f t="shared" ca="1" si="5"/>
        <v>0</v>
      </c>
      <c r="L19" s="39"/>
      <c r="M19" s="39"/>
      <c r="N19" s="39"/>
    </row>
    <row r="20" spans="1:14" ht="15.6" x14ac:dyDescent="0.3">
      <c r="A20" s="39"/>
      <c r="B20" s="58">
        <f ca="1">+'N° de Obs.'!D19</f>
        <v>95</v>
      </c>
      <c r="C20" s="39">
        <f ca="1">+'N° de Obs.'!E19</f>
        <v>8837</v>
      </c>
      <c r="D20" s="58">
        <f t="shared" ca="1" si="0"/>
        <v>94.27</v>
      </c>
      <c r="E20" s="39">
        <f t="shared" ca="1" si="1"/>
        <v>95</v>
      </c>
      <c r="F20" s="58">
        <f t="shared" ca="1" si="2"/>
        <v>0</v>
      </c>
      <c r="G20" s="39"/>
      <c r="H20" s="39">
        <f t="shared" ca="1" si="3"/>
        <v>94.3</v>
      </c>
      <c r="I20" s="63" t="str">
        <f t="shared" ca="1" si="4"/>
        <v>43</v>
      </c>
      <c r="J20" s="39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39">
        <f t="shared" ca="1" si="5"/>
        <v>0</v>
      </c>
      <c r="L20" s="39"/>
      <c r="M20" s="39"/>
      <c r="N20" s="39"/>
    </row>
    <row r="21" spans="1:14" ht="15.6" x14ac:dyDescent="0.3">
      <c r="A21" s="39"/>
      <c r="B21" s="58">
        <f ca="1">+'N° de Obs.'!D20</f>
        <v>85</v>
      </c>
      <c r="C21" s="39">
        <f ca="1">+'N° de Obs.'!E20</f>
        <v>8886</v>
      </c>
      <c r="D21" s="58">
        <f t="shared" ca="1" si="0"/>
        <v>93.75</v>
      </c>
      <c r="E21" s="39">
        <f t="shared" ca="1" si="1"/>
        <v>95</v>
      </c>
      <c r="F21" s="58">
        <f t="shared" ca="1" si="2"/>
        <v>-10</v>
      </c>
      <c r="G21" s="39"/>
      <c r="H21" s="39">
        <f t="shared" ca="1" si="3"/>
        <v>93.8</v>
      </c>
      <c r="I21" s="63" t="str">
        <f t="shared" ca="1" si="4"/>
        <v>38</v>
      </c>
      <c r="J21" s="39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39">
        <f t="shared" ca="1" si="5"/>
        <v>10</v>
      </c>
      <c r="L21" s="39"/>
      <c r="M21" s="39"/>
      <c r="N21" s="39"/>
    </row>
    <row r="22" spans="1:14" ht="15.6" x14ac:dyDescent="0.3">
      <c r="A22" s="39"/>
      <c r="B22" s="58">
        <f ca="1">+'N° de Obs.'!D21</f>
        <v>90</v>
      </c>
      <c r="C22" s="39">
        <f ca="1">+'N° de Obs.'!E21</f>
        <v>8828</v>
      </c>
      <c r="D22" s="58">
        <f t="shared" ca="1" si="0"/>
        <v>94.37</v>
      </c>
      <c r="E22" s="39">
        <f t="shared" ca="1" si="1"/>
        <v>95</v>
      </c>
      <c r="F22" s="58">
        <f t="shared" ca="1" si="2"/>
        <v>-5</v>
      </c>
      <c r="G22" s="39"/>
      <c r="H22" s="39">
        <f t="shared" ca="1" si="3"/>
        <v>94.4</v>
      </c>
      <c r="I22" s="63" t="str">
        <f t="shared" ca="1" si="4"/>
        <v>44</v>
      </c>
      <c r="J22" s="39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39">
        <f t="shared" ca="1" si="5"/>
        <v>5</v>
      </c>
      <c r="L22" s="39"/>
      <c r="M22" s="39"/>
      <c r="N22" s="39"/>
    </row>
    <row r="23" spans="1:14" ht="15.6" x14ac:dyDescent="0.3">
      <c r="A23" s="39"/>
      <c r="B23" s="58">
        <f ca="1">+'N° de Obs.'!D22</f>
        <v>95</v>
      </c>
      <c r="C23" s="39">
        <f ca="1">+'N° de Obs.'!E22</f>
        <v>8831</v>
      </c>
      <c r="D23" s="58">
        <f t="shared" ca="1" si="0"/>
        <v>94.34</v>
      </c>
      <c r="E23" s="39">
        <f t="shared" ca="1" si="1"/>
        <v>95</v>
      </c>
      <c r="F23" s="58">
        <f t="shared" ca="1" si="2"/>
        <v>0</v>
      </c>
      <c r="G23" s="39"/>
      <c r="H23" s="39">
        <f t="shared" ca="1" si="3"/>
        <v>94.3</v>
      </c>
      <c r="I23" s="63" t="str">
        <f t="shared" ca="1" si="4"/>
        <v>43</v>
      </c>
      <c r="J23" s="39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39">
        <f t="shared" ca="1" si="5"/>
        <v>0</v>
      </c>
      <c r="L23" s="39"/>
      <c r="M23" s="39"/>
      <c r="N23" s="39"/>
    </row>
    <row r="24" spans="1:14" ht="15.6" x14ac:dyDescent="0.3">
      <c r="A24" s="39"/>
      <c r="B24" s="58">
        <f ca="1">+'N° de Obs.'!D23</f>
        <v>90</v>
      </c>
      <c r="C24" s="39">
        <f ca="1">+'N° de Obs.'!E23</f>
        <v>8832</v>
      </c>
      <c r="D24" s="58">
        <f t="shared" ca="1" si="0"/>
        <v>94.33</v>
      </c>
      <c r="E24" s="39">
        <f t="shared" ca="1" si="1"/>
        <v>95</v>
      </c>
      <c r="F24" s="58">
        <f t="shared" ca="1" si="2"/>
        <v>-5</v>
      </c>
      <c r="G24" s="39"/>
      <c r="H24" s="39">
        <f t="shared" ca="1" si="3"/>
        <v>94.3</v>
      </c>
      <c r="I24" s="63" t="str">
        <f t="shared" ca="1" si="4"/>
        <v>43</v>
      </c>
      <c r="J24" s="39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39">
        <f t="shared" ca="1" si="5"/>
        <v>5</v>
      </c>
      <c r="L24" s="39"/>
      <c r="M24" s="39"/>
      <c r="N24" s="39"/>
    </row>
    <row r="25" spans="1:14" ht="15.6" x14ac:dyDescent="0.3">
      <c r="A25" s="39"/>
      <c r="B25" s="58">
        <f ca="1">+'N° de Obs.'!D24</f>
        <v>100</v>
      </c>
      <c r="C25" s="39">
        <f ca="1">+'N° de Obs.'!E24</f>
        <v>8859</v>
      </c>
      <c r="D25" s="58">
        <f t="shared" ca="1" si="0"/>
        <v>94.04</v>
      </c>
      <c r="E25" s="39">
        <f t="shared" ca="1" si="1"/>
        <v>95</v>
      </c>
      <c r="F25" s="58">
        <f t="shared" ca="1" si="2"/>
        <v>5</v>
      </c>
      <c r="G25" s="39"/>
      <c r="H25" s="39">
        <f t="shared" ca="1" si="3"/>
        <v>94</v>
      </c>
      <c r="I25" s="63" t="str">
        <f t="shared" ca="1" si="4"/>
        <v>40</v>
      </c>
      <c r="J25" s="39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39">
        <f t="shared" ca="1" si="5"/>
        <v>5</v>
      </c>
      <c r="L25" s="39"/>
      <c r="M25" s="39"/>
      <c r="N25" s="39"/>
    </row>
    <row r="26" spans="1:14" ht="15.6" x14ac:dyDescent="0.3">
      <c r="A26" s="39"/>
      <c r="B26" s="59">
        <f ca="1">+'N° de Obs.'!D25</f>
        <v>95</v>
      </c>
      <c r="C26" s="39">
        <f ca="1">+'N° de Obs.'!E25</f>
        <v>8835</v>
      </c>
      <c r="D26" s="59">
        <f t="shared" ca="1" si="0"/>
        <v>94.3</v>
      </c>
      <c r="E26" s="55">
        <f t="shared" ca="1" si="1"/>
        <v>95</v>
      </c>
      <c r="F26" s="59">
        <f t="shared" ca="1" si="2"/>
        <v>0</v>
      </c>
      <c r="G26" s="39"/>
      <c r="H26" s="39">
        <f t="shared" ca="1" si="3"/>
        <v>94.3</v>
      </c>
      <c r="I26" s="63" t="str">
        <f t="shared" ca="1" si="4"/>
        <v>43</v>
      </c>
      <c r="J26" s="39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39">
        <f t="shared" ca="1" si="5"/>
        <v>0</v>
      </c>
      <c r="L26" s="39"/>
      <c r="M26" s="39"/>
      <c r="N26" s="39"/>
    </row>
    <row r="27" spans="1:14" ht="15.6" x14ac:dyDescent="0.3">
      <c r="A27" s="39"/>
      <c r="B27" s="130" t="s">
        <v>91</v>
      </c>
      <c r="C27" s="138"/>
      <c r="D27" s="138"/>
      <c r="E27" s="138"/>
      <c r="F27" s="61">
        <f ca="1">+SUMIF(K7:K26,"&lt;=10",F7:F26)</f>
        <v>-10</v>
      </c>
      <c r="G27" s="39"/>
      <c r="H27" s="39"/>
      <c r="I27" s="39"/>
      <c r="J27" s="39"/>
      <c r="K27" s="39">
        <f ca="1">+COUNTIF(K7:K26,"&lt;=10")</f>
        <v>20</v>
      </c>
      <c r="L27" s="39"/>
      <c r="M27" s="39"/>
      <c r="N27" s="39"/>
    </row>
    <row r="28" spans="1:14" ht="15.6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ht="15.6" x14ac:dyDescent="0.3">
      <c r="A29" s="39"/>
      <c r="B29" s="64">
        <v>100</v>
      </c>
      <c r="C29" s="39">
        <f ca="1">+ROUND(AVERAGE('N° de Obs.'!F6:F25),0)</f>
        <v>8331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</row>
    <row r="30" spans="1:14" ht="15.6" x14ac:dyDescent="0.3">
      <c r="A30" s="39"/>
      <c r="B30" s="39"/>
      <c r="C30" s="39"/>
      <c r="D30" s="55"/>
      <c r="E30" s="55"/>
      <c r="F30" s="39"/>
      <c r="G30" s="39"/>
      <c r="H30" s="39"/>
      <c r="I30" s="39"/>
      <c r="J30" s="39"/>
      <c r="K30" s="39"/>
      <c r="L30" s="39"/>
      <c r="M30" s="39"/>
      <c r="N30" s="39"/>
    </row>
    <row r="31" spans="1:14" ht="15.6" x14ac:dyDescent="0.3">
      <c r="A31" s="39"/>
      <c r="B31" s="39"/>
      <c r="C31" s="39"/>
      <c r="D31" s="51" t="s">
        <v>85</v>
      </c>
      <c r="E31" s="51" t="s">
        <v>86</v>
      </c>
      <c r="F31" s="39"/>
      <c r="G31" s="39"/>
      <c r="H31" s="39"/>
      <c r="I31" s="39"/>
      <c r="J31" s="39"/>
      <c r="K31" s="39"/>
      <c r="L31" s="39"/>
      <c r="M31" s="39"/>
      <c r="N31" s="39"/>
    </row>
    <row r="32" spans="1:14" ht="15.6" x14ac:dyDescent="0.3">
      <c r="A32" s="39"/>
      <c r="B32" s="39"/>
      <c r="C32" s="39"/>
      <c r="D32" s="58" t="s">
        <v>88</v>
      </c>
      <c r="E32" s="58" t="s">
        <v>25</v>
      </c>
      <c r="F32" s="39"/>
      <c r="G32" s="39"/>
      <c r="H32" s="39"/>
      <c r="I32" s="39"/>
      <c r="J32" s="39"/>
      <c r="K32" s="140" t="s">
        <v>99</v>
      </c>
      <c r="L32" s="140"/>
      <c r="M32" s="140"/>
      <c r="N32" s="39"/>
    </row>
    <row r="33" spans="1:14" ht="15.6" x14ac:dyDescent="0.3">
      <c r="A33" s="39"/>
      <c r="B33" s="39"/>
      <c r="C33" s="39"/>
      <c r="D33" s="58" t="s">
        <v>96</v>
      </c>
      <c r="E33" s="68">
        <f>+B29</f>
        <v>100</v>
      </c>
      <c r="F33" s="39"/>
      <c r="G33" s="39"/>
      <c r="H33" s="39"/>
      <c r="I33" s="39"/>
      <c r="J33" s="39"/>
      <c r="K33" s="140"/>
      <c r="L33" s="140"/>
      <c r="M33" s="140"/>
      <c r="N33" s="39"/>
    </row>
    <row r="34" spans="1:14" ht="15.6" x14ac:dyDescent="0.3">
      <c r="A34" s="39"/>
      <c r="B34" s="39"/>
      <c r="C34" s="39"/>
      <c r="D34" s="58" t="s">
        <v>20</v>
      </c>
      <c r="E34" s="58">
        <f ca="1">+C29</f>
        <v>8331</v>
      </c>
      <c r="F34" s="39"/>
      <c r="G34" s="39"/>
      <c r="H34" s="39"/>
      <c r="I34" s="39"/>
      <c r="J34" s="39"/>
      <c r="K34" s="140"/>
      <c r="L34" s="140"/>
      <c r="M34" s="140"/>
      <c r="N34" s="39"/>
    </row>
    <row r="35" spans="1:14" ht="31.2" x14ac:dyDescent="0.3">
      <c r="A35" s="39"/>
      <c r="B35" s="39"/>
      <c r="C35" s="39"/>
      <c r="D35" s="66" t="s">
        <v>98</v>
      </c>
      <c r="E35" s="58">
        <f ca="1">+K27</f>
        <v>20</v>
      </c>
      <c r="F35" s="39"/>
      <c r="G35" s="39"/>
      <c r="H35" s="39"/>
      <c r="I35" s="39"/>
      <c r="J35" s="39"/>
      <c r="K35" s="140"/>
      <c r="L35" s="140"/>
      <c r="M35" s="140"/>
      <c r="N35" s="39"/>
    </row>
    <row r="36" spans="1:14" ht="15.6" x14ac:dyDescent="0.3">
      <c r="A36" s="39"/>
      <c r="B36" s="39"/>
      <c r="C36" s="39"/>
      <c r="D36" s="67" t="s">
        <v>95</v>
      </c>
      <c r="E36" s="59">
        <f ca="1">+F27</f>
        <v>-10</v>
      </c>
      <c r="F36" s="39"/>
      <c r="G36" s="39"/>
      <c r="H36" s="39"/>
      <c r="I36" s="39"/>
      <c r="J36" s="39"/>
      <c r="K36" s="39"/>
      <c r="L36" s="39"/>
      <c r="M36" s="39"/>
      <c r="N36" s="39"/>
    </row>
    <row r="37" spans="1:14" ht="31.2" x14ac:dyDescent="0.3">
      <c r="A37" s="39"/>
      <c r="B37" s="39"/>
      <c r="C37" s="39"/>
      <c r="D37" s="41" t="s">
        <v>97</v>
      </c>
      <c r="E37" s="57" t="str">
        <f ca="1">+CONCATENATE(ROUND((F27/K27*5)/5,2)," %")</f>
        <v>-0.5 %</v>
      </c>
      <c r="F37" s="39"/>
      <c r="G37" s="39"/>
      <c r="H37" s="39"/>
      <c r="I37" s="39"/>
      <c r="J37" s="39"/>
      <c r="K37" s="39"/>
      <c r="L37" s="39"/>
      <c r="M37" s="39"/>
      <c r="N37" s="39"/>
    </row>
    <row r="38" spans="1:14" ht="15.6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1:14" ht="15.6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</row>
    <row r="40" spans="1:14" ht="15.6" x14ac:dyDescent="0.3">
      <c r="A40" s="39"/>
      <c r="B40" s="64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1" spans="1:14" ht="15.6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spans="1:14" ht="15.6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1:14" ht="15.6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44" spans="1:14" ht="15.6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 ht="15.6" x14ac:dyDescent="0.3">
      <c r="A45" s="39"/>
      <c r="B45" s="39"/>
      <c r="C45" s="39"/>
      <c r="D45" s="39"/>
      <c r="E45" s="139" t="str">
        <f>+'N° de Obs.'!P2</f>
        <v>Elemento R</v>
      </c>
      <c r="F45" s="139"/>
      <c r="G45" s="39"/>
      <c r="H45" s="39"/>
      <c r="I45" s="39"/>
      <c r="J45" s="39"/>
      <c r="K45" s="39"/>
      <c r="L45" s="39"/>
      <c r="M45" s="39"/>
      <c r="N45" s="39"/>
    </row>
    <row r="46" spans="1:14" ht="15.6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4" ht="15.6" x14ac:dyDescent="0.3">
      <c r="A47" s="39"/>
      <c r="B47" s="55"/>
      <c r="C47" s="55"/>
      <c r="D47" s="55"/>
      <c r="E47" s="55"/>
      <c r="F47" s="55"/>
      <c r="G47" s="39"/>
      <c r="H47" s="39"/>
      <c r="I47" s="39"/>
      <c r="J47" s="39"/>
      <c r="K47" s="39"/>
      <c r="L47" s="39"/>
      <c r="M47" s="39"/>
      <c r="N47" s="39"/>
    </row>
    <row r="48" spans="1:14" ht="15.6" x14ac:dyDescent="0.3">
      <c r="A48" s="39"/>
      <c r="B48" s="51" t="s">
        <v>26</v>
      </c>
      <c r="C48" s="69" t="s">
        <v>93</v>
      </c>
      <c r="D48" s="51" t="s">
        <v>94</v>
      </c>
      <c r="E48" s="69" t="s">
        <v>27</v>
      </c>
      <c r="F48" s="51" t="s">
        <v>95</v>
      </c>
      <c r="G48" s="39"/>
      <c r="H48" s="39"/>
      <c r="I48" s="39"/>
      <c r="J48" s="39"/>
      <c r="K48" s="39"/>
      <c r="L48" s="39"/>
      <c r="M48" s="39"/>
      <c r="N48" s="39"/>
    </row>
    <row r="49" spans="1:14" ht="15.6" x14ac:dyDescent="0.3">
      <c r="A49" s="39"/>
      <c r="B49" s="58">
        <f ca="1">+'N° de Obs.'!M6</f>
        <v>85</v>
      </c>
      <c r="C49" s="39">
        <f ca="1">+'N° de Obs.'!N6</f>
        <v>8976</v>
      </c>
      <c r="D49" s="58">
        <f ca="1">+ROUND($B$71*$C$71/C49,2)</f>
        <v>90.89</v>
      </c>
      <c r="E49" s="39">
        <f ca="1">+J49</f>
        <v>90</v>
      </c>
      <c r="F49" s="58">
        <f ca="1">+B49-E49</f>
        <v>-5</v>
      </c>
      <c r="G49" s="39"/>
      <c r="H49" s="39">
        <f ca="1">+ROUND(D49,1)</f>
        <v>90.9</v>
      </c>
      <c r="I49" s="63" t="str">
        <f ca="1">+RIGHT(H49*10,2)</f>
        <v>09</v>
      </c>
      <c r="J49" s="39" cm="1">
        <f t="array" aca="1" ref="J49" ca="1">+_xlfn.IFS(AND(I49&gt;="0",I49&lt;"25"),H49-(I49/10),AND(I49&gt;="25",I49&lt;"50"),H49+(5-(I49/10)),AND(I49&gt;="50",I49&lt;"75"),H49-((I49-50)/10),I49&gt;="75",H49+(10-(I49/10)))</f>
        <v>90</v>
      </c>
      <c r="K49" s="39">
        <f ca="1">+ABS(F49)</f>
        <v>5</v>
      </c>
      <c r="L49" s="39"/>
      <c r="M49" s="39"/>
      <c r="N49" s="39"/>
    </row>
    <row r="50" spans="1:14" ht="15.6" x14ac:dyDescent="0.3">
      <c r="A50" s="39"/>
      <c r="B50" s="58">
        <f ca="1">+'N° de Obs.'!M7</f>
        <v>90</v>
      </c>
      <c r="C50" s="39">
        <f ca="1">+'N° de Obs.'!N7</f>
        <v>8840</v>
      </c>
      <c r="D50" s="58">
        <f t="shared" ref="D50:D68" ca="1" si="6">+ROUND($B$71*$C$71/C50,2)</f>
        <v>92.29</v>
      </c>
      <c r="E50" s="39">
        <f t="shared" ref="E50:E68" ca="1" si="7">+J50</f>
        <v>90</v>
      </c>
      <c r="F50" s="58">
        <f t="shared" ref="F50:F68" ca="1" si="8">+B50-E50</f>
        <v>0</v>
      </c>
      <c r="G50" s="39"/>
      <c r="H50" s="39">
        <f t="shared" ref="H50:H68" ca="1" si="9">+ROUND(D50,1)</f>
        <v>92.3</v>
      </c>
      <c r="I50" s="63" t="str">
        <f t="shared" ref="I50:I68" ca="1" si="10">+RIGHT(H50*10,2)</f>
        <v>23</v>
      </c>
      <c r="J50" s="39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39">
        <f t="shared" ref="K50:K68" ca="1" si="11">+ABS(F50)</f>
        <v>0</v>
      </c>
      <c r="L50" s="39"/>
      <c r="M50" s="39"/>
      <c r="N50" s="39"/>
    </row>
    <row r="51" spans="1:14" ht="15.6" x14ac:dyDescent="0.3">
      <c r="A51" s="39"/>
      <c r="B51" s="58">
        <f ca="1">+'N° de Obs.'!M8</f>
        <v>90</v>
      </c>
      <c r="C51" s="39">
        <f ca="1">+'N° de Obs.'!N8</f>
        <v>8901</v>
      </c>
      <c r="D51" s="58">
        <f t="shared" ca="1" si="6"/>
        <v>91.65</v>
      </c>
      <c r="E51" s="39">
        <f t="shared" ca="1" si="7"/>
        <v>90</v>
      </c>
      <c r="F51" s="58">
        <f t="shared" ca="1" si="8"/>
        <v>0</v>
      </c>
      <c r="G51" s="39"/>
      <c r="H51" s="39">
        <f t="shared" ca="1" si="9"/>
        <v>91.7</v>
      </c>
      <c r="I51" s="63" t="str">
        <f t="shared" ca="1" si="10"/>
        <v>17</v>
      </c>
      <c r="J51" s="39" cm="1">
        <f t="array" aca="1" ref="J51" ca="1">+_xlfn.IFS(AND(I51&gt;="0",I51&lt;"25"),H51-(I51/10),AND(I51&gt;="25",I51&lt;"50"),H51+(5-(I51/10)),AND(I51&gt;="50",I51&lt;"75"),H51-((I51-50)/10),I51&gt;="75",H51+(10-(I51/10)))</f>
        <v>90</v>
      </c>
      <c r="K51" s="39">
        <f t="shared" ca="1" si="11"/>
        <v>0</v>
      </c>
      <c r="L51" s="39"/>
      <c r="M51" s="39"/>
      <c r="N51" s="39"/>
    </row>
    <row r="52" spans="1:14" ht="15.6" x14ac:dyDescent="0.3">
      <c r="A52" s="39"/>
      <c r="B52" s="58">
        <f ca="1">+'N° de Obs.'!M9</f>
        <v>95</v>
      </c>
      <c r="C52" s="39">
        <f ca="1">+'N° de Obs.'!N9</f>
        <v>8816</v>
      </c>
      <c r="D52" s="58">
        <f t="shared" ca="1" si="6"/>
        <v>92.54</v>
      </c>
      <c r="E52" s="39">
        <f t="shared" ca="1" si="7"/>
        <v>95</v>
      </c>
      <c r="F52" s="58">
        <f t="shared" ca="1" si="8"/>
        <v>0</v>
      </c>
      <c r="G52" s="39"/>
      <c r="H52" s="39">
        <f t="shared" ca="1" si="9"/>
        <v>92.5</v>
      </c>
      <c r="I52" s="63" t="str">
        <f t="shared" ca="1" si="10"/>
        <v>25</v>
      </c>
      <c r="J52" s="39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39">
        <f t="shared" ca="1" si="11"/>
        <v>0</v>
      </c>
      <c r="L52" s="39"/>
      <c r="M52" s="39"/>
      <c r="N52" s="39"/>
    </row>
    <row r="53" spans="1:14" ht="15.6" x14ac:dyDescent="0.3">
      <c r="A53" s="39"/>
      <c r="B53" s="58">
        <f ca="1">+'N° de Obs.'!M10</f>
        <v>85</v>
      </c>
      <c r="C53" s="39">
        <f ca="1">+'N° de Obs.'!N10</f>
        <v>8867</v>
      </c>
      <c r="D53" s="58">
        <f t="shared" ca="1" si="6"/>
        <v>92</v>
      </c>
      <c r="E53" s="39">
        <f t="shared" ca="1" si="7"/>
        <v>90</v>
      </c>
      <c r="F53" s="58">
        <f t="shared" ca="1" si="8"/>
        <v>-5</v>
      </c>
      <c r="G53" s="39"/>
      <c r="H53" s="39">
        <f t="shared" ca="1" si="9"/>
        <v>92</v>
      </c>
      <c r="I53" s="63" t="str">
        <f t="shared" ca="1" si="10"/>
        <v>20</v>
      </c>
      <c r="J53" s="39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39">
        <f t="shared" ca="1" si="11"/>
        <v>5</v>
      </c>
      <c r="L53" s="39"/>
      <c r="M53" s="39"/>
      <c r="N53" s="39"/>
    </row>
    <row r="54" spans="1:14" ht="15.6" x14ac:dyDescent="0.3">
      <c r="A54" s="39"/>
      <c r="B54" s="58">
        <f ca="1">+'N° de Obs.'!M11</f>
        <v>85</v>
      </c>
      <c r="C54" s="39">
        <f ca="1">+'N° de Obs.'!N11</f>
        <v>8938</v>
      </c>
      <c r="D54" s="58">
        <f t="shared" ca="1" si="6"/>
        <v>91.27</v>
      </c>
      <c r="E54" s="39">
        <f t="shared" ca="1" si="7"/>
        <v>90</v>
      </c>
      <c r="F54" s="58">
        <f t="shared" ca="1" si="8"/>
        <v>-5</v>
      </c>
      <c r="G54" s="39"/>
      <c r="H54" s="39">
        <f t="shared" ca="1" si="9"/>
        <v>91.3</v>
      </c>
      <c r="I54" s="63" t="str">
        <f t="shared" ca="1" si="10"/>
        <v>13</v>
      </c>
      <c r="J54" s="39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39">
        <f t="shared" ca="1" si="11"/>
        <v>5</v>
      </c>
      <c r="L54" s="39"/>
      <c r="M54" s="39"/>
      <c r="N54" s="39"/>
    </row>
    <row r="55" spans="1:14" ht="15.6" x14ac:dyDescent="0.3">
      <c r="A55" s="39"/>
      <c r="B55" s="58">
        <f ca="1">+'N° de Obs.'!M12</f>
        <v>100</v>
      </c>
      <c r="C55" s="39">
        <f ca="1">+'N° de Obs.'!N12</f>
        <v>8908</v>
      </c>
      <c r="D55" s="58">
        <f t="shared" ca="1" si="6"/>
        <v>91.58</v>
      </c>
      <c r="E55" s="39">
        <f t="shared" ca="1" si="7"/>
        <v>90</v>
      </c>
      <c r="F55" s="58">
        <f t="shared" ca="1" si="8"/>
        <v>10</v>
      </c>
      <c r="G55" s="39"/>
      <c r="H55" s="39">
        <f t="shared" ca="1" si="9"/>
        <v>91.6</v>
      </c>
      <c r="I55" s="63" t="str">
        <f t="shared" ca="1" si="10"/>
        <v>16</v>
      </c>
      <c r="J55" s="39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39">
        <f t="shared" ca="1" si="11"/>
        <v>10</v>
      </c>
      <c r="L55" s="39"/>
      <c r="M55" s="39"/>
      <c r="N55" s="39"/>
    </row>
    <row r="56" spans="1:14" ht="15.6" x14ac:dyDescent="0.3">
      <c r="A56" s="39"/>
      <c r="B56" s="58">
        <f ca="1">+'N° de Obs.'!M13</f>
        <v>95</v>
      </c>
      <c r="C56" s="39">
        <f ca="1">+'N° de Obs.'!N13</f>
        <v>8819</v>
      </c>
      <c r="D56" s="58">
        <f t="shared" ca="1" si="6"/>
        <v>92.5</v>
      </c>
      <c r="E56" s="39">
        <f t="shared" ca="1" si="7"/>
        <v>95</v>
      </c>
      <c r="F56" s="58">
        <f t="shared" ca="1" si="8"/>
        <v>0</v>
      </c>
      <c r="G56" s="39"/>
      <c r="H56" s="39">
        <f t="shared" ca="1" si="9"/>
        <v>92.5</v>
      </c>
      <c r="I56" s="63" t="str">
        <f t="shared" ca="1" si="10"/>
        <v>25</v>
      </c>
      <c r="J56" s="39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39">
        <f t="shared" ca="1" si="11"/>
        <v>0</v>
      </c>
      <c r="L56" s="39"/>
      <c r="M56" s="39"/>
      <c r="N56" s="39"/>
    </row>
    <row r="57" spans="1:14" ht="15.6" x14ac:dyDescent="0.3">
      <c r="A57" s="39"/>
      <c r="B57" s="58">
        <f ca="1">+'N° de Obs.'!M14</f>
        <v>95</v>
      </c>
      <c r="C57" s="39">
        <f ca="1">+'N° de Obs.'!N14</f>
        <v>8860</v>
      </c>
      <c r="D57" s="58">
        <f t="shared" ca="1" si="6"/>
        <v>92.08</v>
      </c>
      <c r="E57" s="39">
        <f t="shared" ca="1" si="7"/>
        <v>90</v>
      </c>
      <c r="F57" s="58">
        <f t="shared" ca="1" si="8"/>
        <v>5</v>
      </c>
      <c r="G57" s="39"/>
      <c r="H57" s="39">
        <f t="shared" ca="1" si="9"/>
        <v>92.1</v>
      </c>
      <c r="I57" s="63" t="str">
        <f t="shared" ca="1" si="10"/>
        <v>21</v>
      </c>
      <c r="J57" s="39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39">
        <f t="shared" ca="1" si="11"/>
        <v>5</v>
      </c>
      <c r="L57" s="39"/>
      <c r="M57" s="39"/>
      <c r="N57" s="39"/>
    </row>
    <row r="58" spans="1:14" ht="15.6" x14ac:dyDescent="0.3">
      <c r="A58" s="39"/>
      <c r="B58" s="58">
        <f ca="1">+'N° de Obs.'!M15</f>
        <v>85</v>
      </c>
      <c r="C58" s="39">
        <f ca="1">+'N° de Obs.'!N15</f>
        <v>8966</v>
      </c>
      <c r="D58" s="58">
        <f t="shared" ca="1" si="6"/>
        <v>90.99</v>
      </c>
      <c r="E58" s="39">
        <f t="shared" ca="1" si="7"/>
        <v>90</v>
      </c>
      <c r="F58" s="58">
        <f t="shared" ca="1" si="8"/>
        <v>-5</v>
      </c>
      <c r="G58" s="39"/>
      <c r="H58" s="39">
        <f t="shared" ca="1" si="9"/>
        <v>91</v>
      </c>
      <c r="I58" s="63" t="str">
        <f t="shared" ca="1" si="10"/>
        <v>10</v>
      </c>
      <c r="J58" s="39" cm="1">
        <f t="array" aca="1" ref="J58" ca="1">+_xlfn.IFS(AND(I58&gt;="0",I58&lt;"25"),H58-(I58/10),AND(I58&gt;="25",I58&lt;"50"),H58+(5-(I58/10)),AND(I58&gt;="50",I58&lt;"75"),H58-((I58-50)/10),I58&gt;="75",H58+(10-(I58/10)))</f>
        <v>90</v>
      </c>
      <c r="K58" s="39">
        <f t="shared" ca="1" si="11"/>
        <v>5</v>
      </c>
      <c r="L58" s="39"/>
      <c r="M58" s="39"/>
      <c r="N58" s="39"/>
    </row>
    <row r="59" spans="1:14" ht="15.6" x14ac:dyDescent="0.3">
      <c r="A59" s="39"/>
      <c r="B59" s="58">
        <f ca="1">+'N° de Obs.'!M16</f>
        <v>85</v>
      </c>
      <c r="C59" s="39">
        <f ca="1">+'N° de Obs.'!N16</f>
        <v>8826</v>
      </c>
      <c r="D59" s="58">
        <f t="shared" ca="1" si="6"/>
        <v>92.43</v>
      </c>
      <c r="E59" s="39">
        <f t="shared" ca="1" si="7"/>
        <v>90</v>
      </c>
      <c r="F59" s="58">
        <f t="shared" ca="1" si="8"/>
        <v>-5</v>
      </c>
      <c r="G59" s="39"/>
      <c r="H59" s="39">
        <f t="shared" ca="1" si="9"/>
        <v>92.4</v>
      </c>
      <c r="I59" s="63" t="str">
        <f t="shared" ca="1" si="10"/>
        <v>24</v>
      </c>
      <c r="J59" s="39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39">
        <f t="shared" ca="1" si="11"/>
        <v>5</v>
      </c>
      <c r="L59" s="39"/>
      <c r="M59" s="39"/>
      <c r="N59" s="39"/>
    </row>
    <row r="60" spans="1:14" ht="15.6" x14ac:dyDescent="0.3">
      <c r="A60" s="39"/>
      <c r="B60" s="58">
        <f ca="1">+'N° de Obs.'!M17</f>
        <v>95</v>
      </c>
      <c r="C60" s="39">
        <f ca="1">+'N° de Obs.'!N17</f>
        <v>8850</v>
      </c>
      <c r="D60" s="58">
        <f t="shared" ca="1" si="6"/>
        <v>92.18</v>
      </c>
      <c r="E60" s="39">
        <f t="shared" ca="1" si="7"/>
        <v>90</v>
      </c>
      <c r="F60" s="58">
        <f t="shared" ca="1" si="8"/>
        <v>5</v>
      </c>
      <c r="G60" s="39"/>
      <c r="H60" s="39">
        <f t="shared" ca="1" si="9"/>
        <v>92.2</v>
      </c>
      <c r="I60" s="63" t="str">
        <f t="shared" ca="1" si="10"/>
        <v>22</v>
      </c>
      <c r="J60" s="39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39">
        <f t="shared" ca="1" si="11"/>
        <v>5</v>
      </c>
      <c r="L60" s="39"/>
      <c r="M60" s="39"/>
      <c r="N60" s="39"/>
    </row>
    <row r="61" spans="1:14" ht="15.6" x14ac:dyDescent="0.3">
      <c r="A61" s="39"/>
      <c r="B61" s="58">
        <f ca="1">+'N° de Obs.'!M18</f>
        <v>100</v>
      </c>
      <c r="C61" s="39">
        <f ca="1">+'N° de Obs.'!N18</f>
        <v>8856</v>
      </c>
      <c r="D61" s="58">
        <f t="shared" ca="1" si="6"/>
        <v>92.12</v>
      </c>
      <c r="E61" s="39">
        <f t="shared" ca="1" si="7"/>
        <v>90</v>
      </c>
      <c r="F61" s="58">
        <f t="shared" ca="1" si="8"/>
        <v>10</v>
      </c>
      <c r="G61" s="39"/>
      <c r="H61" s="39">
        <f t="shared" ca="1" si="9"/>
        <v>92.1</v>
      </c>
      <c r="I61" s="63" t="str">
        <f t="shared" ca="1" si="10"/>
        <v>21</v>
      </c>
      <c r="J61" s="39" cm="1">
        <f t="array" aca="1" ref="J61" ca="1">+_xlfn.IFS(AND(I61&gt;="0",I61&lt;"25"),H61-(I61/10),AND(I61&gt;="25",I61&lt;"50"),H61+(5-(I61/10)),AND(I61&gt;="50",I61&lt;"75"),H61-((I61-50)/10),I61&gt;="75",H61+(10-(I61/10)))</f>
        <v>90</v>
      </c>
      <c r="K61" s="39">
        <f t="shared" ca="1" si="11"/>
        <v>10</v>
      </c>
      <c r="L61" s="39"/>
      <c r="M61" s="39"/>
      <c r="N61" s="39"/>
    </row>
    <row r="62" spans="1:14" ht="15.6" x14ac:dyDescent="0.3">
      <c r="A62" s="39"/>
      <c r="B62" s="58">
        <f ca="1">+'N° de Obs.'!M19</f>
        <v>85</v>
      </c>
      <c r="C62" s="39">
        <f ca="1">+'N° de Obs.'!N19</f>
        <v>8839</v>
      </c>
      <c r="D62" s="58">
        <f t="shared" ca="1" si="6"/>
        <v>92.3</v>
      </c>
      <c r="E62" s="39">
        <f t="shared" ca="1" si="7"/>
        <v>90</v>
      </c>
      <c r="F62" s="58">
        <f t="shared" ca="1" si="8"/>
        <v>-5</v>
      </c>
      <c r="G62" s="39"/>
      <c r="H62" s="39">
        <f t="shared" ca="1" si="9"/>
        <v>92.3</v>
      </c>
      <c r="I62" s="63" t="str">
        <f t="shared" ca="1" si="10"/>
        <v>23</v>
      </c>
      <c r="J62" s="39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39">
        <f t="shared" ca="1" si="11"/>
        <v>5</v>
      </c>
      <c r="L62" s="39"/>
      <c r="M62" s="39"/>
      <c r="N62" s="39"/>
    </row>
    <row r="63" spans="1:14" ht="15.6" x14ac:dyDescent="0.3">
      <c r="A63" s="39"/>
      <c r="B63" s="58">
        <f ca="1">+'N° de Obs.'!M20</f>
        <v>100</v>
      </c>
      <c r="C63" s="39">
        <f ca="1">+'N° de Obs.'!N20</f>
        <v>8970</v>
      </c>
      <c r="D63" s="58">
        <f t="shared" ca="1" si="6"/>
        <v>90.95</v>
      </c>
      <c r="E63" s="39">
        <f t="shared" ca="1" si="7"/>
        <v>90</v>
      </c>
      <c r="F63" s="58">
        <f t="shared" ca="1" si="8"/>
        <v>10</v>
      </c>
      <c r="G63" s="39"/>
      <c r="H63" s="39">
        <f t="shared" ca="1" si="9"/>
        <v>91</v>
      </c>
      <c r="I63" s="63" t="str">
        <f t="shared" ca="1" si="10"/>
        <v>10</v>
      </c>
      <c r="J63" s="39" cm="1">
        <f t="array" aca="1" ref="J63" ca="1">+_xlfn.IFS(AND(I63&gt;="0",I63&lt;"25"),H63-(I63/10),AND(I63&gt;="25",I63&lt;"50"),H63+(5-(I63/10)),AND(I63&gt;="50",I63&lt;"75"),H63-((I63-50)/10),I63&gt;="75",H63+(10-(I63/10)))</f>
        <v>90</v>
      </c>
      <c r="K63" s="39">
        <f t="shared" ca="1" si="11"/>
        <v>10</v>
      </c>
      <c r="L63" s="39"/>
      <c r="M63" s="39"/>
      <c r="N63" s="39"/>
    </row>
    <row r="64" spans="1:14" ht="15.6" x14ac:dyDescent="0.3">
      <c r="A64" s="39"/>
      <c r="B64" s="58">
        <f ca="1">+'N° de Obs.'!M21</f>
        <v>90</v>
      </c>
      <c r="C64" s="39">
        <f ca="1">+'N° de Obs.'!N21</f>
        <v>8880</v>
      </c>
      <c r="D64" s="58">
        <f t="shared" ca="1" si="6"/>
        <v>91.87</v>
      </c>
      <c r="E64" s="39">
        <f t="shared" ca="1" si="7"/>
        <v>90</v>
      </c>
      <c r="F64" s="58">
        <f t="shared" ca="1" si="8"/>
        <v>0</v>
      </c>
      <c r="G64" s="39"/>
      <c r="H64" s="39">
        <f t="shared" ca="1" si="9"/>
        <v>91.9</v>
      </c>
      <c r="I64" s="63" t="str">
        <f t="shared" ca="1" si="10"/>
        <v>19</v>
      </c>
      <c r="J64" s="39" cm="1">
        <f t="array" aca="1" ref="J64" ca="1">+_xlfn.IFS(AND(I64&gt;="0",I64&lt;"25"),H64-(I64/10),AND(I64&gt;="25",I64&lt;"50"),H64+(5-(I64/10)),AND(I64&gt;="50",I64&lt;"75"),H64-((I64-50)/10),I64&gt;="75",H64+(10-(I64/10)))</f>
        <v>90</v>
      </c>
      <c r="K64" s="39">
        <f t="shared" ca="1" si="11"/>
        <v>0</v>
      </c>
      <c r="L64" s="39"/>
      <c r="M64" s="39"/>
      <c r="N64" s="39"/>
    </row>
    <row r="65" spans="1:14" ht="15.6" x14ac:dyDescent="0.3">
      <c r="A65" s="39"/>
      <c r="B65" s="58">
        <f ca="1">+'N° de Obs.'!M22</f>
        <v>100</v>
      </c>
      <c r="C65" s="39">
        <f ca="1">+'N° de Obs.'!N22</f>
        <v>8978</v>
      </c>
      <c r="D65" s="58">
        <f t="shared" ca="1" si="6"/>
        <v>90.87</v>
      </c>
      <c r="E65" s="39">
        <f t="shared" ca="1" si="7"/>
        <v>90</v>
      </c>
      <c r="F65" s="58">
        <f t="shared" ca="1" si="8"/>
        <v>10</v>
      </c>
      <c r="G65" s="39"/>
      <c r="H65" s="39">
        <f t="shared" ca="1" si="9"/>
        <v>90.9</v>
      </c>
      <c r="I65" s="63" t="str">
        <f t="shared" ca="1" si="10"/>
        <v>09</v>
      </c>
      <c r="J65" s="39" cm="1">
        <f t="array" aca="1" ref="J65" ca="1">+_xlfn.IFS(AND(I65&gt;="0",I65&lt;"25"),H65-(I65/10),AND(I65&gt;="25",I65&lt;"50"),H65+(5-(I65/10)),AND(I65&gt;="50",I65&lt;"75"),H65-((I65-50)/10),I65&gt;="75",H65+(10-(I65/10)))</f>
        <v>90</v>
      </c>
      <c r="K65" s="39">
        <f t="shared" ca="1" si="11"/>
        <v>10</v>
      </c>
      <c r="L65" s="39"/>
      <c r="M65" s="39"/>
      <c r="N65" s="39"/>
    </row>
    <row r="66" spans="1:14" ht="15.6" x14ac:dyDescent="0.3">
      <c r="A66" s="39"/>
      <c r="B66" s="58">
        <f ca="1">+'N° de Obs.'!M23</f>
        <v>90</v>
      </c>
      <c r="C66" s="39">
        <f ca="1">+'N° de Obs.'!N23</f>
        <v>8866</v>
      </c>
      <c r="D66" s="58">
        <f t="shared" ca="1" si="6"/>
        <v>92.01</v>
      </c>
      <c r="E66" s="39">
        <f t="shared" ca="1" si="7"/>
        <v>90</v>
      </c>
      <c r="F66" s="58">
        <f t="shared" ca="1" si="8"/>
        <v>0</v>
      </c>
      <c r="G66" s="39"/>
      <c r="H66" s="39">
        <f t="shared" ca="1" si="9"/>
        <v>92</v>
      </c>
      <c r="I66" s="63" t="str">
        <f t="shared" ca="1" si="10"/>
        <v>20</v>
      </c>
      <c r="J66" s="39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39">
        <f t="shared" ca="1" si="11"/>
        <v>0</v>
      </c>
      <c r="L66" s="39"/>
      <c r="M66" s="39"/>
      <c r="N66" s="39"/>
    </row>
    <row r="67" spans="1:14" ht="15.6" x14ac:dyDescent="0.3">
      <c r="A67" s="39"/>
      <c r="B67" s="58">
        <f ca="1">+'N° de Obs.'!M24</f>
        <v>85</v>
      </c>
      <c r="C67" s="39">
        <f ca="1">+'N° de Obs.'!N24</f>
        <v>8910</v>
      </c>
      <c r="D67" s="58">
        <f t="shared" ca="1" si="6"/>
        <v>91.56</v>
      </c>
      <c r="E67" s="39">
        <f t="shared" ca="1" si="7"/>
        <v>90</v>
      </c>
      <c r="F67" s="58">
        <f t="shared" ca="1" si="8"/>
        <v>-5</v>
      </c>
      <c r="G67" s="39"/>
      <c r="H67" s="39">
        <f t="shared" ca="1" si="9"/>
        <v>91.6</v>
      </c>
      <c r="I67" s="63" t="str">
        <f t="shared" ca="1" si="10"/>
        <v>16</v>
      </c>
      <c r="J67" s="39" cm="1">
        <f t="array" aca="1" ref="J67" ca="1">+_xlfn.IFS(AND(I67&gt;="0",I67&lt;"25"),H67-(I67/10),AND(I67&gt;="25",I67&lt;"50"),H67+(5-(I67/10)),AND(I67&gt;="50",I67&lt;"75"),H67-((I67-50)/10),I67&gt;="75",H67+(10-(I67/10)))</f>
        <v>90</v>
      </c>
      <c r="K67" s="39">
        <f t="shared" ca="1" si="11"/>
        <v>5</v>
      </c>
      <c r="L67" s="39"/>
      <c r="M67" s="39"/>
      <c r="N67" s="39"/>
    </row>
    <row r="68" spans="1:14" ht="15.6" x14ac:dyDescent="0.3">
      <c r="A68" s="39"/>
      <c r="B68" s="59">
        <f ca="1">+'N° de Obs.'!M25</f>
        <v>100</v>
      </c>
      <c r="C68" s="39">
        <f ca="1">+'N° de Obs.'!N25</f>
        <v>8954</v>
      </c>
      <c r="D68" s="59">
        <f t="shared" ca="1" si="6"/>
        <v>91.11</v>
      </c>
      <c r="E68" s="55">
        <f t="shared" ca="1" si="7"/>
        <v>90</v>
      </c>
      <c r="F68" s="59">
        <f t="shared" ca="1" si="8"/>
        <v>10</v>
      </c>
      <c r="G68" s="39"/>
      <c r="H68" s="39">
        <f t="shared" ca="1" si="9"/>
        <v>91.1</v>
      </c>
      <c r="I68" s="63" t="str">
        <f t="shared" ca="1" si="10"/>
        <v>11</v>
      </c>
      <c r="J68" s="39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39">
        <f t="shared" ca="1" si="11"/>
        <v>10</v>
      </c>
      <c r="L68" s="39"/>
      <c r="M68" s="39"/>
      <c r="N68" s="39"/>
    </row>
    <row r="69" spans="1:14" ht="15.6" x14ac:dyDescent="0.3">
      <c r="A69" s="39"/>
      <c r="B69" s="130" t="s">
        <v>91</v>
      </c>
      <c r="C69" s="138"/>
      <c r="D69" s="138"/>
      <c r="E69" s="138"/>
      <c r="F69" s="61">
        <f ca="1">+SUMIF(K49:K68,"&lt;=10",F49:F68)</f>
        <v>25</v>
      </c>
      <c r="G69" s="39"/>
      <c r="H69" s="39"/>
      <c r="I69" s="39"/>
      <c r="J69" s="39"/>
      <c r="K69" s="39">
        <f ca="1">+COUNTIF(K49:K68,"&lt;=10")</f>
        <v>20</v>
      </c>
      <c r="L69" s="39"/>
      <c r="M69" s="39"/>
      <c r="N69" s="39"/>
    </row>
    <row r="70" spans="1:14" ht="15.6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1:14" ht="15.6" x14ac:dyDescent="0.3">
      <c r="A71" s="39"/>
      <c r="B71" s="39">
        <v>100</v>
      </c>
      <c r="C71" s="39">
        <f ca="1">+ROUND(AVERAGE('N° de Obs.'!O6:O25),0)</f>
        <v>8158</v>
      </c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</row>
    <row r="72" spans="1:14" ht="15.6" x14ac:dyDescent="0.3">
      <c r="A72" s="39"/>
      <c r="B72" s="39"/>
      <c r="C72" s="39"/>
      <c r="D72" s="55"/>
      <c r="E72" s="55"/>
      <c r="F72" s="39"/>
      <c r="G72" s="39"/>
      <c r="H72" s="39"/>
      <c r="I72" s="39"/>
      <c r="J72" s="39"/>
      <c r="K72" s="39"/>
      <c r="L72" s="39"/>
      <c r="M72" s="39"/>
      <c r="N72" s="39"/>
    </row>
    <row r="73" spans="1:14" ht="15.6" x14ac:dyDescent="0.3">
      <c r="A73" s="39"/>
      <c r="B73" s="39"/>
      <c r="C73" s="39"/>
      <c r="D73" s="51" t="s">
        <v>85</v>
      </c>
      <c r="E73" s="51" t="s">
        <v>86</v>
      </c>
      <c r="F73" s="39"/>
      <c r="G73" s="39"/>
      <c r="H73" s="39"/>
      <c r="I73" s="39"/>
      <c r="J73" s="39"/>
      <c r="K73" s="39"/>
      <c r="L73" s="39"/>
      <c r="M73" s="39"/>
      <c r="N73" s="39"/>
    </row>
    <row r="74" spans="1:14" ht="15.6" x14ac:dyDescent="0.3">
      <c r="A74" s="39"/>
      <c r="B74" s="39"/>
      <c r="C74" s="39"/>
      <c r="D74" s="58" t="s">
        <v>88</v>
      </c>
      <c r="E74" s="58" t="s">
        <v>25</v>
      </c>
      <c r="F74" s="39"/>
      <c r="G74" s="39"/>
      <c r="H74" s="39"/>
      <c r="I74" s="39"/>
      <c r="J74" s="39"/>
      <c r="K74" s="39"/>
      <c r="L74" s="39"/>
      <c r="M74" s="39"/>
      <c r="N74" s="39"/>
    </row>
    <row r="75" spans="1:14" ht="15.6" x14ac:dyDescent="0.3">
      <c r="A75" s="39"/>
      <c r="B75" s="39"/>
      <c r="C75" s="39"/>
      <c r="D75" s="58" t="s">
        <v>96</v>
      </c>
      <c r="E75" s="68">
        <v>100</v>
      </c>
      <c r="F75" s="39"/>
      <c r="G75" s="39"/>
      <c r="H75" s="39"/>
      <c r="I75" s="39"/>
      <c r="J75" s="39"/>
      <c r="K75" s="39"/>
      <c r="L75" s="39"/>
      <c r="M75" s="39"/>
      <c r="N75" s="39"/>
    </row>
    <row r="76" spans="1:14" ht="15.6" x14ac:dyDescent="0.3">
      <c r="A76" s="39"/>
      <c r="B76" s="39"/>
      <c r="C76" s="39"/>
      <c r="D76" s="58" t="s">
        <v>20</v>
      </c>
      <c r="E76" s="58">
        <f ca="1">+C71</f>
        <v>8158</v>
      </c>
      <c r="F76" s="39"/>
      <c r="G76" s="39"/>
      <c r="H76" s="39"/>
      <c r="I76" s="39"/>
      <c r="J76" s="39"/>
      <c r="K76" s="39"/>
      <c r="L76" s="39"/>
      <c r="M76" s="39"/>
      <c r="N76" s="39"/>
    </row>
    <row r="77" spans="1:14" ht="31.2" x14ac:dyDescent="0.3">
      <c r="A77" s="39"/>
      <c r="B77" s="39"/>
      <c r="C77" s="39"/>
      <c r="D77" s="66" t="s">
        <v>98</v>
      </c>
      <c r="E77" s="58">
        <f ca="1">+K69</f>
        <v>20</v>
      </c>
      <c r="F77" s="39"/>
      <c r="G77" s="39"/>
      <c r="H77" s="39"/>
      <c r="I77" s="39"/>
      <c r="J77" s="39"/>
      <c r="K77" s="39"/>
      <c r="L77" s="39"/>
      <c r="M77" s="39"/>
      <c r="N77" s="39"/>
    </row>
    <row r="78" spans="1:14" ht="15.6" x14ac:dyDescent="0.3">
      <c r="A78" s="39"/>
      <c r="B78" s="39"/>
      <c r="C78" s="39"/>
      <c r="D78" s="67" t="s">
        <v>95</v>
      </c>
      <c r="E78" s="59">
        <f ca="1">+F69</f>
        <v>25</v>
      </c>
      <c r="F78" s="39"/>
      <c r="G78" s="39"/>
      <c r="H78" s="39"/>
      <c r="I78" s="39"/>
      <c r="J78" s="39"/>
      <c r="K78" s="39"/>
      <c r="L78" s="39"/>
      <c r="M78" s="39"/>
      <c r="N78" s="39"/>
    </row>
    <row r="79" spans="1:14" ht="31.2" x14ac:dyDescent="0.3">
      <c r="A79" s="39"/>
      <c r="B79" s="39"/>
      <c r="C79" s="39"/>
      <c r="D79" s="41" t="s">
        <v>97</v>
      </c>
      <c r="E79" s="57" t="str">
        <f ca="1">+CONCATENATE(ROUND((F69/K69*5)/5,2)," %")</f>
        <v>1.25 %</v>
      </c>
      <c r="F79" s="39"/>
      <c r="G79" s="39"/>
      <c r="H79" s="39"/>
      <c r="I79" s="39"/>
      <c r="J79" s="39"/>
      <c r="K79" s="39"/>
      <c r="L79" s="39"/>
      <c r="M79" s="39"/>
      <c r="N79" s="39"/>
    </row>
    <row r="80" spans="1:14" ht="15.6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</row>
    <row r="81" spans="1:14" ht="15.6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</row>
    <row r="82" spans="1:14" ht="15.6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1:14" ht="15.6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</row>
    <row r="84" spans="1:14" ht="15.6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 spans="1:14" ht="15.6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</row>
    <row r="86" spans="1:14" ht="15.6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spans="1:14" ht="15.6" x14ac:dyDescent="0.3">
      <c r="A87" s="39"/>
      <c r="B87" s="39"/>
      <c r="C87" s="39"/>
      <c r="D87" s="39"/>
      <c r="E87" s="139" t="str">
        <f>+'N° de Obs.'!G30</f>
        <v>Elemento J</v>
      </c>
      <c r="F87" s="139"/>
      <c r="G87" s="39"/>
      <c r="H87" s="39"/>
      <c r="I87" s="39"/>
      <c r="J87" s="39"/>
      <c r="K87" s="39"/>
      <c r="L87" s="39"/>
      <c r="M87" s="39"/>
      <c r="N87" s="39"/>
    </row>
    <row r="88" spans="1:14" ht="15.6" x14ac:dyDescent="0.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spans="1:14" ht="15.6" x14ac:dyDescent="0.3">
      <c r="A89" s="39"/>
      <c r="B89" s="55"/>
      <c r="C89" s="55"/>
      <c r="D89" s="55"/>
      <c r="E89" s="55"/>
      <c r="F89" s="55"/>
      <c r="G89" s="39"/>
      <c r="H89" s="39"/>
      <c r="I89" s="39"/>
      <c r="J89" s="39"/>
      <c r="K89" s="39"/>
      <c r="L89" s="39"/>
      <c r="M89" s="39"/>
      <c r="N89" s="39"/>
    </row>
    <row r="90" spans="1:14" ht="15.6" x14ac:dyDescent="0.3">
      <c r="A90" s="39"/>
      <c r="B90" s="51" t="s">
        <v>26</v>
      </c>
      <c r="C90" s="69" t="s">
        <v>93</v>
      </c>
      <c r="D90" s="51" t="s">
        <v>94</v>
      </c>
      <c r="E90" s="69" t="s">
        <v>27</v>
      </c>
      <c r="F90" s="51" t="s">
        <v>95</v>
      </c>
      <c r="G90" s="39"/>
      <c r="H90" s="39"/>
      <c r="I90" s="39"/>
      <c r="J90" s="39"/>
      <c r="K90" s="39"/>
      <c r="L90" s="39"/>
      <c r="M90" s="39"/>
      <c r="N90" s="39"/>
    </row>
    <row r="91" spans="1:14" ht="15.6" x14ac:dyDescent="0.3">
      <c r="A91" s="39"/>
      <c r="B91" s="58">
        <f ca="1">+'N° de Obs.'!D34</f>
        <v>105</v>
      </c>
      <c r="C91" s="39">
        <f ca="1">+'N° de Obs.'!E34</f>
        <v>37698</v>
      </c>
      <c r="D91" s="58">
        <f ca="1">+ROUND($B$113*$C$113/C91,2)</f>
        <v>96</v>
      </c>
      <c r="E91" s="39">
        <f ca="1">+J91</f>
        <v>95</v>
      </c>
      <c r="F91" s="58">
        <f ca="1">+B91-E91</f>
        <v>10</v>
      </c>
      <c r="G91" s="39"/>
      <c r="H91" s="39">
        <f ca="1">+ROUND(D91,1)</f>
        <v>96</v>
      </c>
      <c r="I91" s="63" t="str">
        <f ca="1">+RIGHT(H91*10,2)</f>
        <v>60</v>
      </c>
      <c r="J91" s="39" cm="1">
        <f t="array" aca="1" ref="J91" ca="1">+_xlfn.IFS(AND(I91&gt;="0",I91&lt;"25"),H91-(I91/10),AND(I91&gt;="25",I91&lt;"50"),H91+(5-(I91/10)),AND(I91&gt;="50",I91&lt;"75"),H91-((I91-50)/10),I91&gt;="75",H91+(10-(I91/10)))</f>
        <v>95</v>
      </c>
      <c r="K91" s="39">
        <f ca="1">+ABS(F91)</f>
        <v>10</v>
      </c>
      <c r="L91" s="39"/>
      <c r="M91" s="39"/>
      <c r="N91" s="39"/>
    </row>
    <row r="92" spans="1:14" ht="15.6" x14ac:dyDescent="0.3">
      <c r="A92" s="39"/>
      <c r="B92" s="58">
        <f ca="1">+'N° de Obs.'!D35</f>
        <v>95</v>
      </c>
      <c r="C92" s="39">
        <f ca="1">+'N° de Obs.'!E35</f>
        <v>38084</v>
      </c>
      <c r="D92" s="58">
        <f t="shared" ref="D92:D110" ca="1" si="12">+ROUND($B$113*$C$113/C92,2)</f>
        <v>95.02</v>
      </c>
      <c r="E92" s="39">
        <f t="shared" ref="E92:E110" ca="1" si="13">+J92</f>
        <v>95</v>
      </c>
      <c r="F92" s="58">
        <f t="shared" ref="F92:F110" ca="1" si="14">+B92-E92</f>
        <v>0</v>
      </c>
      <c r="G92" s="39"/>
      <c r="H92" s="39">
        <f t="shared" ref="H92:H110" ca="1" si="15">+ROUND(D92,1)</f>
        <v>95</v>
      </c>
      <c r="I92" s="63" t="str">
        <f t="shared" ref="I92:I110" ca="1" si="16">+RIGHT(H92*10,2)</f>
        <v>50</v>
      </c>
      <c r="J92" s="39" cm="1">
        <f t="array" aca="1" ref="J92" ca="1">+_xlfn.IFS(AND(I92&gt;="0",I92&lt;"25"),H92-(I92/10),AND(I92&gt;="25",I92&lt;"50"),H92+(5-(I92/10)),AND(I92&gt;="50",I92&lt;"75"),H92-((I92-50)/10),I92&gt;="75",H92+(10-(I92/10)))</f>
        <v>95</v>
      </c>
      <c r="K92" s="39">
        <f t="shared" ref="K92:K110" ca="1" si="17">+ABS(F92)</f>
        <v>0</v>
      </c>
      <c r="L92" s="39"/>
      <c r="M92" s="39"/>
      <c r="N92" s="39"/>
    </row>
    <row r="93" spans="1:14" ht="15.6" x14ac:dyDescent="0.3">
      <c r="A93" s="39"/>
      <c r="B93" s="58">
        <f ca="1">+'N° de Obs.'!D36</f>
        <v>95</v>
      </c>
      <c r="C93" s="39">
        <f ca="1">+'N° de Obs.'!E36</f>
        <v>36622</v>
      </c>
      <c r="D93" s="58">
        <f t="shared" ca="1" si="12"/>
        <v>98.82</v>
      </c>
      <c r="E93" s="39">
        <f t="shared" ca="1" si="13"/>
        <v>100</v>
      </c>
      <c r="F93" s="58">
        <f t="shared" ca="1" si="14"/>
        <v>-5</v>
      </c>
      <c r="G93" s="39"/>
      <c r="H93" s="39">
        <f t="shared" ca="1" si="15"/>
        <v>98.8</v>
      </c>
      <c r="I93" s="63" t="str">
        <f t="shared" ca="1" si="16"/>
        <v>88</v>
      </c>
      <c r="J93" s="39" cm="1">
        <f t="array" aca="1" ref="J93" ca="1">+_xlfn.IFS(AND(I93&gt;="0",I93&lt;"25"),H93-(I93/10),AND(I93&gt;="25",I93&lt;"50"),H93+(5-(I93/10)),AND(I93&gt;="50",I93&lt;"75"),H93-((I93-50)/10),I93&gt;="75",H93+(10-(I93/10)))</f>
        <v>100</v>
      </c>
      <c r="K93" s="39">
        <f t="shared" ca="1" si="17"/>
        <v>5</v>
      </c>
      <c r="L93" s="39"/>
      <c r="M93" s="39"/>
      <c r="N93" s="39"/>
    </row>
    <row r="94" spans="1:14" ht="15.6" x14ac:dyDescent="0.3">
      <c r="A94" s="39"/>
      <c r="B94" s="58">
        <f ca="1">+'N° de Obs.'!D37</f>
        <v>90</v>
      </c>
      <c r="C94" s="39">
        <f ca="1">+'N° de Obs.'!E37</f>
        <v>38104</v>
      </c>
      <c r="D94" s="58">
        <f t="shared" ca="1" si="12"/>
        <v>94.97</v>
      </c>
      <c r="E94" s="39">
        <f t="shared" ca="1" si="13"/>
        <v>95</v>
      </c>
      <c r="F94" s="58">
        <f t="shared" ca="1" si="14"/>
        <v>-5</v>
      </c>
      <c r="G94" s="39"/>
      <c r="H94" s="39">
        <f t="shared" ca="1" si="15"/>
        <v>95</v>
      </c>
      <c r="I94" s="63" t="str">
        <f t="shared" ca="1" si="16"/>
        <v>50</v>
      </c>
      <c r="J94" s="39" cm="1">
        <f t="array" aca="1" ref="J94" ca="1">+_xlfn.IFS(AND(I94&gt;="0",I94&lt;"25"),H94-(I94/10),AND(I94&gt;="25",I94&lt;"50"),H94+(5-(I94/10)),AND(I94&gt;="50",I94&lt;"75"),H94-((I94-50)/10),I94&gt;="75",H94+(10-(I94/10)))</f>
        <v>95</v>
      </c>
      <c r="K94" s="39">
        <f t="shared" ca="1" si="17"/>
        <v>5</v>
      </c>
      <c r="L94" s="39"/>
      <c r="M94" s="39"/>
      <c r="N94" s="39"/>
    </row>
    <row r="95" spans="1:14" ht="15.6" x14ac:dyDescent="0.3">
      <c r="A95" s="39"/>
      <c r="B95" s="58">
        <f ca="1">+'N° de Obs.'!D38</f>
        <v>105</v>
      </c>
      <c r="C95" s="39">
        <f ca="1">+'N° de Obs.'!E38</f>
        <v>36750</v>
      </c>
      <c r="D95" s="58">
        <f t="shared" ca="1" si="12"/>
        <v>98.47</v>
      </c>
      <c r="E95" s="39">
        <f t="shared" ca="1" si="13"/>
        <v>100</v>
      </c>
      <c r="F95" s="58">
        <f t="shared" ca="1" si="14"/>
        <v>5</v>
      </c>
      <c r="G95" s="39"/>
      <c r="H95" s="39">
        <f t="shared" ca="1" si="15"/>
        <v>98.5</v>
      </c>
      <c r="I95" s="63" t="str">
        <f t="shared" ca="1" si="16"/>
        <v>85</v>
      </c>
      <c r="J95" s="39" cm="1">
        <f t="array" aca="1" ref="J95" ca="1">+_xlfn.IFS(AND(I95&gt;="0",I95&lt;"25"),H95-(I95/10),AND(I95&gt;="25",I95&lt;"50"),H95+(5-(I95/10)),AND(I95&gt;="50",I95&lt;"75"),H95-((I95-50)/10),I95&gt;="75",H95+(10-(I95/10)))</f>
        <v>100</v>
      </c>
      <c r="K95" s="39">
        <f t="shared" ca="1" si="17"/>
        <v>5</v>
      </c>
      <c r="L95" s="39"/>
      <c r="M95" s="39"/>
      <c r="N95" s="39"/>
    </row>
    <row r="96" spans="1:14" ht="15.6" x14ac:dyDescent="0.3">
      <c r="A96" s="39"/>
      <c r="B96" s="58">
        <f ca="1">+'N° de Obs.'!D39</f>
        <v>95</v>
      </c>
      <c r="C96" s="39">
        <f ca="1">+'N° de Obs.'!E39</f>
        <v>37327</v>
      </c>
      <c r="D96" s="58">
        <f t="shared" ca="1" si="12"/>
        <v>96.95</v>
      </c>
      <c r="E96" s="39">
        <f t="shared" ca="1" si="13"/>
        <v>95</v>
      </c>
      <c r="F96" s="58">
        <f t="shared" ca="1" si="14"/>
        <v>0</v>
      </c>
      <c r="G96" s="39"/>
      <c r="H96" s="39">
        <f t="shared" ca="1" si="15"/>
        <v>97</v>
      </c>
      <c r="I96" s="63" t="str">
        <f t="shared" ca="1" si="16"/>
        <v>70</v>
      </c>
      <c r="J96" s="39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39">
        <f t="shared" ca="1" si="17"/>
        <v>0</v>
      </c>
      <c r="L96" s="39"/>
      <c r="M96" s="39"/>
      <c r="N96" s="39"/>
    </row>
    <row r="97" spans="1:14" ht="15.6" x14ac:dyDescent="0.3">
      <c r="A97" s="39"/>
      <c r="B97" s="58">
        <f ca="1">+'N° de Obs.'!D40</f>
        <v>90</v>
      </c>
      <c r="C97" s="39">
        <f ca="1">+'N° de Obs.'!E40</f>
        <v>38276</v>
      </c>
      <c r="D97" s="58">
        <f t="shared" ca="1" si="12"/>
        <v>94.55</v>
      </c>
      <c r="E97" s="39">
        <f t="shared" ca="1" si="13"/>
        <v>95</v>
      </c>
      <c r="F97" s="58">
        <f t="shared" ca="1" si="14"/>
        <v>-5</v>
      </c>
      <c r="G97" s="39"/>
      <c r="H97" s="39">
        <f t="shared" ca="1" si="15"/>
        <v>94.6</v>
      </c>
      <c r="I97" s="63" t="str">
        <f t="shared" ca="1" si="16"/>
        <v>46</v>
      </c>
      <c r="J97" s="39" cm="1">
        <f t="array" aca="1" ref="J97" ca="1">+_xlfn.IFS(AND(I97&gt;="0",I97&lt;"25"),H97-(I97/10),AND(I97&gt;="25",I97&lt;"50"),H97+(5-(I97/10)),AND(I97&gt;="50",I97&lt;"75"),H97-((I97-50)/10),I97&gt;="75",H97+(10-(I97/10)))</f>
        <v>95</v>
      </c>
      <c r="K97" s="39">
        <f t="shared" ca="1" si="17"/>
        <v>5</v>
      </c>
      <c r="L97" s="39"/>
      <c r="M97" s="39"/>
      <c r="N97" s="39"/>
    </row>
    <row r="98" spans="1:14" ht="15.6" x14ac:dyDescent="0.3">
      <c r="A98" s="39"/>
      <c r="B98" s="58">
        <f ca="1">+'N° de Obs.'!D41</f>
        <v>85</v>
      </c>
      <c r="C98" s="39">
        <f ca="1">+'N° de Obs.'!E41</f>
        <v>37081</v>
      </c>
      <c r="D98" s="58">
        <f t="shared" ca="1" si="12"/>
        <v>97.59</v>
      </c>
      <c r="E98" s="39">
        <f t="shared" ca="1" si="13"/>
        <v>100</v>
      </c>
      <c r="F98" s="58">
        <f t="shared" ca="1" si="14"/>
        <v>-15</v>
      </c>
      <c r="G98" s="39"/>
      <c r="H98" s="39">
        <f t="shared" ca="1" si="15"/>
        <v>97.6</v>
      </c>
      <c r="I98" s="63" t="str">
        <f t="shared" ca="1" si="16"/>
        <v>76</v>
      </c>
      <c r="J98" s="39" cm="1">
        <f t="array" aca="1" ref="J98" ca="1">+_xlfn.IFS(AND(I98&gt;="0",I98&lt;"25"),H98-(I98/10),AND(I98&gt;="25",I98&lt;"50"),H98+(5-(I98/10)),AND(I98&gt;="50",I98&lt;"75"),H98-((I98-50)/10),I98&gt;="75",H98+(10-(I98/10)))</f>
        <v>100</v>
      </c>
      <c r="K98" s="39">
        <f t="shared" ca="1" si="17"/>
        <v>15</v>
      </c>
      <c r="L98" s="39"/>
      <c r="M98" s="39"/>
      <c r="N98" s="39"/>
    </row>
    <row r="99" spans="1:14" ht="15.6" x14ac:dyDescent="0.3">
      <c r="A99" s="39"/>
      <c r="B99" s="58">
        <f ca="1">+'N° de Obs.'!D42</f>
        <v>100</v>
      </c>
      <c r="C99" s="39">
        <f ca="1">+'N° de Obs.'!E42</f>
        <v>38458</v>
      </c>
      <c r="D99" s="58">
        <f t="shared" ca="1" si="12"/>
        <v>94.1</v>
      </c>
      <c r="E99" s="39">
        <f t="shared" ca="1" si="13"/>
        <v>95</v>
      </c>
      <c r="F99" s="58">
        <f t="shared" ca="1" si="14"/>
        <v>5</v>
      </c>
      <c r="G99" s="39"/>
      <c r="H99" s="39">
        <f t="shared" ca="1" si="15"/>
        <v>94.1</v>
      </c>
      <c r="I99" s="63" t="str">
        <f t="shared" ca="1" si="16"/>
        <v>41</v>
      </c>
      <c r="J99" s="39" cm="1">
        <f t="array" aca="1" ref="J99" ca="1">+_xlfn.IFS(AND(I99&gt;="0",I99&lt;"25"),H99-(I99/10),AND(I99&gt;="25",I99&lt;"50"),H99+(5-(I99/10)),AND(I99&gt;="50",I99&lt;"75"),H99-((I99-50)/10),I99&gt;="75",H99+(10-(I99/10)))</f>
        <v>95</v>
      </c>
      <c r="K99" s="39">
        <f t="shared" ca="1" si="17"/>
        <v>5</v>
      </c>
      <c r="L99" s="39"/>
      <c r="M99" s="39"/>
      <c r="N99" s="39"/>
    </row>
    <row r="100" spans="1:14" ht="15.6" x14ac:dyDescent="0.3">
      <c r="A100" s="39"/>
      <c r="B100" s="58">
        <f ca="1">+'N° de Obs.'!D43</f>
        <v>105</v>
      </c>
      <c r="C100" s="39">
        <f ca="1">+'N° de Obs.'!E43</f>
        <v>37819</v>
      </c>
      <c r="D100" s="58">
        <f t="shared" ca="1" si="12"/>
        <v>95.69</v>
      </c>
      <c r="E100" s="39">
        <f t="shared" ca="1" si="13"/>
        <v>95</v>
      </c>
      <c r="F100" s="58">
        <f t="shared" ca="1" si="14"/>
        <v>10</v>
      </c>
      <c r="G100" s="39"/>
      <c r="H100" s="39">
        <f t="shared" ca="1" si="15"/>
        <v>95.7</v>
      </c>
      <c r="I100" s="63" t="str">
        <f t="shared" ca="1" si="16"/>
        <v>57</v>
      </c>
      <c r="J100" s="39" cm="1">
        <f t="array" aca="1" ref="J100" ca="1">+_xlfn.IFS(AND(I100&gt;="0",I100&lt;"25"),H100-(I100/10),AND(I100&gt;="25",I100&lt;"50"),H100+(5-(I100/10)),AND(I100&gt;="50",I100&lt;"75"),H100-((I100-50)/10),I100&gt;="75",H100+(10-(I100/10)))</f>
        <v>95</v>
      </c>
      <c r="K100" s="39">
        <f t="shared" ca="1" si="17"/>
        <v>10</v>
      </c>
      <c r="L100" s="39"/>
      <c r="M100" s="39"/>
      <c r="N100" s="39"/>
    </row>
    <row r="101" spans="1:14" ht="15.6" x14ac:dyDescent="0.3">
      <c r="A101" s="39"/>
      <c r="B101" s="58">
        <f ca="1">+'N° de Obs.'!D44</f>
        <v>85</v>
      </c>
      <c r="C101" s="39">
        <f ca="1">+'N° de Obs.'!E44</f>
        <v>38119</v>
      </c>
      <c r="D101" s="58">
        <f t="shared" ca="1" si="12"/>
        <v>94.94</v>
      </c>
      <c r="E101" s="39">
        <f t="shared" ca="1" si="13"/>
        <v>95</v>
      </c>
      <c r="F101" s="58">
        <f t="shared" ca="1" si="14"/>
        <v>-10</v>
      </c>
      <c r="G101" s="39"/>
      <c r="H101" s="39">
        <f t="shared" ca="1" si="15"/>
        <v>94.9</v>
      </c>
      <c r="I101" s="63" t="str">
        <f t="shared" ca="1" si="16"/>
        <v>49</v>
      </c>
      <c r="J101" s="39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39">
        <f t="shared" ca="1" si="17"/>
        <v>10</v>
      </c>
      <c r="L101" s="39"/>
      <c r="M101" s="39"/>
      <c r="N101" s="39"/>
    </row>
    <row r="102" spans="1:14" ht="15.6" x14ac:dyDescent="0.3">
      <c r="A102" s="39"/>
      <c r="B102" s="58">
        <f ca="1">+'N° de Obs.'!D45</f>
        <v>100</v>
      </c>
      <c r="C102" s="39">
        <f ca="1">+'N° de Obs.'!E45</f>
        <v>38051</v>
      </c>
      <c r="D102" s="58">
        <f t="shared" ca="1" si="12"/>
        <v>95.11</v>
      </c>
      <c r="E102" s="39">
        <f t="shared" ca="1" si="13"/>
        <v>95</v>
      </c>
      <c r="F102" s="58">
        <f t="shared" ca="1" si="14"/>
        <v>5</v>
      </c>
      <c r="G102" s="39"/>
      <c r="H102" s="39">
        <f t="shared" ca="1" si="15"/>
        <v>95.1</v>
      </c>
      <c r="I102" s="63" t="str">
        <f t="shared" ca="1" si="16"/>
        <v>51</v>
      </c>
      <c r="J102" s="39" cm="1">
        <f t="array" aca="1" ref="J102" ca="1">+_xlfn.IFS(AND(I102&gt;="0",I102&lt;"25"),H102-(I102/10),AND(I102&gt;="25",I102&lt;"50"),H102+(5-(I102/10)),AND(I102&gt;="50",I102&lt;"75"),H102-((I102-50)/10),I102&gt;="75",H102+(10-(I102/10)))</f>
        <v>95</v>
      </c>
      <c r="K102" s="39">
        <f t="shared" ca="1" si="17"/>
        <v>5</v>
      </c>
      <c r="L102" s="39"/>
      <c r="M102" s="39"/>
      <c r="N102" s="39"/>
    </row>
    <row r="103" spans="1:14" ht="15.6" x14ac:dyDescent="0.3">
      <c r="A103" s="39"/>
      <c r="B103" s="58">
        <f ca="1">+'N° de Obs.'!D46</f>
        <v>95</v>
      </c>
      <c r="C103" s="39">
        <f ca="1">+'N° de Obs.'!E46</f>
        <v>36977</v>
      </c>
      <c r="D103" s="58">
        <f t="shared" ca="1" si="12"/>
        <v>97.87</v>
      </c>
      <c r="E103" s="39">
        <f t="shared" ca="1" si="13"/>
        <v>100</v>
      </c>
      <c r="F103" s="58">
        <f t="shared" ca="1" si="14"/>
        <v>-5</v>
      </c>
      <c r="G103" s="39"/>
      <c r="H103" s="39">
        <f t="shared" ca="1" si="15"/>
        <v>97.9</v>
      </c>
      <c r="I103" s="63" t="str">
        <f t="shared" ca="1" si="16"/>
        <v>79</v>
      </c>
      <c r="J103" s="39" cm="1">
        <f t="array" aca="1" ref="J103" ca="1">+_xlfn.IFS(AND(I103&gt;="0",I103&lt;"25"),H103-(I103/10),AND(I103&gt;="25",I103&lt;"50"),H103+(5-(I103/10)),AND(I103&gt;="50",I103&lt;"75"),H103-((I103-50)/10),I103&gt;="75",H103+(10-(I103/10)))</f>
        <v>100</v>
      </c>
      <c r="K103" s="39">
        <f t="shared" ca="1" si="17"/>
        <v>5</v>
      </c>
      <c r="L103" s="39"/>
      <c r="M103" s="39"/>
      <c r="N103" s="39"/>
    </row>
    <row r="104" spans="1:14" ht="15.6" x14ac:dyDescent="0.3">
      <c r="A104" s="39"/>
      <c r="B104" s="58">
        <f ca="1">+'N° de Obs.'!D47</f>
        <v>95</v>
      </c>
      <c r="C104" s="39">
        <f ca="1">+'N° de Obs.'!E47</f>
        <v>36506</v>
      </c>
      <c r="D104" s="58">
        <f t="shared" ca="1" si="12"/>
        <v>99.13</v>
      </c>
      <c r="E104" s="39">
        <f t="shared" ca="1" si="13"/>
        <v>100</v>
      </c>
      <c r="F104" s="58">
        <f t="shared" ca="1" si="14"/>
        <v>-5</v>
      </c>
      <c r="G104" s="39"/>
      <c r="H104" s="39">
        <f t="shared" ca="1" si="15"/>
        <v>99.1</v>
      </c>
      <c r="I104" s="63" t="str">
        <f t="shared" ca="1" si="16"/>
        <v>91</v>
      </c>
      <c r="J104" s="39" cm="1">
        <f t="array" aca="1" ref="J104" ca="1">+_xlfn.IFS(AND(I104&gt;="0",I104&lt;"25"),H104-(I104/10),AND(I104&gt;="25",I104&lt;"50"),H104+(5-(I104/10)),AND(I104&gt;="50",I104&lt;"75"),H104-((I104-50)/10),I104&gt;="75",H104+(10-(I104/10)))</f>
        <v>100</v>
      </c>
      <c r="K104" s="39">
        <f t="shared" ca="1" si="17"/>
        <v>5</v>
      </c>
      <c r="L104" s="39"/>
      <c r="M104" s="39"/>
      <c r="N104" s="39"/>
    </row>
    <row r="105" spans="1:14" ht="15.6" x14ac:dyDescent="0.3">
      <c r="A105" s="39"/>
      <c r="B105" s="58">
        <f ca="1">+'N° de Obs.'!D48</f>
        <v>100</v>
      </c>
      <c r="C105" s="39">
        <f ca="1">+'N° de Obs.'!E48</f>
        <v>36946</v>
      </c>
      <c r="D105" s="58">
        <f t="shared" ca="1" si="12"/>
        <v>97.95</v>
      </c>
      <c r="E105" s="39">
        <f t="shared" ca="1" si="13"/>
        <v>100</v>
      </c>
      <c r="F105" s="58">
        <f t="shared" ca="1" si="14"/>
        <v>0</v>
      </c>
      <c r="G105" s="39"/>
      <c r="H105" s="39">
        <f t="shared" ca="1" si="15"/>
        <v>98</v>
      </c>
      <c r="I105" s="63" t="str">
        <f t="shared" ca="1" si="16"/>
        <v>80</v>
      </c>
      <c r="J105" s="39" cm="1">
        <f t="array" aca="1" ref="J105" ca="1">+_xlfn.IFS(AND(I105&gt;="0",I105&lt;"25"),H105-(I105/10),AND(I105&gt;="25",I105&lt;"50"),H105+(5-(I105/10)),AND(I105&gt;="50",I105&lt;"75"),H105-((I105-50)/10),I105&gt;="75",H105+(10-(I105/10)))</f>
        <v>100</v>
      </c>
      <c r="K105" s="39">
        <f t="shared" ca="1" si="17"/>
        <v>0</v>
      </c>
      <c r="L105" s="39"/>
      <c r="M105" s="39"/>
      <c r="N105" s="39"/>
    </row>
    <row r="106" spans="1:14" ht="15.6" x14ac:dyDescent="0.3">
      <c r="A106" s="39"/>
      <c r="B106" s="58">
        <f ca="1">+'N° de Obs.'!D49</f>
        <v>105</v>
      </c>
      <c r="C106" s="39">
        <f ca="1">+'N° de Obs.'!E49</f>
        <v>38068</v>
      </c>
      <c r="D106" s="58">
        <f t="shared" ca="1" si="12"/>
        <v>95.06</v>
      </c>
      <c r="E106" s="39">
        <f t="shared" ca="1" si="13"/>
        <v>95</v>
      </c>
      <c r="F106" s="58">
        <f t="shared" ca="1" si="14"/>
        <v>10</v>
      </c>
      <c r="G106" s="39"/>
      <c r="H106" s="39">
        <f t="shared" ca="1" si="15"/>
        <v>95.1</v>
      </c>
      <c r="I106" s="63" t="str">
        <f t="shared" ca="1" si="16"/>
        <v>51</v>
      </c>
      <c r="J106" s="39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39">
        <f t="shared" ca="1" si="17"/>
        <v>10</v>
      </c>
      <c r="L106" s="39"/>
      <c r="M106" s="39"/>
      <c r="N106" s="39"/>
    </row>
    <row r="107" spans="1:14" ht="15.6" x14ac:dyDescent="0.3">
      <c r="A107" s="39"/>
      <c r="B107" s="58">
        <f ca="1">+'N° de Obs.'!D50</f>
        <v>90</v>
      </c>
      <c r="C107" s="39">
        <f ca="1">+'N° de Obs.'!E50</f>
        <v>38023</v>
      </c>
      <c r="D107" s="58">
        <f t="shared" ca="1" si="12"/>
        <v>95.18</v>
      </c>
      <c r="E107" s="39">
        <f t="shared" ca="1" si="13"/>
        <v>95</v>
      </c>
      <c r="F107" s="58">
        <f t="shared" ca="1" si="14"/>
        <v>-5</v>
      </c>
      <c r="G107" s="39"/>
      <c r="H107" s="39">
        <f t="shared" ca="1" si="15"/>
        <v>95.2</v>
      </c>
      <c r="I107" s="63" t="str">
        <f t="shared" ca="1" si="16"/>
        <v>52</v>
      </c>
      <c r="J107" s="39" cm="1">
        <f t="array" aca="1" ref="J107" ca="1">+_xlfn.IFS(AND(I107&gt;="0",I107&lt;"25"),H107-(I107/10),AND(I107&gt;="25",I107&lt;"50"),H107+(5-(I107/10)),AND(I107&gt;="50",I107&lt;"75"),H107-((I107-50)/10),I107&gt;="75",H107+(10-(I107/10)))</f>
        <v>95</v>
      </c>
      <c r="K107" s="39">
        <f t="shared" ca="1" si="17"/>
        <v>5</v>
      </c>
      <c r="L107" s="39"/>
      <c r="M107" s="39"/>
      <c r="N107" s="39"/>
    </row>
    <row r="108" spans="1:14" ht="15.6" x14ac:dyDescent="0.3">
      <c r="A108" s="39"/>
      <c r="B108" s="58">
        <f ca="1">+'N° de Obs.'!D51</f>
        <v>100</v>
      </c>
      <c r="C108" s="39">
        <f ca="1">+'N° de Obs.'!E51</f>
        <v>36727</v>
      </c>
      <c r="D108" s="58">
        <f t="shared" ca="1" si="12"/>
        <v>98.54</v>
      </c>
      <c r="E108" s="39">
        <f t="shared" ca="1" si="13"/>
        <v>100</v>
      </c>
      <c r="F108" s="58">
        <f t="shared" ca="1" si="14"/>
        <v>0</v>
      </c>
      <c r="G108" s="39"/>
      <c r="H108" s="39">
        <f t="shared" ca="1" si="15"/>
        <v>98.5</v>
      </c>
      <c r="I108" s="63" t="str">
        <f t="shared" ca="1" si="16"/>
        <v>85</v>
      </c>
      <c r="J108" s="39" cm="1">
        <f t="array" aca="1" ref="J108" ca="1">+_xlfn.IFS(AND(I108&gt;="0",I108&lt;"25"),H108-(I108/10),AND(I108&gt;="25",I108&lt;"50"),H108+(5-(I108/10)),AND(I108&gt;="50",I108&lt;"75"),H108-((I108-50)/10),I108&gt;="75",H108+(10-(I108/10)))</f>
        <v>100</v>
      </c>
      <c r="K108" s="39">
        <f t="shared" ca="1" si="17"/>
        <v>0</v>
      </c>
      <c r="L108" s="39"/>
      <c r="M108" s="39"/>
      <c r="N108" s="39"/>
    </row>
    <row r="109" spans="1:14" ht="15.6" x14ac:dyDescent="0.3">
      <c r="A109" s="39"/>
      <c r="B109" s="58">
        <f ca="1">+'N° de Obs.'!D52</f>
        <v>95</v>
      </c>
      <c r="C109" s="39">
        <f ca="1">+'N° de Obs.'!E52</f>
        <v>36894</v>
      </c>
      <c r="D109" s="58">
        <f t="shared" ca="1" si="12"/>
        <v>98.09</v>
      </c>
      <c r="E109" s="39">
        <f t="shared" ca="1" si="13"/>
        <v>100</v>
      </c>
      <c r="F109" s="58">
        <f t="shared" ca="1" si="14"/>
        <v>-5</v>
      </c>
      <c r="G109" s="39"/>
      <c r="H109" s="39">
        <f t="shared" ca="1" si="15"/>
        <v>98.1</v>
      </c>
      <c r="I109" s="63" t="str">
        <f t="shared" ca="1" si="16"/>
        <v>81</v>
      </c>
      <c r="J109" s="39" cm="1">
        <f t="array" aca="1" ref="J109" ca="1">+_xlfn.IFS(AND(I109&gt;="0",I109&lt;"25"),H109-(I109/10),AND(I109&gt;="25",I109&lt;"50"),H109+(5-(I109/10)),AND(I109&gt;="50",I109&lt;"75"),H109-((I109-50)/10),I109&gt;="75",H109+(10-(I109/10)))</f>
        <v>100</v>
      </c>
      <c r="K109" s="39">
        <f t="shared" ca="1" si="17"/>
        <v>5</v>
      </c>
      <c r="L109" s="39"/>
      <c r="M109" s="39"/>
      <c r="N109" s="39"/>
    </row>
    <row r="110" spans="1:14" ht="15.6" x14ac:dyDescent="0.3">
      <c r="A110" s="39"/>
      <c r="B110" s="59">
        <f ca="1">+'N° de Obs.'!D53</f>
        <v>100</v>
      </c>
      <c r="C110" s="39">
        <f ca="1">+'N° de Obs.'!E53</f>
        <v>37569</v>
      </c>
      <c r="D110" s="59">
        <f t="shared" ca="1" si="12"/>
        <v>96.33</v>
      </c>
      <c r="E110" s="55">
        <f t="shared" ca="1" si="13"/>
        <v>95</v>
      </c>
      <c r="F110" s="59">
        <f t="shared" ca="1" si="14"/>
        <v>5</v>
      </c>
      <c r="G110" s="39"/>
      <c r="H110" s="39">
        <f t="shared" ca="1" si="15"/>
        <v>96.3</v>
      </c>
      <c r="I110" s="63" t="str">
        <f t="shared" ca="1" si="16"/>
        <v>63</v>
      </c>
      <c r="J110" s="39" cm="1">
        <f t="array" aca="1" ref="J110" ca="1">+_xlfn.IFS(AND(I110&gt;="0",I110&lt;"25"),H110-(I110/10),AND(I110&gt;="25",I110&lt;"50"),H110+(5-(I110/10)),AND(I110&gt;="50",I110&lt;"75"),H110-((I110-50)/10),I110&gt;="75",H110+(10-(I110/10)))</f>
        <v>95</v>
      </c>
      <c r="K110" s="39">
        <f t="shared" ca="1" si="17"/>
        <v>5</v>
      </c>
      <c r="L110" s="39"/>
      <c r="M110" s="39"/>
      <c r="N110" s="39"/>
    </row>
    <row r="111" spans="1:14" ht="15.6" x14ac:dyDescent="0.3">
      <c r="A111" s="39"/>
      <c r="B111" s="130" t="s">
        <v>91</v>
      </c>
      <c r="C111" s="138"/>
      <c r="D111" s="138"/>
      <c r="E111" s="138"/>
      <c r="F111" s="61">
        <f ca="1">+SUMIF(K91:K110,"&lt;=10",F91:F110)</f>
        <v>5</v>
      </c>
      <c r="G111" s="39"/>
      <c r="H111" s="39"/>
      <c r="I111" s="39"/>
      <c r="J111" s="39"/>
      <c r="K111" s="39">
        <f ca="1">+COUNTIF(K91:K110,"&lt;=10")</f>
        <v>19</v>
      </c>
      <c r="L111" s="39"/>
      <c r="M111" s="39"/>
      <c r="N111" s="39"/>
    </row>
    <row r="112" spans="1:14" ht="15.6" x14ac:dyDescent="0.3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spans="1:14" ht="15.6" x14ac:dyDescent="0.3">
      <c r="A113" s="39"/>
      <c r="B113" s="39">
        <v>100</v>
      </c>
      <c r="C113" s="39">
        <f ca="1">+ROUND(AVERAGE('N° de Obs.'!F34:F53),0)</f>
        <v>36189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 spans="1:14" ht="15.6" x14ac:dyDescent="0.3">
      <c r="A114" s="39"/>
      <c r="B114" s="39"/>
      <c r="C114" s="39"/>
      <c r="D114" s="55"/>
      <c r="E114" s="55"/>
      <c r="F114" s="39"/>
      <c r="G114" s="39"/>
      <c r="H114" s="39"/>
      <c r="I114" s="39"/>
      <c r="J114" s="39"/>
      <c r="K114" s="39"/>
      <c r="L114" s="39"/>
      <c r="M114" s="39"/>
      <c r="N114" s="39"/>
    </row>
    <row r="115" spans="1:14" ht="15.6" x14ac:dyDescent="0.3">
      <c r="A115" s="39"/>
      <c r="B115" s="39"/>
      <c r="C115" s="39"/>
      <c r="D115" s="51" t="s">
        <v>85</v>
      </c>
      <c r="E115" s="51" t="s">
        <v>86</v>
      </c>
      <c r="F115" s="39"/>
      <c r="G115" s="39"/>
      <c r="H115" s="39"/>
      <c r="I115" s="39"/>
      <c r="J115" s="39"/>
      <c r="K115" s="39"/>
      <c r="L115" s="39"/>
      <c r="M115" s="39"/>
      <c r="N115" s="39"/>
    </row>
    <row r="116" spans="1:14" ht="15.6" x14ac:dyDescent="0.3">
      <c r="A116" s="39"/>
      <c r="B116" s="39"/>
      <c r="C116" s="39"/>
      <c r="D116" s="58" t="s">
        <v>88</v>
      </c>
      <c r="E116" s="58" t="s">
        <v>25</v>
      </c>
      <c r="F116" s="39"/>
      <c r="G116" s="39"/>
      <c r="H116" s="39"/>
      <c r="I116" s="39"/>
      <c r="J116" s="39"/>
      <c r="K116" s="39"/>
      <c r="L116" s="39"/>
      <c r="M116" s="39"/>
      <c r="N116" s="39"/>
    </row>
    <row r="117" spans="1:14" ht="15.6" x14ac:dyDescent="0.3">
      <c r="A117" s="39"/>
      <c r="B117" s="39"/>
      <c r="C117" s="39"/>
      <c r="D117" s="58" t="s">
        <v>96</v>
      </c>
      <c r="E117" s="68">
        <v>100</v>
      </c>
      <c r="F117" s="39"/>
      <c r="G117" s="39"/>
      <c r="H117" s="39"/>
      <c r="I117" s="39"/>
      <c r="J117" s="39"/>
      <c r="K117" s="39"/>
      <c r="L117" s="39"/>
      <c r="M117" s="39"/>
      <c r="N117" s="39"/>
    </row>
    <row r="118" spans="1:14" ht="15.6" x14ac:dyDescent="0.3">
      <c r="A118" s="39"/>
      <c r="B118" s="39"/>
      <c r="C118" s="39"/>
      <c r="D118" s="58" t="s">
        <v>20</v>
      </c>
      <c r="E118" s="58">
        <f ca="1">+C113</f>
        <v>36189</v>
      </c>
      <c r="F118" s="39"/>
      <c r="G118" s="39"/>
      <c r="H118" s="39"/>
      <c r="I118" s="39"/>
      <c r="J118" s="39"/>
      <c r="K118" s="39"/>
      <c r="L118" s="39"/>
      <c r="M118" s="39"/>
      <c r="N118" s="39"/>
    </row>
    <row r="119" spans="1:14" ht="31.2" x14ac:dyDescent="0.3">
      <c r="A119" s="39"/>
      <c r="B119" s="39"/>
      <c r="C119" s="39"/>
      <c r="D119" s="66" t="s">
        <v>98</v>
      </c>
      <c r="E119" s="58">
        <f ca="1">+K111</f>
        <v>19</v>
      </c>
      <c r="F119" s="39"/>
      <c r="G119" s="39"/>
      <c r="H119" s="39"/>
      <c r="I119" s="39"/>
      <c r="J119" s="39"/>
      <c r="K119" s="39"/>
      <c r="L119" s="39"/>
      <c r="M119" s="39"/>
      <c r="N119" s="39"/>
    </row>
    <row r="120" spans="1:14" ht="15.6" x14ac:dyDescent="0.3">
      <c r="A120" s="39"/>
      <c r="B120" s="39"/>
      <c r="C120" s="39"/>
      <c r="D120" s="67" t="s">
        <v>95</v>
      </c>
      <c r="E120" s="59">
        <f ca="1">+F111</f>
        <v>5</v>
      </c>
      <c r="F120" s="39"/>
      <c r="G120" s="39"/>
      <c r="H120" s="39"/>
      <c r="I120" s="39"/>
      <c r="J120" s="39"/>
      <c r="K120" s="39"/>
      <c r="L120" s="39"/>
      <c r="M120" s="39"/>
      <c r="N120" s="39"/>
    </row>
    <row r="121" spans="1:14" ht="31.2" x14ac:dyDescent="0.3">
      <c r="A121" s="39"/>
      <c r="B121" s="39"/>
      <c r="C121" s="39"/>
      <c r="D121" s="41" t="s">
        <v>97</v>
      </c>
      <c r="E121" s="57" t="str">
        <f ca="1">+CONCATENATE(ROUND((F111/K111*5)/5,2)," %")</f>
        <v>0.26 %</v>
      </c>
      <c r="F121" s="39"/>
      <c r="G121" s="39"/>
      <c r="H121" s="39"/>
      <c r="I121" s="39"/>
      <c r="J121" s="39"/>
      <c r="K121" s="39"/>
      <c r="L121" s="39"/>
      <c r="M121" s="39"/>
      <c r="N121" s="39"/>
    </row>
    <row r="122" spans="1:14" ht="15.6" x14ac:dyDescent="0.3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spans="1:14" ht="15.6" x14ac:dyDescent="0.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 spans="1:14" ht="15.6" x14ac:dyDescent="0.3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1:14" ht="15.6" x14ac:dyDescent="0.3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</sheetData>
  <mergeCells count="7">
    <mergeCell ref="B111:E111"/>
    <mergeCell ref="E87:F87"/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F2D5-2C64-473B-A005-858449BC7DA4}">
  <dimension ref="A2:AJ100"/>
  <sheetViews>
    <sheetView topLeftCell="A67" workbookViewId="0">
      <selection activeCell="R87" sqref="R87"/>
    </sheetView>
  </sheetViews>
  <sheetFormatPr baseColWidth="10" defaultRowHeight="14.4" x14ac:dyDescent="0.3"/>
  <cols>
    <col min="10" max="10" width="2.44140625" customWidth="1"/>
    <col min="16" max="16" width="2.5546875" bestFit="1" customWidth="1"/>
  </cols>
  <sheetData>
    <row r="2" spans="1:36" x14ac:dyDescent="0.3">
      <c r="D2" s="134" t="str">
        <f>+'N° de Obs.'!G2</f>
        <v>Elemento P</v>
      </c>
      <c r="E2" s="135"/>
    </row>
    <row r="3" spans="1:36" s="35" customFormat="1" ht="15.6" x14ac:dyDescent="0.3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</row>
    <row r="4" spans="1:36" ht="15.6" x14ac:dyDescent="0.3">
      <c r="A4" s="39"/>
      <c r="B4" s="45" t="s">
        <v>18</v>
      </c>
      <c r="C4" s="45" t="s">
        <v>19</v>
      </c>
      <c r="D4" s="45" t="s">
        <v>20</v>
      </c>
      <c r="E4" s="70" t="s">
        <v>112</v>
      </c>
      <c r="F4" s="70" t="s">
        <v>113</v>
      </c>
      <c r="G4" s="70" t="s">
        <v>114</v>
      </c>
      <c r="H4" s="70" t="s">
        <v>115</v>
      </c>
      <c r="I4" s="71" t="s">
        <v>87</v>
      </c>
      <c r="J4" s="71" t="s">
        <v>116</v>
      </c>
      <c r="K4" s="72">
        <f ca="1">ROUNDDOWN(H28,0)</f>
        <v>377</v>
      </c>
      <c r="L4" s="39"/>
      <c r="M4" s="39"/>
      <c r="N4" s="39"/>
      <c r="O4" s="39"/>
      <c r="P4" s="39"/>
      <c r="Q4" s="39"/>
      <c r="R4" s="39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</row>
    <row r="5" spans="1:36" ht="15.6" x14ac:dyDescent="0.3">
      <c r="A5" s="39"/>
      <c r="B5" s="57">
        <f ca="1">+'N° de Obs.'!D6</f>
        <v>95</v>
      </c>
      <c r="C5" s="57">
        <f ca="1">+'N° de Obs.'!E6</f>
        <v>8792</v>
      </c>
      <c r="D5" s="57">
        <f ca="1">+'N° de Obs.'!F6</f>
        <v>8352.4</v>
      </c>
      <c r="E5" s="57">
        <f ca="1">IF(I5="","",IFERROR(F5*G5,""))</f>
        <v>0</v>
      </c>
      <c r="F5" s="57">
        <f ca="1">IF(I5="","",IFERROR(G5*H5,""))</f>
        <v>0</v>
      </c>
      <c r="G5" s="57">
        <f ca="1">IF(I5="","",ROW($V1)-1)</f>
        <v>0</v>
      </c>
      <c r="H5" s="57">
        <f ca="1">IF(I5="","",COUNTIF($D$5:$D$24,"&lt;="&amp;$J6))</f>
        <v>1</v>
      </c>
      <c r="I5" s="57">
        <f ca="1">ROUND(H27,0)</f>
        <v>7553</v>
      </c>
      <c r="J5" s="75"/>
      <c r="K5" s="61" t="s">
        <v>29</v>
      </c>
      <c r="L5" s="39"/>
      <c r="M5" s="39"/>
      <c r="N5" s="57" t="s">
        <v>117</v>
      </c>
      <c r="O5" s="57">
        <f ca="1">F10/H10</f>
        <v>1.9</v>
      </c>
      <c r="P5" s="39"/>
      <c r="Q5" s="39"/>
      <c r="R5" s="39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</row>
    <row r="6" spans="1:36" ht="15.6" x14ac:dyDescent="0.3">
      <c r="A6" s="39"/>
      <c r="B6" s="57">
        <f ca="1">+'N° de Obs.'!D7</f>
        <v>95</v>
      </c>
      <c r="C6" s="57">
        <f ca="1">+'N° de Obs.'!E7</f>
        <v>8742</v>
      </c>
      <c r="D6" s="57">
        <f ca="1">+'N° de Obs.'!F7</f>
        <v>8304.9</v>
      </c>
      <c r="E6" s="57">
        <f t="shared" ref="E6:E9" ca="1" si="0">IF(I6="","",IFERROR(F6*G6,""))</f>
        <v>7</v>
      </c>
      <c r="F6" s="57">
        <f t="shared" ref="F6:F9" ca="1" si="1">IF(I6="","",IFERROR(G6*H6,""))</f>
        <v>7</v>
      </c>
      <c r="G6" s="57">
        <f t="shared" ref="G6:G9" ca="1" si="2">IF(I6="","",ROW($V2)-1)</f>
        <v>1</v>
      </c>
      <c r="H6" s="57">
        <f ca="1">IF(I6="","",COUNTIFS($D$5:$D$24,"&lt;="&amp;$J7,$D$5:$D$24,"&gt;"&amp;$J6))</f>
        <v>7</v>
      </c>
      <c r="I6" s="57">
        <f ca="1">IFERROR(IF($I5+$K$4&lt;=$M$28,$I5+$K$4,""),"")</f>
        <v>7930</v>
      </c>
      <c r="J6" s="76">
        <f ca="1">IF(I5="","",IFERROR(($I5+$I6)/2,MAX($D$5:$D$24)))</f>
        <v>7741.5</v>
      </c>
      <c r="K6" s="61" t="s">
        <v>139</v>
      </c>
      <c r="L6" s="39"/>
      <c r="M6" s="39"/>
      <c r="N6" s="57" t="s">
        <v>118</v>
      </c>
      <c r="O6" s="57">
        <f ca="1">E10/H10</f>
        <v>4.7</v>
      </c>
      <c r="P6" s="39"/>
      <c r="Q6" s="39"/>
      <c r="R6" s="39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</row>
    <row r="7" spans="1:36" ht="15.6" x14ac:dyDescent="0.3">
      <c r="A7" s="39"/>
      <c r="B7" s="57">
        <f ca="1">+'N° de Obs.'!D8</f>
        <v>90</v>
      </c>
      <c r="C7" s="57">
        <f ca="1">+'N° de Obs.'!E8</f>
        <v>8879</v>
      </c>
      <c r="D7" s="57">
        <f ca="1">+'N° de Obs.'!F8</f>
        <v>7991.1</v>
      </c>
      <c r="E7" s="57">
        <f t="shared" ca="1" si="0"/>
        <v>28</v>
      </c>
      <c r="F7" s="57">
        <f t="shared" ca="1" si="1"/>
        <v>14</v>
      </c>
      <c r="G7" s="57">
        <f t="shared" ca="1" si="2"/>
        <v>2</v>
      </c>
      <c r="H7" s="57">
        <f t="shared" ref="H7:H9" ca="1" si="3">IF(I7="","",COUNTIFS($D$5:$D$24,"&lt;="&amp;$J8,$D$5:$D$24,"&gt;"&amp;$J7))</f>
        <v>7</v>
      </c>
      <c r="I7" s="57">
        <f ca="1">IFERROR(IF($I6+$K$4&lt;=$M$28,$I6+$K$4,""),"")</f>
        <v>8307</v>
      </c>
      <c r="J7" s="76">
        <f t="shared" ref="J7:J10" ca="1" si="4">IF(I6="","",IFERROR(($I6+$I7)/2,MAX($D$5:$D$24)))</f>
        <v>8118.5</v>
      </c>
      <c r="K7" s="61" t="s">
        <v>139</v>
      </c>
      <c r="L7" s="39"/>
      <c r="M7" s="39"/>
      <c r="N7" s="39"/>
      <c r="O7" s="39"/>
      <c r="P7" s="39"/>
      <c r="Q7" s="39"/>
      <c r="R7" s="39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 spans="1:36" ht="15.6" x14ac:dyDescent="0.3">
      <c r="A8" s="39"/>
      <c r="B8" s="57">
        <f ca="1">+'N° de Obs.'!D9</f>
        <v>90</v>
      </c>
      <c r="C8" s="57">
        <f ca="1">+'N° de Obs.'!E9</f>
        <v>8750</v>
      </c>
      <c r="D8" s="57">
        <f ca="1">+'N° de Obs.'!F9</f>
        <v>7875</v>
      </c>
      <c r="E8" s="57">
        <f t="shared" ca="1" si="0"/>
        <v>27</v>
      </c>
      <c r="F8" s="57">
        <f t="shared" ca="1" si="1"/>
        <v>9</v>
      </c>
      <c r="G8" s="57">
        <f t="shared" ca="1" si="2"/>
        <v>3</v>
      </c>
      <c r="H8" s="57">
        <f t="shared" ca="1" si="3"/>
        <v>3</v>
      </c>
      <c r="I8" s="57">
        <f ca="1">IFERROR(IF($I7+$K$4&lt;=$M$28,$I7+$K$4,""),"")</f>
        <v>8684</v>
      </c>
      <c r="J8" s="76">
        <f t="shared" ca="1" si="4"/>
        <v>8495.5</v>
      </c>
      <c r="K8" s="61" t="s">
        <v>140</v>
      </c>
      <c r="L8" s="39"/>
      <c r="M8" s="39"/>
      <c r="N8" s="57" t="s">
        <v>119</v>
      </c>
      <c r="O8" s="57">
        <f ca="1">H27+(K4*O5)</f>
        <v>8269.4</v>
      </c>
      <c r="P8" s="39"/>
      <c r="Q8" s="39"/>
      <c r="R8" s="39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</row>
    <row r="9" spans="1:36" ht="16.2" thickBot="1" x14ac:dyDescent="0.35">
      <c r="A9" s="39"/>
      <c r="B9" s="57">
        <f ca="1">+'N° de Obs.'!D10</f>
        <v>105</v>
      </c>
      <c r="C9" s="57">
        <f ca="1">+'N° de Obs.'!E10</f>
        <v>8711</v>
      </c>
      <c r="D9" s="57">
        <f ca="1">+'N° de Obs.'!F10</f>
        <v>9146.5499999999993</v>
      </c>
      <c r="E9" s="57">
        <f t="shared" ca="1" si="0"/>
        <v>32</v>
      </c>
      <c r="F9" s="57">
        <f t="shared" ca="1" si="1"/>
        <v>8</v>
      </c>
      <c r="G9" s="57">
        <f t="shared" ca="1" si="2"/>
        <v>4</v>
      </c>
      <c r="H9" s="57">
        <f t="shared" ca="1" si="3"/>
        <v>2</v>
      </c>
      <c r="I9" s="57">
        <f ca="1">IFERROR(IF($I8+$K$4&lt;=$M$28,$I8+$K$4,""),"")</f>
        <v>9061</v>
      </c>
      <c r="J9" s="76">
        <f t="shared" ca="1" si="4"/>
        <v>8872.5</v>
      </c>
      <c r="K9" s="61" t="s">
        <v>141</v>
      </c>
      <c r="L9" s="39"/>
      <c r="M9" s="39"/>
      <c r="N9" s="57" t="s">
        <v>120</v>
      </c>
      <c r="O9" s="77">
        <f ca="1">K4*(SQRT(O6-POWER(O5,2)))</f>
        <v>393.59955538592777</v>
      </c>
      <c r="P9" s="39"/>
      <c r="Q9" s="39"/>
      <c r="R9" s="39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</row>
    <row r="10" spans="1:36" ht="16.2" thickBot="1" x14ac:dyDescent="0.35">
      <c r="A10" s="39"/>
      <c r="B10" s="57">
        <f ca="1">+'N° de Obs.'!D11</f>
        <v>95</v>
      </c>
      <c r="C10" s="57">
        <f ca="1">+'N° de Obs.'!E11</f>
        <v>8707</v>
      </c>
      <c r="D10" s="57">
        <f ca="1">+'N° de Obs.'!F11</f>
        <v>8271.65</v>
      </c>
      <c r="E10" s="73">
        <f ca="1">SUM(E5:E17)</f>
        <v>94</v>
      </c>
      <c r="F10" s="74">
        <f ca="1">SUM(F5:F17)</f>
        <v>38</v>
      </c>
      <c r="G10" s="39"/>
      <c r="H10" s="74">
        <f ca="1">SUM(H5:H17)</f>
        <v>20</v>
      </c>
      <c r="I10" s="78" t="str">
        <f ca="1">IFERROR(IF($I9+$K$4&lt;=$M$28,$I9+$K$4,""),"")</f>
        <v/>
      </c>
      <c r="J10" s="79">
        <f t="shared" ca="1" si="4"/>
        <v>9151.7999999999993</v>
      </c>
      <c r="K10" s="39"/>
      <c r="L10" s="39"/>
      <c r="M10" s="39"/>
      <c r="N10" s="39"/>
      <c r="O10" s="39"/>
      <c r="P10" s="39"/>
      <c r="Q10" s="39"/>
      <c r="R10" s="3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</row>
    <row r="11" spans="1:36" ht="15.6" x14ac:dyDescent="0.3">
      <c r="A11" s="39"/>
      <c r="B11" s="57">
        <f ca="1">+'N° de Obs.'!D12</f>
        <v>90</v>
      </c>
      <c r="C11" s="57">
        <f ca="1">+'N° de Obs.'!E12</f>
        <v>8864</v>
      </c>
      <c r="D11" s="57">
        <f ca="1">+'N° de Obs.'!F12</f>
        <v>7977.6</v>
      </c>
      <c r="E11" s="39"/>
      <c r="F11" s="39"/>
      <c r="G11" s="39"/>
      <c r="H11" s="39"/>
      <c r="I11" s="39"/>
      <c r="J11" s="39"/>
      <c r="K11" s="39"/>
      <c r="L11" s="39"/>
      <c r="M11" s="39"/>
      <c r="N11" s="57" t="s">
        <v>121</v>
      </c>
      <c r="O11" s="57">
        <f ca="1">(O9*100)/O8</f>
        <v>4.7597111687175344</v>
      </c>
      <c r="P11" s="57" t="s">
        <v>8</v>
      </c>
      <c r="Q11" s="39"/>
      <c r="R11" s="39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</row>
    <row r="12" spans="1:36" ht="15.6" x14ac:dyDescent="0.3">
      <c r="A12" s="39"/>
      <c r="B12" s="57">
        <f ca="1">+'N° de Obs.'!D13</f>
        <v>100</v>
      </c>
      <c r="C12" s="57">
        <f ca="1">+'N° de Obs.'!E13</f>
        <v>8862</v>
      </c>
      <c r="D12" s="57">
        <f ca="1">+'N° de Obs.'!F13</f>
        <v>8862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</row>
    <row r="13" spans="1:36" ht="15.6" x14ac:dyDescent="0.3">
      <c r="A13" s="39"/>
      <c r="B13" s="57">
        <f ca="1">+'N° de Obs.'!D14</f>
        <v>100</v>
      </c>
      <c r="C13" s="57">
        <f ca="1">+'N° de Obs.'!E14</f>
        <v>8836</v>
      </c>
      <c r="D13" s="57">
        <f ca="1">+'N° de Obs.'!F14</f>
        <v>8836</v>
      </c>
      <c r="E13" s="39"/>
      <c r="F13" s="39"/>
      <c r="G13" s="39"/>
      <c r="H13" s="39"/>
      <c r="I13" s="39"/>
      <c r="J13" s="39"/>
      <c r="K13" s="39"/>
      <c r="L13" s="39"/>
      <c r="M13" s="39"/>
      <c r="N13" s="144" t="str">
        <f ca="1">IF(O11&lt;6,"Se puede continuar con el estudio","No se puede continuar con el estudio")</f>
        <v>Se puede continuar con el estudio</v>
      </c>
      <c r="O13" s="144"/>
      <c r="P13" s="39"/>
      <c r="Q13" s="39"/>
      <c r="R13" s="39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</row>
    <row r="14" spans="1:36" ht="15.6" x14ac:dyDescent="0.3">
      <c r="A14" s="39"/>
      <c r="B14" s="57">
        <f ca="1">+'N° de Obs.'!D15</f>
        <v>90</v>
      </c>
      <c r="C14" s="57">
        <f ca="1">+'N° de Obs.'!E15</f>
        <v>8857</v>
      </c>
      <c r="D14" s="57">
        <f ca="1">+'N° de Obs.'!F15</f>
        <v>7971.3</v>
      </c>
      <c r="E14" s="39"/>
      <c r="F14" s="39"/>
      <c r="G14" s="39"/>
      <c r="H14" s="39"/>
      <c r="I14" s="39"/>
      <c r="J14" s="39"/>
      <c r="K14" s="39"/>
      <c r="L14" s="39"/>
      <c r="M14" s="39"/>
      <c r="N14" s="144"/>
      <c r="O14" s="144"/>
      <c r="P14" s="39"/>
      <c r="Q14" s="39"/>
      <c r="R14" s="39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spans="1:36" ht="15.6" x14ac:dyDescent="0.3">
      <c r="A15" s="39"/>
      <c r="B15" s="57">
        <f ca="1">+'N° de Obs.'!D16</f>
        <v>105</v>
      </c>
      <c r="C15" s="57">
        <f ca="1">+'N° de Obs.'!E16</f>
        <v>8716</v>
      </c>
      <c r="D15" s="57">
        <f ca="1">+'N° de Obs.'!F16</f>
        <v>9151.7999999999993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</row>
    <row r="16" spans="1:36" ht="15.6" x14ac:dyDescent="0.3">
      <c r="A16" s="39"/>
      <c r="B16" s="57">
        <f ca="1">+'N° de Obs.'!D17</f>
        <v>90</v>
      </c>
      <c r="C16" s="57">
        <f ca="1">+'N° de Obs.'!E17</f>
        <v>8834</v>
      </c>
      <c r="D16" s="57">
        <f ca="1">+'N° de Obs.'!F17</f>
        <v>7950.6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</row>
    <row r="17" spans="1:36" ht="15.6" x14ac:dyDescent="0.3">
      <c r="A17" s="39"/>
      <c r="B17" s="57">
        <f ca="1">+'N° de Obs.'!D18</f>
        <v>95</v>
      </c>
      <c r="C17" s="57">
        <f ca="1">+'N° de Obs.'!E18</f>
        <v>8889</v>
      </c>
      <c r="D17" s="57">
        <f ca="1">+'N° de Obs.'!F18</f>
        <v>8444.5499999999993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</row>
    <row r="18" spans="1:36" ht="15.6" x14ac:dyDescent="0.3">
      <c r="A18" s="39"/>
      <c r="B18" s="57">
        <f ca="1">+'N° de Obs.'!D19</f>
        <v>95</v>
      </c>
      <c r="C18" s="57">
        <f ca="1">+'N° de Obs.'!E19</f>
        <v>8837</v>
      </c>
      <c r="D18" s="57">
        <f ca="1">+'N° de Obs.'!F19</f>
        <v>8395.15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</row>
    <row r="19" spans="1:36" ht="15.6" x14ac:dyDescent="0.3">
      <c r="A19" s="39"/>
      <c r="B19" s="57">
        <f ca="1">+'N° de Obs.'!D20</f>
        <v>85</v>
      </c>
      <c r="C19" s="57">
        <f ca="1">+'N° de Obs.'!E20</f>
        <v>8886</v>
      </c>
      <c r="D19" s="57">
        <f ca="1">+'N° de Obs.'!F20</f>
        <v>7553.1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</row>
    <row r="20" spans="1:36" ht="15.6" x14ac:dyDescent="0.3">
      <c r="A20" s="39"/>
      <c r="B20" s="57">
        <f ca="1">+'N° de Obs.'!D21</f>
        <v>90</v>
      </c>
      <c r="C20" s="57">
        <f ca="1">+'N° de Obs.'!E21</f>
        <v>8828</v>
      </c>
      <c r="D20" s="57">
        <f ca="1">+'N° de Obs.'!F21</f>
        <v>7945.2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</row>
    <row r="21" spans="1:36" ht="15.6" x14ac:dyDescent="0.3">
      <c r="A21" s="39"/>
      <c r="B21" s="57">
        <f ca="1">+'N° de Obs.'!D22</f>
        <v>95</v>
      </c>
      <c r="C21" s="57">
        <f ca="1">+'N° de Obs.'!E22</f>
        <v>8831</v>
      </c>
      <c r="D21" s="57">
        <f ca="1">+'N° de Obs.'!F22</f>
        <v>8389.4500000000007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</row>
    <row r="22" spans="1:36" ht="15.6" x14ac:dyDescent="0.3">
      <c r="A22" s="39"/>
      <c r="B22" s="57">
        <f ca="1">+'N° de Obs.'!D23</f>
        <v>90</v>
      </c>
      <c r="C22" s="57">
        <f ca="1">+'N° de Obs.'!E23</f>
        <v>8832</v>
      </c>
      <c r="D22" s="57">
        <f ca="1">+'N° de Obs.'!F23</f>
        <v>7948.8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</row>
    <row r="23" spans="1:36" ht="15.6" x14ac:dyDescent="0.3">
      <c r="A23" s="39"/>
      <c r="B23" s="57">
        <f ca="1">+'N° de Obs.'!D24</f>
        <v>100</v>
      </c>
      <c r="C23" s="57">
        <f ca="1">+'N° de Obs.'!E24</f>
        <v>8859</v>
      </c>
      <c r="D23" s="57">
        <f ca="1">+'N° de Obs.'!F24</f>
        <v>8859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15.6" x14ac:dyDescent="0.3">
      <c r="A24" s="39"/>
      <c r="B24" s="57">
        <f ca="1">+'N° de Obs.'!D25</f>
        <v>95</v>
      </c>
      <c r="C24" s="57">
        <f ca="1">+'N° de Obs.'!E25</f>
        <v>8835</v>
      </c>
      <c r="D24" s="57">
        <f ca="1">+'N° de Obs.'!F25</f>
        <v>8393.25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</row>
    <row r="25" spans="1:36" ht="15.6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1:36" ht="15.6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1:36" ht="15.6" x14ac:dyDescent="0.3">
      <c r="A27" s="39"/>
      <c r="B27" s="39"/>
      <c r="C27" s="39"/>
      <c r="D27" s="57" t="s">
        <v>23</v>
      </c>
      <c r="E27" s="57">
        <f ca="1">COUNTA(C5:C24)</f>
        <v>20</v>
      </c>
      <c r="F27" s="39"/>
      <c r="G27" s="39"/>
      <c r="H27" s="57">
        <f ca="1">MIN(D5:D24)</f>
        <v>7553.1</v>
      </c>
      <c r="I27" s="60">
        <v>100</v>
      </c>
      <c r="J27" s="61" t="s">
        <v>8</v>
      </c>
      <c r="K27" s="39"/>
      <c r="L27" s="57" t="s">
        <v>122</v>
      </c>
      <c r="M27" s="57">
        <f ca="1">ROUND(MIN(D5:D24),0)</f>
        <v>7553</v>
      </c>
      <c r="N27" s="39"/>
      <c r="O27" s="39"/>
      <c r="P27" s="39"/>
      <c r="Q27" s="39"/>
      <c r="R27" s="39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</row>
    <row r="28" spans="1:36" ht="15.6" x14ac:dyDescent="0.3">
      <c r="A28" s="39"/>
      <c r="B28" s="39"/>
      <c r="C28" s="39"/>
      <c r="D28" s="39"/>
      <c r="E28" s="39"/>
      <c r="F28" s="39"/>
      <c r="G28" s="39"/>
      <c r="H28" s="59">
        <f ca="1">(I28*H27)/I27</f>
        <v>377.65499999999997</v>
      </c>
      <c r="I28" s="75">
        <v>5</v>
      </c>
      <c r="J28" s="80" t="s">
        <v>8</v>
      </c>
      <c r="K28" s="39"/>
      <c r="L28" s="57" t="s">
        <v>123</v>
      </c>
      <c r="M28" s="57">
        <f ca="1">ROUND(MAX(D5:D24),0)</f>
        <v>9152</v>
      </c>
      <c r="N28" s="39"/>
      <c r="O28" s="39"/>
      <c r="P28" s="39"/>
      <c r="Q28" s="39"/>
      <c r="R28" s="39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</row>
    <row r="29" spans="1:36" ht="15.6" x14ac:dyDescent="0.3">
      <c r="A29" s="39"/>
      <c r="B29" s="142" t="s">
        <v>24</v>
      </c>
      <c r="C29" s="142"/>
      <c r="D29" s="142"/>
      <c r="E29" s="57">
        <f ca="1">ROUND(SUM(D5:D24)/E27,0)</f>
        <v>8331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</row>
    <row r="30" spans="1:36" ht="15.6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</row>
    <row r="31" spans="1:36" ht="15.6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</row>
    <row r="32" spans="1:36" ht="15.6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</row>
    <row r="33" spans="1:36" ht="15.6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</row>
    <row r="34" spans="1:36" ht="15.6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</row>
    <row r="35" spans="1:36" ht="15.6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</row>
    <row r="36" spans="1:36" ht="15.6" x14ac:dyDescent="0.3">
      <c r="A36" s="42"/>
      <c r="B36" s="42"/>
      <c r="C36" s="42"/>
      <c r="D36" s="136" t="str">
        <f>+'N° de Obs.'!P2</f>
        <v>Elemento R</v>
      </c>
      <c r="E36" s="137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</row>
    <row r="37" spans="1:36" s="35" customFormat="1" ht="15.6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</row>
    <row r="38" spans="1:36" ht="15.6" x14ac:dyDescent="0.3">
      <c r="A38" s="39"/>
      <c r="B38" s="45" t="s">
        <v>18</v>
      </c>
      <c r="C38" s="45" t="s">
        <v>19</v>
      </c>
      <c r="D38" s="45" t="s">
        <v>20</v>
      </c>
      <c r="E38" s="70" t="s">
        <v>112</v>
      </c>
      <c r="F38" s="70" t="s">
        <v>113</v>
      </c>
      <c r="G38" s="70" t="s">
        <v>114</v>
      </c>
      <c r="H38" s="70" t="s">
        <v>115</v>
      </c>
      <c r="I38" s="71" t="s">
        <v>87</v>
      </c>
      <c r="J38" s="71" t="s">
        <v>116</v>
      </c>
      <c r="K38" s="72">
        <f ca="1">ROUNDDOWN(H62,0)</f>
        <v>375</v>
      </c>
      <c r="L38" s="39"/>
      <c r="M38" s="39"/>
      <c r="N38" s="39"/>
      <c r="O38" s="39"/>
      <c r="P38" s="39"/>
      <c r="Q38" s="39"/>
      <c r="R38" s="39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</row>
    <row r="39" spans="1:36" ht="15.6" x14ac:dyDescent="0.3">
      <c r="A39" s="39"/>
      <c r="B39" s="57">
        <f ca="1">+'N° de Obs.'!M6</f>
        <v>85</v>
      </c>
      <c r="C39" s="57">
        <f ca="1">+'N° de Obs.'!N6</f>
        <v>8976</v>
      </c>
      <c r="D39" s="57">
        <f ca="1">+'N° de Obs.'!O6</f>
        <v>7629.6</v>
      </c>
      <c r="E39" s="57">
        <f ca="1">IF(I39="","",IFERROR(F39*G39,""))</f>
        <v>0</v>
      </c>
      <c r="F39" s="57">
        <f ca="1">IF(I39="","",IFERROR(G39*H39,""))</f>
        <v>0</v>
      </c>
      <c r="G39" s="57">
        <f ca="1">IF(I39="","",ROW($V1)-1)</f>
        <v>0</v>
      </c>
      <c r="H39" s="57">
        <f ca="1">IF(I39="","",COUNTIF($D$39:$D$58,"&lt;="&amp;$J40))</f>
        <v>7</v>
      </c>
      <c r="I39" s="57">
        <f ca="1">ROUND(H61,0)</f>
        <v>7502</v>
      </c>
      <c r="J39" s="75"/>
      <c r="K39" s="61" t="s">
        <v>139</v>
      </c>
      <c r="L39" s="39"/>
      <c r="M39" s="39"/>
      <c r="N39" s="57" t="s">
        <v>117</v>
      </c>
      <c r="O39" s="57">
        <f ca="1">F43/H43</f>
        <v>1.35</v>
      </c>
      <c r="P39" s="39"/>
      <c r="Q39" s="39"/>
      <c r="R39" s="39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</row>
    <row r="40" spans="1:36" ht="15.6" x14ac:dyDescent="0.3">
      <c r="A40" s="39"/>
      <c r="B40" s="57">
        <f ca="1">+'N° de Obs.'!M7</f>
        <v>90</v>
      </c>
      <c r="C40" s="57">
        <f ca="1">+'N° de Obs.'!N7</f>
        <v>8840</v>
      </c>
      <c r="D40" s="57">
        <f ca="1">+'N° de Obs.'!O7</f>
        <v>7956</v>
      </c>
      <c r="E40" s="57">
        <f t="shared" ref="E40:E42" ca="1" si="5">IF(I40="","",IFERROR(F40*G40,""))</f>
        <v>4</v>
      </c>
      <c r="F40" s="57">
        <f t="shared" ref="F40:F42" ca="1" si="6">IF(I40="","",IFERROR(G40*H40,""))</f>
        <v>4</v>
      </c>
      <c r="G40" s="57">
        <f t="shared" ref="G40:G42" ca="1" si="7">IF(I40="","",ROW($V2)-1)</f>
        <v>1</v>
      </c>
      <c r="H40" s="57">
        <f ca="1">IF(I40="","",COUNTIFS($D$39:$D$58,"&lt;="&amp;$J41,$D$39:$D$58,"&gt;"&amp;$J40))</f>
        <v>4</v>
      </c>
      <c r="I40" s="57">
        <f ca="1">IFERROR(IF($I39+$K$38&lt;=$M$62,$I39+$K$38,""),"")</f>
        <v>7877</v>
      </c>
      <c r="J40" s="76">
        <f ca="1">IF(I39="","",IFERROR(($I39+$I40)/2,MAX($D$39:$D$58)))</f>
        <v>7689.5</v>
      </c>
      <c r="K40" s="61" t="s">
        <v>142</v>
      </c>
      <c r="L40" s="39"/>
      <c r="M40" s="39"/>
      <c r="N40" s="57" t="s">
        <v>118</v>
      </c>
      <c r="O40" s="57">
        <f ca="1">E43/H43</f>
        <v>3.25</v>
      </c>
      <c r="P40" s="39"/>
      <c r="Q40" s="39"/>
      <c r="R40" s="39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</row>
    <row r="41" spans="1:36" ht="15.6" x14ac:dyDescent="0.3">
      <c r="A41" s="39"/>
      <c r="B41" s="57">
        <f ca="1">+'N° de Obs.'!M8</f>
        <v>90</v>
      </c>
      <c r="C41" s="57">
        <f ca="1">+'N° de Obs.'!N8</f>
        <v>8901</v>
      </c>
      <c r="D41" s="57">
        <f ca="1">+'N° de Obs.'!O8</f>
        <v>8010.9</v>
      </c>
      <c r="E41" s="57">
        <f t="shared" ca="1" si="5"/>
        <v>16</v>
      </c>
      <c r="F41" s="57">
        <f t="shared" ca="1" si="6"/>
        <v>8</v>
      </c>
      <c r="G41" s="57">
        <f t="shared" ca="1" si="7"/>
        <v>2</v>
      </c>
      <c r="H41" s="57">
        <f t="shared" ref="H41:H42" ca="1" si="8">IF(I41="","",COUNTIFS($D$39:$D$58,"&lt;="&amp;$J42,$D$39:$D$58,"&gt;"&amp;$J41))</f>
        <v>4</v>
      </c>
      <c r="I41" s="57">
        <f t="shared" ref="I41:I43" ca="1" si="9">IFERROR(IF($I40+$K$38&lt;=$M$62,$I40+$K$38,""),"")</f>
        <v>8252</v>
      </c>
      <c r="J41" s="76">
        <f t="shared" ref="J41:J43" ca="1" si="10">IF(I40="","",IFERROR(($I40+$I41)/2,MAX($D$39:$D$58)))</f>
        <v>8064.5</v>
      </c>
      <c r="K41" s="61" t="s">
        <v>142</v>
      </c>
      <c r="L41" s="39"/>
      <c r="M41" s="39"/>
      <c r="N41" s="39"/>
      <c r="O41" s="39"/>
      <c r="P41" s="39"/>
      <c r="Q41" s="39"/>
      <c r="R41" s="39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</row>
    <row r="42" spans="1:36" ht="16.2" thickBot="1" x14ac:dyDescent="0.35">
      <c r="A42" s="39"/>
      <c r="B42" s="57">
        <f ca="1">+'N° de Obs.'!M9</f>
        <v>95</v>
      </c>
      <c r="C42" s="57">
        <f ca="1">+'N° de Obs.'!N9</f>
        <v>8816</v>
      </c>
      <c r="D42" s="57">
        <f ca="1">+'N° de Obs.'!O9</f>
        <v>8375.2000000000007</v>
      </c>
      <c r="E42" s="57">
        <f t="shared" ca="1" si="5"/>
        <v>45</v>
      </c>
      <c r="F42" s="57">
        <f t="shared" ca="1" si="6"/>
        <v>15</v>
      </c>
      <c r="G42" s="57">
        <f t="shared" ca="1" si="7"/>
        <v>3</v>
      </c>
      <c r="H42" s="57">
        <f t="shared" ca="1" si="8"/>
        <v>5</v>
      </c>
      <c r="I42" s="57">
        <f t="shared" ca="1" si="9"/>
        <v>8627</v>
      </c>
      <c r="J42" s="76">
        <f t="shared" ca="1" si="10"/>
        <v>8439.5</v>
      </c>
      <c r="K42" s="61" t="s">
        <v>143</v>
      </c>
      <c r="L42" s="39"/>
      <c r="M42" s="39"/>
      <c r="N42" s="57" t="s">
        <v>119</v>
      </c>
      <c r="O42" s="57">
        <f ca="1">H61+(K38*O39)</f>
        <v>8008.35</v>
      </c>
      <c r="P42" s="39"/>
      <c r="Q42" s="39"/>
      <c r="R42" s="39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</row>
    <row r="43" spans="1:36" ht="16.2" thickBot="1" x14ac:dyDescent="0.35">
      <c r="A43" s="39"/>
      <c r="B43" s="57">
        <f ca="1">+'N° de Obs.'!M10</f>
        <v>85</v>
      </c>
      <c r="C43" s="57">
        <f ca="1">+'N° de Obs.'!N10</f>
        <v>8867</v>
      </c>
      <c r="D43" s="57">
        <f ca="1">+'N° de Obs.'!O10</f>
        <v>7536.95</v>
      </c>
      <c r="E43" s="73">
        <f ca="1">SUM(E39:E51)</f>
        <v>65</v>
      </c>
      <c r="F43" s="74">
        <f ca="1">SUM(F39:F51)</f>
        <v>27</v>
      </c>
      <c r="G43" s="39"/>
      <c r="H43" s="74">
        <f ca="1">SUM(H39:H51)</f>
        <v>20</v>
      </c>
      <c r="I43" s="78" t="str">
        <f t="shared" ca="1" si="9"/>
        <v/>
      </c>
      <c r="J43" s="79">
        <f t="shared" ca="1" si="10"/>
        <v>8978</v>
      </c>
      <c r="K43" s="39"/>
      <c r="L43" s="39"/>
      <c r="M43" s="39"/>
      <c r="N43" s="57" t="s">
        <v>120</v>
      </c>
      <c r="O43" s="77">
        <f ca="1">K38*(SQRT(O40-POWER(O39,2)))</f>
        <v>448.04261795056948</v>
      </c>
      <c r="P43" s="39"/>
      <c r="Q43" s="39"/>
      <c r="R43" s="39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</row>
    <row r="44" spans="1:36" ht="15.6" x14ac:dyDescent="0.3">
      <c r="A44" s="39"/>
      <c r="B44" s="57">
        <f ca="1">+'N° de Obs.'!M11</f>
        <v>85</v>
      </c>
      <c r="C44" s="57">
        <f ca="1">+'N° de Obs.'!N11</f>
        <v>8938</v>
      </c>
      <c r="D44" s="57">
        <f ca="1">+'N° de Obs.'!O11</f>
        <v>7597.3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</row>
    <row r="45" spans="1:36" ht="15.6" x14ac:dyDescent="0.3">
      <c r="A45" s="39"/>
      <c r="B45" s="57">
        <f ca="1">+'N° de Obs.'!M12</f>
        <v>100</v>
      </c>
      <c r="C45" s="57">
        <f ca="1">+'N° de Obs.'!N12</f>
        <v>8908</v>
      </c>
      <c r="D45" s="57">
        <f ca="1">+'N° de Obs.'!O12</f>
        <v>8908</v>
      </c>
      <c r="E45" s="39"/>
      <c r="F45" s="39"/>
      <c r="G45" s="39"/>
      <c r="H45" s="39"/>
      <c r="I45" s="39"/>
      <c r="J45" s="39"/>
      <c r="K45" s="39"/>
      <c r="L45" s="39"/>
      <c r="M45" s="39"/>
      <c r="N45" s="57" t="s">
        <v>121</v>
      </c>
      <c r="O45" s="57">
        <f ca="1">(O43*100)/O42</f>
        <v>5.5946932632885611</v>
      </c>
      <c r="P45" s="57" t="s">
        <v>8</v>
      </c>
      <c r="Q45" s="39"/>
      <c r="R45" s="39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spans="1:36" ht="15.6" x14ac:dyDescent="0.3">
      <c r="A46" s="39"/>
      <c r="B46" s="57">
        <f ca="1">+'N° de Obs.'!M13</f>
        <v>95</v>
      </c>
      <c r="C46" s="57">
        <f ca="1">+'N° de Obs.'!N13</f>
        <v>8819</v>
      </c>
      <c r="D46" s="57">
        <f ca="1">+'N° de Obs.'!O13</f>
        <v>8378.0499999999993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spans="1:36" ht="15.6" x14ac:dyDescent="0.3">
      <c r="A47" s="39"/>
      <c r="B47" s="57">
        <f ca="1">+'N° de Obs.'!M14</f>
        <v>95</v>
      </c>
      <c r="C47" s="57">
        <f ca="1">+'N° de Obs.'!N14</f>
        <v>8860</v>
      </c>
      <c r="D47" s="57">
        <f ca="1">+'N° de Obs.'!O14</f>
        <v>8417</v>
      </c>
      <c r="E47" s="39"/>
      <c r="F47" s="39"/>
      <c r="G47" s="39"/>
      <c r="H47" s="39"/>
      <c r="I47" s="39"/>
      <c r="J47" s="39"/>
      <c r="K47" s="39"/>
      <c r="L47" s="39"/>
      <c r="M47" s="39"/>
      <c r="N47" s="144" t="str">
        <f ca="1">IF(O45&lt;6,"Se puede continuar con el estudio","No se puede continuar con el estudio")</f>
        <v>Se puede continuar con el estudio</v>
      </c>
      <c r="O47" s="144"/>
      <c r="P47" s="39"/>
      <c r="Q47" s="39"/>
      <c r="R47" s="39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</row>
    <row r="48" spans="1:36" ht="15.6" x14ac:dyDescent="0.3">
      <c r="A48" s="39"/>
      <c r="B48" s="57">
        <f ca="1">+'N° de Obs.'!M15</f>
        <v>85</v>
      </c>
      <c r="C48" s="57">
        <f ca="1">+'N° de Obs.'!N15</f>
        <v>8966</v>
      </c>
      <c r="D48" s="57">
        <f ca="1">+'N° de Obs.'!O15</f>
        <v>7621.1</v>
      </c>
      <c r="E48" s="39"/>
      <c r="F48" s="39"/>
      <c r="G48" s="39"/>
      <c r="H48" s="39"/>
      <c r="I48" s="39"/>
      <c r="J48" s="39"/>
      <c r="K48" s="39"/>
      <c r="L48" s="39"/>
      <c r="M48" s="39"/>
      <c r="N48" s="144"/>
      <c r="O48" s="144"/>
      <c r="P48" s="39"/>
      <c r="Q48" s="39"/>
      <c r="R48" s="39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</row>
    <row r="49" spans="1:36" ht="15.6" x14ac:dyDescent="0.3">
      <c r="A49" s="39"/>
      <c r="B49" s="57">
        <f ca="1">+'N° de Obs.'!M16</f>
        <v>85</v>
      </c>
      <c r="C49" s="57">
        <f ca="1">+'N° de Obs.'!N16</f>
        <v>8826</v>
      </c>
      <c r="D49" s="57">
        <f ca="1">+'N° de Obs.'!O16</f>
        <v>7502.1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</row>
    <row r="50" spans="1:36" ht="15.6" x14ac:dyDescent="0.3">
      <c r="A50" s="39"/>
      <c r="B50" s="57">
        <f ca="1">+'N° de Obs.'!M17</f>
        <v>95</v>
      </c>
      <c r="C50" s="57">
        <f ca="1">+'N° de Obs.'!N17</f>
        <v>8850</v>
      </c>
      <c r="D50" s="57">
        <f ca="1">+'N° de Obs.'!O17</f>
        <v>8407.5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</row>
    <row r="51" spans="1:36" ht="15.6" x14ac:dyDescent="0.3">
      <c r="A51" s="39"/>
      <c r="B51" s="57">
        <f ca="1">+'N° de Obs.'!M18</f>
        <v>100</v>
      </c>
      <c r="C51" s="57">
        <f ca="1">+'N° de Obs.'!N18</f>
        <v>8856</v>
      </c>
      <c r="D51" s="57">
        <f ca="1">+'N° de Obs.'!O18</f>
        <v>8856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</row>
    <row r="52" spans="1:36" ht="15.6" x14ac:dyDescent="0.3">
      <c r="A52" s="39"/>
      <c r="B52" s="57">
        <f ca="1">+'N° de Obs.'!M19</f>
        <v>85</v>
      </c>
      <c r="C52" s="57">
        <f ca="1">+'N° de Obs.'!N19</f>
        <v>8839</v>
      </c>
      <c r="D52" s="57">
        <f ca="1">+'N° de Obs.'!O19</f>
        <v>7513.15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</row>
    <row r="53" spans="1:36" ht="15.6" x14ac:dyDescent="0.3">
      <c r="A53" s="39"/>
      <c r="B53" s="57">
        <f ca="1">+'N° de Obs.'!M20</f>
        <v>100</v>
      </c>
      <c r="C53" s="57">
        <f ca="1">+'N° de Obs.'!N20</f>
        <v>8970</v>
      </c>
      <c r="D53" s="57">
        <f ca="1">+'N° de Obs.'!O20</f>
        <v>8970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</row>
    <row r="54" spans="1:36" ht="15.6" x14ac:dyDescent="0.3">
      <c r="A54" s="39"/>
      <c r="B54" s="57">
        <f ca="1">+'N° de Obs.'!M21</f>
        <v>90</v>
      </c>
      <c r="C54" s="57">
        <f ca="1">+'N° de Obs.'!N21</f>
        <v>8880</v>
      </c>
      <c r="D54" s="57">
        <f ca="1">+'N° de Obs.'!O21</f>
        <v>7992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</row>
    <row r="55" spans="1:36" ht="15.6" x14ac:dyDescent="0.3">
      <c r="A55" s="39"/>
      <c r="B55" s="57">
        <f ca="1">+'N° de Obs.'!M22</f>
        <v>100</v>
      </c>
      <c r="C55" s="57">
        <f ca="1">+'N° de Obs.'!N22</f>
        <v>8978</v>
      </c>
      <c r="D55" s="57">
        <f ca="1">+'N° de Obs.'!O22</f>
        <v>8978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</row>
    <row r="56" spans="1:36" ht="15.6" x14ac:dyDescent="0.3">
      <c r="A56" s="39"/>
      <c r="B56" s="57">
        <f ca="1">+'N° de Obs.'!M23</f>
        <v>90</v>
      </c>
      <c r="C56" s="57">
        <f ca="1">+'N° de Obs.'!N23</f>
        <v>8866</v>
      </c>
      <c r="D56" s="57">
        <f ca="1">+'N° de Obs.'!O23</f>
        <v>7979.4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</row>
    <row r="57" spans="1:36" ht="15.6" x14ac:dyDescent="0.3">
      <c r="A57" s="39"/>
      <c r="B57" s="57">
        <f ca="1">+'N° de Obs.'!M24</f>
        <v>85</v>
      </c>
      <c r="C57" s="57">
        <f ca="1">+'N° de Obs.'!N24</f>
        <v>8910</v>
      </c>
      <c r="D57" s="57">
        <f ca="1">+'N° de Obs.'!O24</f>
        <v>7573.5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</row>
    <row r="58" spans="1:36" ht="15.6" x14ac:dyDescent="0.3">
      <c r="A58" s="39"/>
      <c r="B58" s="57">
        <f ca="1">+'N° de Obs.'!M25</f>
        <v>100</v>
      </c>
      <c r="C58" s="57">
        <f ca="1">+'N° de Obs.'!N25</f>
        <v>8954</v>
      </c>
      <c r="D58" s="57">
        <f ca="1">+'N° de Obs.'!O25</f>
        <v>8954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</row>
    <row r="59" spans="1:36" ht="15.6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</row>
    <row r="60" spans="1:36" ht="15.6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</row>
    <row r="61" spans="1:36" ht="15.6" x14ac:dyDescent="0.3">
      <c r="A61" s="39"/>
      <c r="B61" s="39"/>
      <c r="C61" s="39"/>
      <c r="D61" s="57" t="s">
        <v>23</v>
      </c>
      <c r="E61" s="57">
        <f ca="1">COUNTA(C39:C58)</f>
        <v>20</v>
      </c>
      <c r="F61" s="39"/>
      <c r="G61" s="39"/>
      <c r="H61" s="57">
        <f ca="1">MIN(D39:D58)</f>
        <v>7502.1</v>
      </c>
      <c r="I61" s="60">
        <v>100</v>
      </c>
      <c r="J61" s="61" t="s">
        <v>8</v>
      </c>
      <c r="K61" s="39"/>
      <c r="L61" s="57" t="s">
        <v>122</v>
      </c>
      <c r="M61" s="57">
        <f ca="1">ROUND(MIN(D39:D58),0)</f>
        <v>7502</v>
      </c>
      <c r="N61" s="39"/>
      <c r="O61" s="39"/>
      <c r="P61" s="39"/>
      <c r="Q61" s="39"/>
      <c r="R61" s="39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</row>
    <row r="62" spans="1:36" ht="15.6" x14ac:dyDescent="0.3">
      <c r="A62" s="39"/>
      <c r="B62" s="39"/>
      <c r="C62" s="39"/>
      <c r="D62" s="39"/>
      <c r="E62" s="39"/>
      <c r="F62" s="39"/>
      <c r="G62" s="39"/>
      <c r="H62" s="59">
        <f ca="1">(I62*H61)/I61</f>
        <v>375.10500000000002</v>
      </c>
      <c r="I62" s="75">
        <v>5</v>
      </c>
      <c r="J62" s="80" t="s">
        <v>8</v>
      </c>
      <c r="K62" s="39"/>
      <c r="L62" s="57" t="s">
        <v>123</v>
      </c>
      <c r="M62" s="57">
        <f ca="1">ROUND(MAX(D39:D58),0)</f>
        <v>8978</v>
      </c>
      <c r="N62" s="39"/>
      <c r="O62" s="39"/>
      <c r="P62" s="39"/>
      <c r="Q62" s="39"/>
      <c r="R62" s="39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</row>
    <row r="63" spans="1:36" ht="15.6" x14ac:dyDescent="0.3">
      <c r="A63" s="39"/>
      <c r="B63" s="142" t="s">
        <v>24</v>
      </c>
      <c r="C63" s="142"/>
      <c r="D63" s="142"/>
      <c r="E63" s="57">
        <f ca="1">ROUND(SUM(D39:D58)/E61,0)</f>
        <v>8158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</row>
    <row r="64" spans="1:36" ht="15.6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</row>
    <row r="65" spans="1:36" ht="15.6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</row>
    <row r="66" spans="1:36" ht="15.6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</row>
    <row r="67" spans="1:36" ht="15.6" x14ac:dyDescent="0.3">
      <c r="A67" s="42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</row>
    <row r="68" spans="1:36" ht="15.6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</row>
    <row r="69" spans="1:36" ht="15.6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</row>
    <row r="70" spans="1:36" ht="15.6" x14ac:dyDescent="0.3">
      <c r="A70" s="42"/>
      <c r="B70" s="42"/>
      <c r="C70" s="42"/>
      <c r="D70" s="136" t="str">
        <f>+'N° de Obs.'!G30</f>
        <v>Elemento J</v>
      </c>
      <c r="E70" s="137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</row>
    <row r="71" spans="1:36" s="35" customFormat="1" ht="15.6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spans="1:36" ht="15.6" x14ac:dyDescent="0.3">
      <c r="A72" s="39"/>
      <c r="B72" s="45" t="s">
        <v>18</v>
      </c>
      <c r="C72" s="45" t="s">
        <v>19</v>
      </c>
      <c r="D72" s="45" t="s">
        <v>20</v>
      </c>
      <c r="E72" s="70" t="s">
        <v>112</v>
      </c>
      <c r="F72" s="70" t="s">
        <v>113</v>
      </c>
      <c r="G72" s="70" t="s">
        <v>114</v>
      </c>
      <c r="H72" s="70" t="s">
        <v>115</v>
      </c>
      <c r="I72" s="71" t="s">
        <v>87</v>
      </c>
      <c r="J72" s="71" t="s">
        <v>116</v>
      </c>
      <c r="K72" s="72">
        <f ca="1">ROUNDDOWN(H96,0)</f>
        <v>1575</v>
      </c>
      <c r="L72" s="39"/>
      <c r="M72" s="39"/>
      <c r="N72" s="39"/>
      <c r="O72" s="39"/>
      <c r="P72" s="39"/>
      <c r="Q72" s="39"/>
      <c r="R72" s="39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</row>
    <row r="73" spans="1:36" ht="15.6" x14ac:dyDescent="0.3">
      <c r="A73" s="39"/>
      <c r="B73" s="57">
        <f ca="1">+'N° de Obs.'!D34</f>
        <v>105</v>
      </c>
      <c r="C73" s="57">
        <f ca="1">+'N° de Obs.'!E34</f>
        <v>37698</v>
      </c>
      <c r="D73" s="57">
        <f ca="1">+'N° de Obs.'!F34</f>
        <v>39582.9</v>
      </c>
      <c r="E73" s="57">
        <f ca="1">IF(I73="","",IFERROR(F73*G73,""))</f>
        <v>0</v>
      </c>
      <c r="F73" s="57">
        <f ca="1">IF(I73="","",IFERROR(G73*H73,""))</f>
        <v>0</v>
      </c>
      <c r="G73" s="57">
        <v>0</v>
      </c>
      <c r="H73" s="57">
        <f ca="1">IF(I73="","",COUNTIF($D$73:$D$92,"&lt;="&amp;$J74))</f>
        <v>1</v>
      </c>
      <c r="I73" s="57">
        <f ca="1">ROUND(H95,0)</f>
        <v>31519</v>
      </c>
      <c r="J73" s="75"/>
      <c r="K73" s="61" t="s">
        <v>29</v>
      </c>
      <c r="L73" s="39"/>
      <c r="M73" s="39"/>
      <c r="N73" s="57" t="s">
        <v>117</v>
      </c>
      <c r="O73" s="57">
        <f ca="1">F79/H79</f>
        <v>2.9</v>
      </c>
      <c r="P73" s="39"/>
      <c r="Q73" s="39"/>
      <c r="R73" s="39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</row>
    <row r="74" spans="1:36" ht="15.6" x14ac:dyDescent="0.3">
      <c r="A74" s="39"/>
      <c r="B74" s="57">
        <f ca="1">+'N° de Obs.'!D35</f>
        <v>95</v>
      </c>
      <c r="C74" s="57">
        <f ca="1">+'N° de Obs.'!E35</f>
        <v>38084</v>
      </c>
      <c r="D74" s="57">
        <f ca="1">+'N° de Obs.'!F35</f>
        <v>36179.800000000003</v>
      </c>
      <c r="E74" s="57">
        <f t="shared" ref="E74:E78" ca="1" si="11">IF(I74="","",IFERROR(F74*G74,""))</f>
        <v>1</v>
      </c>
      <c r="F74" s="57">
        <f t="shared" ref="F74:F78" ca="1" si="12">IF(I74="","",IFERROR(G74*H74,""))</f>
        <v>1</v>
      </c>
      <c r="G74" s="57">
        <v>1</v>
      </c>
      <c r="H74" s="57">
        <f ca="1">IF(I74="","",COUNTIFS($D$73:$D$92,"&lt;="&amp;$J75,$D$73:$D$92,"&gt;"&amp;$J74))</f>
        <v>1</v>
      </c>
      <c r="I74" s="57">
        <f ca="1">IFERROR(IF($I73+$K$72&lt;=$M$96,$I73+$K$72,""),"")</f>
        <v>33094</v>
      </c>
      <c r="J74" s="76">
        <f ca="1">IF(I73="","",IFERROR(($I73+$I74)/2,MAX($D$73:$D$92)))</f>
        <v>32306.5</v>
      </c>
      <c r="K74" s="61" t="s">
        <v>29</v>
      </c>
      <c r="L74" s="39"/>
      <c r="M74" s="39"/>
      <c r="N74" s="57" t="s">
        <v>118</v>
      </c>
      <c r="O74" s="57">
        <f ca="1">E79/H79</f>
        <v>10.199999999999999</v>
      </c>
      <c r="P74" s="39"/>
      <c r="Q74" s="39"/>
      <c r="R74" s="39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</row>
    <row r="75" spans="1:36" ht="15.6" x14ac:dyDescent="0.3">
      <c r="A75" s="39"/>
      <c r="B75" s="57">
        <f ca="1">+'N° de Obs.'!D36</f>
        <v>95</v>
      </c>
      <c r="C75" s="57">
        <f ca="1">+'N° de Obs.'!E36</f>
        <v>36622</v>
      </c>
      <c r="D75" s="57">
        <f ca="1">+'N° de Obs.'!F36</f>
        <v>34790.9</v>
      </c>
      <c r="E75" s="57">
        <f t="shared" ca="1" si="11"/>
        <v>28</v>
      </c>
      <c r="F75" s="57">
        <f t="shared" ca="1" si="12"/>
        <v>14</v>
      </c>
      <c r="G75" s="57">
        <v>2</v>
      </c>
      <c r="H75" s="57">
        <f t="shared" ref="H75:H78" ca="1" si="13">IF(I75="","",COUNTIFS($D$73:$D$92,"&lt;="&amp;$J76,$D$73:$D$92,"&gt;"&amp;$J75))</f>
        <v>7</v>
      </c>
      <c r="I75" s="57">
        <f t="shared" ref="I75:I79" ca="1" si="14">IFERROR(IF($I74+$K$72&lt;=$M$96,$I74+$K$72,""),"")</f>
        <v>34669</v>
      </c>
      <c r="J75" s="76">
        <f t="shared" ref="J75:J79" ca="1" si="15">IF(I74="","",IFERROR(($I74+$I75)/2,MAX($D$73:$D$92)))</f>
        <v>33881.5</v>
      </c>
      <c r="K75" s="61" t="s">
        <v>139</v>
      </c>
      <c r="L75" s="39"/>
      <c r="M75" s="39"/>
      <c r="N75" s="39"/>
      <c r="O75" s="39"/>
      <c r="P75" s="39"/>
      <c r="Q75" s="39"/>
      <c r="R75" s="39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</row>
    <row r="76" spans="1:36" ht="15.6" x14ac:dyDescent="0.3">
      <c r="A76" s="39"/>
      <c r="B76" s="57">
        <f ca="1">+'N° de Obs.'!D37</f>
        <v>90</v>
      </c>
      <c r="C76" s="57">
        <f ca="1">+'N° de Obs.'!E37</f>
        <v>38104</v>
      </c>
      <c r="D76" s="57">
        <f ca="1">+'N° de Obs.'!F37</f>
        <v>34293.599999999999</v>
      </c>
      <c r="E76" s="57">
        <f t="shared" ca="1" si="11"/>
        <v>36</v>
      </c>
      <c r="F76" s="57">
        <f t="shared" ca="1" si="12"/>
        <v>12</v>
      </c>
      <c r="G76" s="57">
        <v>3</v>
      </c>
      <c r="H76" s="57">
        <f t="shared" ca="1" si="13"/>
        <v>4</v>
      </c>
      <c r="I76" s="57">
        <f t="shared" ca="1" si="14"/>
        <v>36244</v>
      </c>
      <c r="J76" s="76">
        <f t="shared" ca="1" si="15"/>
        <v>35456.5</v>
      </c>
      <c r="K76" s="61" t="s">
        <v>142</v>
      </c>
      <c r="L76" s="39"/>
      <c r="M76" s="39"/>
      <c r="N76" s="57" t="s">
        <v>119</v>
      </c>
      <c r="O76" s="57">
        <f ca="1">H95+(K72*O73)</f>
        <v>36086.35</v>
      </c>
      <c r="P76" s="39"/>
      <c r="Q76" s="39"/>
      <c r="R76" s="39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</row>
    <row r="77" spans="1:36" ht="15.6" x14ac:dyDescent="0.3">
      <c r="A77" s="39"/>
      <c r="B77" s="57">
        <f ca="1">+'N° de Obs.'!D38</f>
        <v>105</v>
      </c>
      <c r="C77" s="57">
        <f ca="1">+'N° de Obs.'!E38</f>
        <v>36750</v>
      </c>
      <c r="D77" s="57">
        <f ca="1">+'N° de Obs.'!F38</f>
        <v>38587.5</v>
      </c>
      <c r="E77" s="57">
        <f t="shared" ca="1" si="11"/>
        <v>64</v>
      </c>
      <c r="F77" s="57">
        <f t="shared" ca="1" si="12"/>
        <v>16</v>
      </c>
      <c r="G77" s="57">
        <v>4</v>
      </c>
      <c r="H77" s="57">
        <f t="shared" ca="1" si="13"/>
        <v>4</v>
      </c>
      <c r="I77" s="57">
        <f t="shared" ca="1" si="14"/>
        <v>37819</v>
      </c>
      <c r="J77" s="76">
        <f t="shared" ca="1" si="15"/>
        <v>37031.5</v>
      </c>
      <c r="K77" s="61" t="s">
        <v>142</v>
      </c>
      <c r="L77" s="39"/>
      <c r="M77" s="39"/>
      <c r="N77" s="57" t="s">
        <v>120</v>
      </c>
      <c r="O77" s="77">
        <f ca="1">K72*(SQRT(O74-POWER(O73,2)))</f>
        <v>2107.2063852408946</v>
      </c>
      <c r="P77" s="39"/>
      <c r="Q77" s="39"/>
      <c r="R77" s="39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</row>
    <row r="78" spans="1:36" ht="16.2" thickBot="1" x14ac:dyDescent="0.35">
      <c r="A78" s="39"/>
      <c r="B78" s="57">
        <f ca="1">+'N° de Obs.'!D39</f>
        <v>95</v>
      </c>
      <c r="C78" s="57">
        <f ca="1">+'N° de Obs.'!E39</f>
        <v>37327</v>
      </c>
      <c r="D78" s="57">
        <f ca="1">+'N° de Obs.'!F39</f>
        <v>35460.65</v>
      </c>
      <c r="E78" s="57">
        <f t="shared" ca="1" si="11"/>
        <v>75</v>
      </c>
      <c r="F78" s="57">
        <f t="shared" ca="1" si="12"/>
        <v>15</v>
      </c>
      <c r="G78" s="57">
        <v>5</v>
      </c>
      <c r="H78" s="57">
        <f t="shared" ca="1" si="13"/>
        <v>3</v>
      </c>
      <c r="I78" s="57">
        <f t="shared" ca="1" si="14"/>
        <v>39394</v>
      </c>
      <c r="J78" s="76">
        <f t="shared" ca="1" si="15"/>
        <v>38606.5</v>
      </c>
      <c r="K78" s="61" t="s">
        <v>140</v>
      </c>
      <c r="L78" s="39"/>
      <c r="M78" s="39"/>
      <c r="N78" s="39"/>
      <c r="O78" s="39"/>
      <c r="P78" s="39"/>
      <c r="Q78" s="39"/>
      <c r="R78" s="39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</row>
    <row r="79" spans="1:36" ht="16.2" thickBot="1" x14ac:dyDescent="0.35">
      <c r="A79" s="39"/>
      <c r="B79" s="57">
        <f ca="1">+'N° de Obs.'!D40</f>
        <v>90</v>
      </c>
      <c r="C79" s="57">
        <f ca="1">+'N° de Obs.'!E40</f>
        <v>38276</v>
      </c>
      <c r="D79" s="57">
        <f ca="1">+'N° de Obs.'!F40</f>
        <v>34448.400000000001</v>
      </c>
      <c r="E79" s="73">
        <f ca="1">SUM(E73:E85)</f>
        <v>204</v>
      </c>
      <c r="F79" s="74">
        <f ca="1">SUM(F73:F85)</f>
        <v>58</v>
      </c>
      <c r="G79" s="39"/>
      <c r="H79" s="74">
        <f ca="1">SUM(H73:H85)</f>
        <v>20</v>
      </c>
      <c r="I79" s="78" t="str">
        <f t="shared" ca="1" si="14"/>
        <v/>
      </c>
      <c r="J79" s="79">
        <f t="shared" ca="1" si="15"/>
        <v>39971.4</v>
      </c>
      <c r="K79" s="39"/>
      <c r="L79" s="39"/>
      <c r="M79" s="39"/>
      <c r="N79" s="57" t="s">
        <v>121</v>
      </c>
      <c r="O79" s="57">
        <f ca="1">(O77*100)/O76</f>
        <v>5.8393447529076639</v>
      </c>
      <c r="P79" s="57" t="s">
        <v>8</v>
      </c>
      <c r="Q79" s="39"/>
      <c r="R79" s="39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</row>
    <row r="80" spans="1:36" ht="15.6" x14ac:dyDescent="0.3">
      <c r="A80" s="39"/>
      <c r="B80" s="57">
        <f ca="1">+'N° de Obs.'!D41</f>
        <v>85</v>
      </c>
      <c r="C80" s="57">
        <f ca="1">+'N° de Obs.'!E41</f>
        <v>37081</v>
      </c>
      <c r="D80" s="57">
        <f ca="1">+'N° de Obs.'!F41</f>
        <v>31518.85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</row>
    <row r="81" spans="1:36" ht="15.6" x14ac:dyDescent="0.3">
      <c r="A81" s="39"/>
      <c r="B81" s="57">
        <f ca="1">+'N° de Obs.'!D42</f>
        <v>100</v>
      </c>
      <c r="C81" s="57">
        <f ca="1">+'N° de Obs.'!E42</f>
        <v>38458</v>
      </c>
      <c r="D81" s="57">
        <f ca="1">+'N° de Obs.'!F42</f>
        <v>38458</v>
      </c>
      <c r="E81" s="39"/>
      <c r="F81" s="39"/>
      <c r="G81" s="39"/>
      <c r="H81" s="39"/>
      <c r="I81" s="39"/>
      <c r="J81" s="39"/>
      <c r="K81" s="39"/>
      <c r="L81" s="39"/>
      <c r="M81" s="39"/>
      <c r="N81" s="144" t="str">
        <f ca="1">IF(O79&lt;6,"Se puede continuar con el estudio","No se puede continuar con el estudio")</f>
        <v>Se puede continuar con el estudio</v>
      </c>
      <c r="O81" s="144"/>
      <c r="P81" s="39"/>
      <c r="Q81" s="39"/>
      <c r="R81" s="39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</row>
    <row r="82" spans="1:36" ht="15.6" x14ac:dyDescent="0.3">
      <c r="A82" s="39"/>
      <c r="B82" s="57">
        <f ca="1">+'N° de Obs.'!D43</f>
        <v>105</v>
      </c>
      <c r="C82" s="57">
        <f ca="1">+'N° de Obs.'!E43</f>
        <v>37819</v>
      </c>
      <c r="D82" s="57">
        <f ca="1">+'N° de Obs.'!F43</f>
        <v>39709.949999999997</v>
      </c>
      <c r="E82" s="39"/>
      <c r="F82" s="39"/>
      <c r="G82" s="39"/>
      <c r="H82" s="39"/>
      <c r="I82" s="39"/>
      <c r="J82" s="39"/>
      <c r="K82" s="39"/>
      <c r="L82" s="39"/>
      <c r="M82" s="39"/>
      <c r="N82" s="144"/>
      <c r="O82" s="144"/>
      <c r="P82" s="39"/>
      <c r="Q82" s="39"/>
      <c r="R82" s="39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</row>
    <row r="83" spans="1:36" ht="15.6" x14ac:dyDescent="0.3">
      <c r="A83" s="39"/>
      <c r="B83" s="57">
        <f ca="1">+'N° de Obs.'!D44</f>
        <v>85</v>
      </c>
      <c r="C83" s="57">
        <f ca="1">+'N° de Obs.'!E44</f>
        <v>38119</v>
      </c>
      <c r="D83" s="57">
        <f ca="1">+'N° de Obs.'!F44</f>
        <v>32401.15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</row>
    <row r="84" spans="1:36" ht="15.6" x14ac:dyDescent="0.3">
      <c r="A84" s="39"/>
      <c r="B84" s="57">
        <f ca="1">+'N° de Obs.'!D45</f>
        <v>100</v>
      </c>
      <c r="C84" s="57">
        <f ca="1">+'N° de Obs.'!E45</f>
        <v>38051</v>
      </c>
      <c r="D84" s="57">
        <f ca="1">+'N° de Obs.'!F45</f>
        <v>38051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</row>
    <row r="85" spans="1:36" ht="15.6" x14ac:dyDescent="0.3">
      <c r="A85" s="39"/>
      <c r="B85" s="57">
        <f ca="1">+'N° de Obs.'!D46</f>
        <v>95</v>
      </c>
      <c r="C85" s="57">
        <f ca="1">+'N° de Obs.'!E46</f>
        <v>36977</v>
      </c>
      <c r="D85" s="57">
        <f ca="1">+'N° de Obs.'!F46</f>
        <v>35128.15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</row>
    <row r="86" spans="1:36" ht="15.6" x14ac:dyDescent="0.3">
      <c r="A86" s="39"/>
      <c r="B86" s="57">
        <f ca="1">+'N° de Obs.'!D47</f>
        <v>95</v>
      </c>
      <c r="C86" s="57">
        <f ca="1">+'N° de Obs.'!E47</f>
        <v>36506</v>
      </c>
      <c r="D86" s="57">
        <f ca="1">+'N° de Obs.'!F47</f>
        <v>34680.699999999997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</row>
    <row r="87" spans="1:36" ht="15.6" x14ac:dyDescent="0.3">
      <c r="A87" s="39"/>
      <c r="B87" s="57">
        <f ca="1">+'N° de Obs.'!D48</f>
        <v>100</v>
      </c>
      <c r="C87" s="57">
        <f ca="1">+'N° de Obs.'!E48</f>
        <v>36946</v>
      </c>
      <c r="D87" s="57">
        <f ca="1">+'N° de Obs.'!F48</f>
        <v>36946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</row>
    <row r="88" spans="1:36" ht="15.6" x14ac:dyDescent="0.3">
      <c r="A88" s="39"/>
      <c r="B88" s="57">
        <f ca="1">+'N° de Obs.'!D49</f>
        <v>105</v>
      </c>
      <c r="C88" s="57">
        <f ca="1">+'N° de Obs.'!E49</f>
        <v>38068</v>
      </c>
      <c r="D88" s="57">
        <f ca="1">+'N° de Obs.'!F49</f>
        <v>39971.4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</row>
    <row r="89" spans="1:36" ht="15.6" x14ac:dyDescent="0.3">
      <c r="A89" s="39"/>
      <c r="B89" s="57">
        <f ca="1">+'N° de Obs.'!D50</f>
        <v>90</v>
      </c>
      <c r="C89" s="57">
        <f ca="1">+'N° de Obs.'!E50</f>
        <v>38023</v>
      </c>
      <c r="D89" s="57">
        <f ca="1">+'N° de Obs.'!F50</f>
        <v>34220.699999999997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</row>
    <row r="90" spans="1:36" ht="15.6" x14ac:dyDescent="0.3">
      <c r="A90" s="39"/>
      <c r="B90" s="57">
        <f ca="1">+'N° de Obs.'!D51</f>
        <v>100</v>
      </c>
      <c r="C90" s="57">
        <f ca="1">+'N° de Obs.'!E51</f>
        <v>36727</v>
      </c>
      <c r="D90" s="57">
        <f ca="1">+'N° de Obs.'!F51</f>
        <v>36727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</row>
    <row r="91" spans="1:36" ht="15.6" x14ac:dyDescent="0.3">
      <c r="A91" s="39"/>
      <c r="B91" s="57">
        <f ca="1">+'N° de Obs.'!D52</f>
        <v>95</v>
      </c>
      <c r="C91" s="57">
        <f ca="1">+'N° de Obs.'!E52</f>
        <v>36894</v>
      </c>
      <c r="D91" s="57">
        <f ca="1">+'N° de Obs.'!F52</f>
        <v>35049.300000000003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ht="15.6" x14ac:dyDescent="0.3">
      <c r="A92" s="39"/>
      <c r="B92" s="57">
        <f ca="1">+'N° de Obs.'!D53</f>
        <v>100</v>
      </c>
      <c r="C92" s="57">
        <f ca="1">+'N° de Obs.'!E53</f>
        <v>37569</v>
      </c>
      <c r="D92" s="57">
        <f ca="1">+'N° de Obs.'!F53</f>
        <v>37569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  <row r="93" spans="1:36" ht="15.6" x14ac:dyDescent="0.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ht="15.6" x14ac:dyDescent="0.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  <row r="95" spans="1:36" ht="15.6" x14ac:dyDescent="0.3">
      <c r="A95" s="39"/>
      <c r="B95" s="39"/>
      <c r="C95" s="39"/>
      <c r="D95" s="57" t="s">
        <v>23</v>
      </c>
      <c r="E95" s="57">
        <f ca="1">COUNTA(C73:C92)</f>
        <v>20</v>
      </c>
      <c r="F95" s="39"/>
      <c r="G95" s="39"/>
      <c r="H95" s="57">
        <f ca="1">MIN(D73:D92)</f>
        <v>31518.85</v>
      </c>
      <c r="I95" s="60">
        <v>100</v>
      </c>
      <c r="J95" s="61" t="s">
        <v>8</v>
      </c>
      <c r="K95" s="39"/>
      <c r="L95" s="57" t="s">
        <v>122</v>
      </c>
      <c r="M95" s="57">
        <f ca="1">ROUND(MIN(D73:D92),0)</f>
        <v>31519</v>
      </c>
      <c r="N95" s="39"/>
      <c r="O95" s="39"/>
      <c r="P95" s="39"/>
      <c r="Q95" s="39"/>
      <c r="R95" s="39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</row>
    <row r="96" spans="1:36" x14ac:dyDescent="0.3">
      <c r="A96" s="35"/>
      <c r="B96" s="35"/>
      <c r="C96" s="35"/>
      <c r="D96" s="35"/>
      <c r="E96" s="35"/>
      <c r="F96" s="35"/>
      <c r="G96" s="35"/>
      <c r="H96" s="81">
        <f ca="1">(I96*H95)/I95</f>
        <v>1575.9425000000001</v>
      </c>
      <c r="I96" s="82">
        <v>5</v>
      </c>
      <c r="J96" s="83" t="s">
        <v>8</v>
      </c>
      <c r="K96" s="35"/>
      <c r="L96" s="84" t="s">
        <v>123</v>
      </c>
      <c r="M96" s="84">
        <f ca="1">ROUND(MAX(D73:D92),0)</f>
        <v>39971</v>
      </c>
      <c r="N96" s="35"/>
      <c r="O96" s="35"/>
      <c r="P96" s="35"/>
      <c r="Q96" s="35"/>
      <c r="R96" s="35"/>
    </row>
    <row r="97" spans="1:18" x14ac:dyDescent="0.3">
      <c r="A97" s="35"/>
      <c r="B97" s="143" t="s">
        <v>24</v>
      </c>
      <c r="C97" s="143"/>
      <c r="D97" s="143"/>
      <c r="E97" s="84">
        <f ca="1">ROUND(SUM(D73:D92)/E95,0)</f>
        <v>36189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</row>
    <row r="98" spans="1:18" x14ac:dyDescent="0.3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</row>
    <row r="99" spans="1:18" x14ac:dyDescent="0.3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</row>
    <row r="100" spans="1:18" x14ac:dyDescent="0.3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</row>
  </sheetData>
  <mergeCells count="9">
    <mergeCell ref="B63:D63"/>
    <mergeCell ref="D70:E70"/>
    <mergeCell ref="B97:D97"/>
    <mergeCell ref="N81:O82"/>
    <mergeCell ref="D2:E2"/>
    <mergeCell ref="N13:O14"/>
    <mergeCell ref="B29:D29"/>
    <mergeCell ref="D36:E36"/>
    <mergeCell ref="N47:O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3"/>
  <sheetViews>
    <sheetView showGridLines="0" zoomScaleNormal="100" workbookViewId="0">
      <selection activeCell="Q19" sqref="Q19"/>
    </sheetView>
  </sheetViews>
  <sheetFormatPr baseColWidth="10" defaultRowHeight="14.4" x14ac:dyDescent="0.3"/>
  <cols>
    <col min="4" max="4" width="16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7" t="s">
        <v>28</v>
      </c>
      <c r="E7" s="98" t="s">
        <v>30</v>
      </c>
      <c r="F7" s="99" t="s">
        <v>147</v>
      </c>
      <c r="G7" s="99" t="s">
        <v>31</v>
      </c>
      <c r="H7" s="99" t="s">
        <v>109</v>
      </c>
      <c r="I7" s="99" t="s">
        <v>148</v>
      </c>
      <c r="J7" s="99" t="s">
        <v>29</v>
      </c>
      <c r="K7" s="99" t="s">
        <v>149</v>
      </c>
      <c r="L7" s="99" t="s">
        <v>150</v>
      </c>
      <c r="M7" s="99" t="s">
        <v>128</v>
      </c>
      <c r="N7" s="99" t="s">
        <v>151</v>
      </c>
      <c r="O7" s="99" t="s">
        <v>152</v>
      </c>
      <c r="P7" s="99" t="s">
        <v>87</v>
      </c>
      <c r="Q7" s="100" t="s">
        <v>32</v>
      </c>
      <c r="R7" s="101" t="s">
        <v>33</v>
      </c>
    </row>
    <row r="8" spans="4:18" ht="30" customHeight="1" x14ac:dyDescent="0.3">
      <c r="D8" s="85" t="str">
        <f>+'Elementos de la operación'!D3</f>
        <v>Preparar armado</v>
      </c>
      <c r="E8" s="92">
        <v>0.05</v>
      </c>
      <c r="F8" s="86">
        <v>0.05</v>
      </c>
      <c r="G8" s="86">
        <v>0.02</v>
      </c>
      <c r="H8" s="86">
        <v>0.02</v>
      </c>
      <c r="I8" s="86">
        <v>0.02</v>
      </c>
      <c r="J8" s="86">
        <v>0.02</v>
      </c>
      <c r="K8" s="86">
        <v>0</v>
      </c>
      <c r="L8" s="86">
        <v>0</v>
      </c>
      <c r="M8" s="86">
        <v>0</v>
      </c>
      <c r="N8" s="86">
        <v>0</v>
      </c>
      <c r="O8" s="86">
        <v>0.02</v>
      </c>
      <c r="P8" s="86">
        <v>0</v>
      </c>
      <c r="Q8" s="95">
        <f>(SUM(E8:P8))</f>
        <v>0.19999999999999998</v>
      </c>
      <c r="R8" s="87">
        <f>Q8+1</f>
        <v>1.2</v>
      </c>
    </row>
    <row r="9" spans="4:18" ht="30" customHeight="1" x14ac:dyDescent="0.3">
      <c r="D9" s="85" t="str">
        <f>+'Elementos de la operación'!D4</f>
        <v>Rotular caja</v>
      </c>
      <c r="E9" s="93">
        <v>0.05</v>
      </c>
      <c r="F9" s="88">
        <v>0.05</v>
      </c>
      <c r="G9" s="88">
        <v>0.02</v>
      </c>
      <c r="H9" s="88">
        <v>0.02</v>
      </c>
      <c r="I9" s="88">
        <v>0.02</v>
      </c>
      <c r="J9" s="88">
        <v>0.02</v>
      </c>
      <c r="K9" s="88">
        <v>0</v>
      </c>
      <c r="L9" s="88">
        <v>0</v>
      </c>
      <c r="M9" s="88">
        <v>0</v>
      </c>
      <c r="N9" s="88">
        <v>0</v>
      </c>
      <c r="O9" s="88">
        <v>0.02</v>
      </c>
      <c r="P9" s="88">
        <v>0</v>
      </c>
      <c r="Q9" s="95">
        <f t="shared" ref="Q9:Q11" si="0">(SUM(E9:P9))</f>
        <v>0.19999999999999998</v>
      </c>
      <c r="R9" s="87">
        <f t="shared" ref="R9:R12" si="1">Q9+1</f>
        <v>1.2</v>
      </c>
    </row>
    <row r="10" spans="4:18" ht="30" customHeight="1" x14ac:dyDescent="0.3">
      <c r="D10" s="85" t="str">
        <f>+'Elementos de la operación'!D5</f>
        <v>Clasificar prendas</v>
      </c>
      <c r="E10" s="93">
        <v>0.05</v>
      </c>
      <c r="F10" s="88">
        <v>0.05</v>
      </c>
      <c r="G10" s="88">
        <v>0.02</v>
      </c>
      <c r="H10" s="88">
        <v>0.02</v>
      </c>
      <c r="I10" s="88">
        <v>0.02</v>
      </c>
      <c r="J10" s="88">
        <v>0.02</v>
      </c>
      <c r="K10" s="88">
        <v>0</v>
      </c>
      <c r="L10" s="88">
        <v>0</v>
      </c>
      <c r="M10" s="88">
        <v>0</v>
      </c>
      <c r="N10" s="88">
        <v>0</v>
      </c>
      <c r="O10" s="88">
        <v>0.02</v>
      </c>
      <c r="P10" s="88">
        <v>0</v>
      </c>
      <c r="Q10" s="95">
        <f t="shared" si="0"/>
        <v>0.19999999999999998</v>
      </c>
      <c r="R10" s="87">
        <f t="shared" si="1"/>
        <v>1.2</v>
      </c>
    </row>
    <row r="11" spans="4:18" ht="30" customHeight="1" x14ac:dyDescent="0.3">
      <c r="D11" s="85" t="str">
        <f>+'Elementos de la operación'!D6</f>
        <v>Llenar caja</v>
      </c>
      <c r="E11" s="93">
        <v>0.05</v>
      </c>
      <c r="F11" s="88">
        <v>0.05</v>
      </c>
      <c r="G11" s="88">
        <v>0.02</v>
      </c>
      <c r="H11" s="88">
        <v>0.02</v>
      </c>
      <c r="I11" s="88">
        <v>0.02</v>
      </c>
      <c r="J11" s="88">
        <v>0.02</v>
      </c>
      <c r="K11" s="88">
        <v>0</v>
      </c>
      <c r="L11" s="88">
        <v>0</v>
      </c>
      <c r="M11" s="88">
        <v>0</v>
      </c>
      <c r="N11" s="88">
        <v>0</v>
      </c>
      <c r="O11" s="88">
        <v>0.02</v>
      </c>
      <c r="P11" s="88">
        <v>0</v>
      </c>
      <c r="Q11" s="95">
        <f t="shared" si="0"/>
        <v>0.19999999999999998</v>
      </c>
      <c r="R11" s="87">
        <f t="shared" si="1"/>
        <v>1.2</v>
      </c>
    </row>
    <row r="12" spans="4:18" ht="30" customHeight="1" x14ac:dyDescent="0.3">
      <c r="D12" s="89" t="str">
        <f>+'Elementos de la operación'!D7</f>
        <v>Cerrar y forrar Caja</v>
      </c>
      <c r="E12" s="94">
        <v>0.05</v>
      </c>
      <c r="F12" s="90">
        <v>0.05</v>
      </c>
      <c r="G12" s="90">
        <v>0.02</v>
      </c>
      <c r="H12" s="90">
        <v>0.02</v>
      </c>
      <c r="I12" s="90">
        <v>0.02</v>
      </c>
      <c r="J12" s="90">
        <v>0.02</v>
      </c>
      <c r="K12" s="90">
        <v>0</v>
      </c>
      <c r="L12" s="90">
        <v>0</v>
      </c>
      <c r="M12" s="90">
        <v>0</v>
      </c>
      <c r="N12" s="90">
        <v>0</v>
      </c>
      <c r="O12" s="90">
        <v>0.02</v>
      </c>
      <c r="P12" s="90">
        <v>0</v>
      </c>
      <c r="Q12" s="96">
        <f t="shared" ref="Q12" si="2">(SUM(E12:P12))</f>
        <v>0.19999999999999998</v>
      </c>
      <c r="R12" s="91">
        <f t="shared" si="1"/>
        <v>1.2</v>
      </c>
    </row>
    <row r="13" spans="4:18" ht="15" customHeight="1" x14ac:dyDescent="0.3"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O79"/>
  <sheetViews>
    <sheetView tabSelected="1" topLeftCell="A28" workbookViewId="0">
      <selection activeCell="J44" sqref="J44"/>
    </sheetView>
  </sheetViews>
  <sheetFormatPr baseColWidth="10" defaultRowHeight="14.4" x14ac:dyDescent="0.3"/>
  <cols>
    <col min="3" max="3" width="18.44140625" customWidth="1"/>
    <col min="5" max="5" width="20.77734375" customWidth="1"/>
    <col min="6" max="6" width="15.5546875" customWidth="1"/>
    <col min="7" max="7" width="19.88671875" customWidth="1"/>
    <col min="8" max="8" width="20.109375" bestFit="1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2" spans="1:15" ht="15.6" x14ac:dyDescent="0.3">
      <c r="E2" s="27"/>
      <c r="F2" s="28"/>
      <c r="G2" s="27"/>
      <c r="H2" s="27"/>
    </row>
    <row r="3" spans="1:15" ht="15.6" x14ac:dyDescent="0.3">
      <c r="E3" s="27"/>
      <c r="F3" s="28"/>
      <c r="G3" s="27"/>
      <c r="H3" s="27"/>
    </row>
    <row r="4" spans="1:15" ht="15.6" customHeight="1" x14ac:dyDescent="0.3">
      <c r="C4" s="26" t="s">
        <v>100</v>
      </c>
      <c r="E4" s="27"/>
      <c r="F4" t="s">
        <v>102</v>
      </c>
      <c r="G4" s="27"/>
      <c r="H4" s="118" t="s">
        <v>103</v>
      </c>
      <c r="I4" s="118"/>
      <c r="J4" s="118"/>
    </row>
    <row r="5" spans="1:15" ht="15.6" x14ac:dyDescent="0.3">
      <c r="C5" t="str">
        <f>+'Elementos de la operación'!B3</f>
        <v>Encajado</v>
      </c>
      <c r="E5" s="27"/>
      <c r="F5" t="s">
        <v>104</v>
      </c>
      <c r="G5" s="27"/>
      <c r="H5" s="27"/>
    </row>
    <row r="6" spans="1:15" ht="15.6" x14ac:dyDescent="0.3">
      <c r="E6" s="27"/>
      <c r="F6" s="28"/>
      <c r="G6" s="27"/>
      <c r="H6" s="27"/>
    </row>
    <row r="7" spans="1:15" ht="15.6" x14ac:dyDescent="0.3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</row>
    <row r="8" spans="1:15" ht="15.6" x14ac:dyDescent="0.3">
      <c r="A8" s="39"/>
      <c r="B8" s="39"/>
      <c r="C8" s="151" t="s">
        <v>28</v>
      </c>
      <c r="D8" s="153" t="s">
        <v>40</v>
      </c>
      <c r="E8" s="160" t="s">
        <v>105</v>
      </c>
      <c r="F8" s="153" t="s">
        <v>33</v>
      </c>
      <c r="G8" s="153" t="s">
        <v>34</v>
      </c>
      <c r="H8" s="99" t="s">
        <v>35</v>
      </c>
      <c r="I8" s="100" t="s">
        <v>36</v>
      </c>
      <c r="J8" s="99" t="s">
        <v>37</v>
      </c>
      <c r="K8" s="153" t="s">
        <v>38</v>
      </c>
      <c r="L8" s="153" t="s">
        <v>39</v>
      </c>
      <c r="M8" s="155" t="s">
        <v>42</v>
      </c>
      <c r="N8" s="39"/>
      <c r="O8" s="39"/>
    </row>
    <row r="9" spans="1:15" ht="15.6" x14ac:dyDescent="0.3">
      <c r="A9" s="39"/>
      <c r="B9" s="39"/>
      <c r="C9" s="152"/>
      <c r="D9" s="154"/>
      <c r="E9" s="161"/>
      <c r="F9" s="154"/>
      <c r="G9" s="154"/>
      <c r="H9" s="162" t="str">
        <f>+CONCATENATE("POR ",UPPER(C5))</f>
        <v>POR ENCAJADO</v>
      </c>
      <c r="I9" s="162"/>
      <c r="J9" s="162"/>
      <c r="K9" s="154"/>
      <c r="L9" s="154"/>
      <c r="M9" s="156"/>
      <c r="N9" s="39"/>
      <c r="O9" s="39"/>
    </row>
    <row r="10" spans="1:15" ht="28.95" customHeight="1" x14ac:dyDescent="0.3">
      <c r="A10" s="39"/>
      <c r="B10" s="39"/>
      <c r="C10" s="103" t="str">
        <f>+'Elementos de la operación'!D3</f>
        <v>Preparar armado</v>
      </c>
      <c r="D10" s="66" t="s">
        <v>36</v>
      </c>
      <c r="E10" s="65">
        <f ca="1">+MAI!E29</f>
        <v>8331</v>
      </c>
      <c r="F10" s="110">
        <f>+Suplementos!R8</f>
        <v>1.2</v>
      </c>
      <c r="G10" s="66">
        <f ca="1">E10*F10</f>
        <v>9997.1999999999989</v>
      </c>
      <c r="H10" s="104">
        <v>2.5000000000000001E-2</v>
      </c>
      <c r="I10" s="112">
        <f t="shared" ref="I10:I14" ca="1" si="0">+IFERROR(IF(VLOOKUP("tmp",D10,1)="tmp",G10,"")*H10,"")</f>
        <v>249.92999999999998</v>
      </c>
      <c r="J10" s="105" t="str">
        <f t="shared" ref="J10:J14" si="1">+IFERROR(IF(VLOOKUP("ttm",D10,1)="ttm",G10,"")*H10,"")</f>
        <v/>
      </c>
      <c r="K10" s="113">
        <f ca="1">+SUM(I10:J10)</f>
        <v>249.92999999999998</v>
      </c>
      <c r="L10" s="113">
        <f ca="1">K10*0.75</f>
        <v>187.44749999999999</v>
      </c>
      <c r="M10" s="106">
        <f ca="1">K10*0.8</f>
        <v>199.94399999999999</v>
      </c>
      <c r="N10" s="39"/>
      <c r="O10" s="39"/>
    </row>
    <row r="11" spans="1:15" ht="28.95" customHeight="1" x14ac:dyDescent="0.3">
      <c r="A11" s="39"/>
      <c r="B11" s="39"/>
      <c r="C11" s="103" t="str">
        <f>+'Elementos de la operación'!D4</f>
        <v>Rotular caja</v>
      </c>
      <c r="D11" s="66" t="s">
        <v>36</v>
      </c>
      <c r="E11" s="65">
        <f ca="1">+MAI!E63</f>
        <v>8158</v>
      </c>
      <c r="F11" s="110">
        <f>+Suplementos!R9</f>
        <v>1.2</v>
      </c>
      <c r="G11" s="66">
        <f t="shared" ref="G11:G14" ca="1" si="2">E11*F11</f>
        <v>9789.6</v>
      </c>
      <c r="H11" s="104">
        <v>2.5000000000000001E-2</v>
      </c>
      <c r="I11" s="113">
        <f t="shared" ca="1" si="0"/>
        <v>244.74</v>
      </c>
      <c r="J11" s="105" t="str">
        <f t="shared" si="1"/>
        <v/>
      </c>
      <c r="K11" s="113">
        <f t="shared" ref="K11:K14" ca="1" si="3">+SUM(I11:J11)</f>
        <v>244.74</v>
      </c>
      <c r="L11" s="113">
        <f t="shared" ref="L11:L14" ca="1" si="4">K11*0.75</f>
        <v>183.55500000000001</v>
      </c>
      <c r="M11" s="106">
        <f t="shared" ref="M11:M14" ca="1" si="5">K11*0.8</f>
        <v>195.79200000000003</v>
      </c>
      <c r="N11" s="39"/>
      <c r="O11" s="39"/>
    </row>
    <row r="12" spans="1:15" ht="28.95" customHeight="1" x14ac:dyDescent="0.3">
      <c r="A12" s="65" t="s">
        <v>144</v>
      </c>
      <c r="B12" s="65"/>
      <c r="C12" s="103" t="str">
        <f>+'Elementos de la operación'!D5</f>
        <v>Clasificar prendas</v>
      </c>
      <c r="D12" s="66" t="s">
        <v>36</v>
      </c>
      <c r="E12" s="65">
        <v>57961</v>
      </c>
      <c r="F12" s="110">
        <f>+Suplementos!R10</f>
        <v>1.2</v>
      </c>
      <c r="G12" s="66">
        <f t="shared" si="2"/>
        <v>69553.2</v>
      </c>
      <c r="H12" s="104">
        <v>2.5000000000000001E-2</v>
      </c>
      <c r="I12" s="113">
        <f t="shared" si="0"/>
        <v>1738.83</v>
      </c>
      <c r="J12" s="105" t="str">
        <f t="shared" si="1"/>
        <v/>
      </c>
      <c r="K12" s="113">
        <f t="shared" si="3"/>
        <v>1738.83</v>
      </c>
      <c r="L12" s="113">
        <f t="shared" si="4"/>
        <v>1304.1224999999999</v>
      </c>
      <c r="M12" s="106">
        <f t="shared" si="5"/>
        <v>1391.0640000000001</v>
      </c>
      <c r="N12" s="39"/>
      <c r="O12" s="39"/>
    </row>
    <row r="13" spans="1:15" ht="28.95" customHeight="1" x14ac:dyDescent="0.3">
      <c r="A13" s="65" t="s">
        <v>144</v>
      </c>
      <c r="B13" s="65"/>
      <c r="C13" s="103" t="str">
        <f>+'Elementos de la operación'!D6</f>
        <v>Llenar caja</v>
      </c>
      <c r="D13" s="66" t="s">
        <v>36</v>
      </c>
      <c r="E13" s="65">
        <v>45294</v>
      </c>
      <c r="F13" s="110">
        <f>+Suplementos!R11</f>
        <v>1.2</v>
      </c>
      <c r="G13" s="66">
        <f t="shared" si="2"/>
        <v>54352.799999999996</v>
      </c>
      <c r="H13" s="104">
        <v>2.5000000000000001E-2</v>
      </c>
      <c r="I13" s="113">
        <f t="shared" si="0"/>
        <v>1358.82</v>
      </c>
      <c r="J13" s="105" t="str">
        <f t="shared" si="1"/>
        <v/>
      </c>
      <c r="K13" s="113">
        <f t="shared" si="3"/>
        <v>1358.82</v>
      </c>
      <c r="L13" s="113">
        <f t="shared" si="4"/>
        <v>1019.115</v>
      </c>
      <c r="M13" s="106">
        <f t="shared" si="5"/>
        <v>1087.056</v>
      </c>
      <c r="N13" s="39"/>
      <c r="O13" s="39"/>
    </row>
    <row r="14" spans="1:15" ht="28.95" customHeight="1" x14ac:dyDescent="0.3">
      <c r="A14" s="39"/>
      <c r="B14" s="39"/>
      <c r="C14" s="103" t="str">
        <f>+'Elementos de la operación'!D7</f>
        <v>Cerrar y forrar Caja</v>
      </c>
      <c r="D14" s="67" t="s">
        <v>36</v>
      </c>
      <c r="E14" s="65">
        <f ca="1">+MAI!E97</f>
        <v>36189</v>
      </c>
      <c r="F14" s="111">
        <f>+Suplementos!R12</f>
        <v>1.2</v>
      </c>
      <c r="G14" s="67">
        <f t="shared" ca="1" si="2"/>
        <v>43426.799999999996</v>
      </c>
      <c r="H14" s="104">
        <v>2.5000000000000001E-2</v>
      </c>
      <c r="I14" s="113">
        <f t="shared" ca="1" si="0"/>
        <v>1085.6699999999998</v>
      </c>
      <c r="J14" s="105" t="str">
        <f t="shared" si="1"/>
        <v/>
      </c>
      <c r="K14" s="113">
        <f t="shared" ca="1" si="3"/>
        <v>1085.6699999999998</v>
      </c>
      <c r="L14" s="113">
        <f t="shared" ca="1" si="4"/>
        <v>814.25249999999983</v>
      </c>
      <c r="M14" s="106">
        <f t="shared" ca="1" si="5"/>
        <v>868.53599999999994</v>
      </c>
      <c r="N14" s="39"/>
      <c r="O14" s="39"/>
    </row>
    <row r="15" spans="1:15" ht="15.6" customHeight="1" x14ac:dyDescent="0.3">
      <c r="A15" s="39"/>
      <c r="B15" s="39"/>
      <c r="C15" s="157" t="s">
        <v>106</v>
      </c>
      <c r="D15" s="158"/>
      <c r="E15" s="158"/>
      <c r="F15" s="158"/>
      <c r="G15" s="158"/>
      <c r="H15" s="158"/>
      <c r="I15" s="112">
        <f ca="1">SUM(I10:I14)</f>
        <v>4677.99</v>
      </c>
      <c r="J15" s="102">
        <f>SUM(J10:J14)</f>
        <v>0</v>
      </c>
      <c r="K15" s="112">
        <f ca="1">SUM(K10:K13)</f>
        <v>3592.3199999999997</v>
      </c>
      <c r="L15" s="112"/>
      <c r="M15" s="107"/>
      <c r="N15" s="39"/>
      <c r="O15" s="39"/>
    </row>
    <row r="16" spans="1:15" ht="15.6" customHeight="1" x14ac:dyDescent="0.3">
      <c r="A16" s="39"/>
      <c r="B16" s="39"/>
      <c r="C16" s="157" t="s">
        <v>107</v>
      </c>
      <c r="D16" s="158"/>
      <c r="E16" s="158"/>
      <c r="F16" s="158"/>
      <c r="G16" s="158"/>
      <c r="H16" s="158"/>
      <c r="I16" s="112">
        <f ca="1">I15*0.75</f>
        <v>3508.4924999999998</v>
      </c>
      <c r="J16" s="102">
        <f>J15*0.75</f>
        <v>0</v>
      </c>
      <c r="K16" s="112"/>
      <c r="L16" s="112">
        <f ca="1">SUM(L10:L13)</f>
        <v>2694.24</v>
      </c>
      <c r="M16" s="107"/>
      <c r="N16" s="39"/>
      <c r="O16" s="39"/>
    </row>
    <row r="17" spans="1:15" ht="15.6" customHeight="1" x14ac:dyDescent="0.3">
      <c r="A17" s="39"/>
      <c r="B17" s="39"/>
      <c r="C17" s="157" t="s">
        <v>41</v>
      </c>
      <c r="D17" s="158"/>
      <c r="E17" s="158"/>
      <c r="F17" s="158"/>
      <c r="G17" s="158"/>
      <c r="H17" s="158"/>
      <c r="I17" s="114">
        <f ca="1">I15*0.8</f>
        <v>3742.3919999999998</v>
      </c>
      <c r="J17" s="108">
        <f>J15*0.8</f>
        <v>0</v>
      </c>
      <c r="K17" s="114"/>
      <c r="L17" s="114"/>
      <c r="M17" s="109">
        <f ca="1">SUM(I17:J17)</f>
        <v>3742.3919999999998</v>
      </c>
      <c r="N17" s="39"/>
      <c r="O17" s="39"/>
    </row>
    <row r="18" spans="1:15" ht="14.4" customHeight="1" x14ac:dyDescent="0.3">
      <c r="A18" s="39"/>
      <c r="B18" s="39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39"/>
      <c r="O18" s="39"/>
    </row>
    <row r="19" spans="1:15" ht="14.4" customHeight="1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</row>
    <row r="20" spans="1:15" ht="15.6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</row>
    <row r="21" spans="1:15" ht="15.6" x14ac:dyDescent="0.3">
      <c r="A21" s="39"/>
      <c r="B21" s="39"/>
      <c r="C21" s="39"/>
      <c r="D21" s="39"/>
      <c r="E21" s="39"/>
      <c r="F21" s="153" t="s">
        <v>43</v>
      </c>
      <c r="G21" s="78" t="s">
        <v>45</v>
      </c>
      <c r="H21" s="115">
        <f ca="1">SUM(I15:J15)</f>
        <v>4677.99</v>
      </c>
      <c r="I21" s="39"/>
      <c r="J21" s="39"/>
      <c r="K21" s="39"/>
      <c r="L21" s="39"/>
      <c r="M21" s="39"/>
      <c r="N21" s="39"/>
      <c r="O21" s="39"/>
    </row>
    <row r="22" spans="1:15" ht="15.6" x14ac:dyDescent="0.3">
      <c r="A22" s="39"/>
      <c r="B22" s="39"/>
      <c r="C22" s="39"/>
      <c r="D22" s="39"/>
      <c r="E22" s="39"/>
      <c r="F22" s="159"/>
      <c r="G22" s="39" t="s">
        <v>46</v>
      </c>
      <c r="H22" s="116">
        <f ca="1">SUM(I16:J16)</f>
        <v>3508.4924999999998</v>
      </c>
      <c r="I22" s="39"/>
      <c r="J22" s="39"/>
      <c r="K22" s="39"/>
      <c r="L22" s="39"/>
      <c r="M22" s="39"/>
      <c r="N22" s="39"/>
      <c r="O22" s="39"/>
    </row>
    <row r="23" spans="1:15" ht="15.6" x14ac:dyDescent="0.3">
      <c r="A23" s="39"/>
      <c r="B23" s="39"/>
      <c r="C23" s="39"/>
      <c r="D23" s="39"/>
      <c r="E23" s="39"/>
      <c r="F23" s="154"/>
      <c r="G23" s="55" t="s">
        <v>29</v>
      </c>
      <c r="H23" s="117">
        <f ca="1">SUM(I17:J17)</f>
        <v>3742.3919999999998</v>
      </c>
      <c r="I23" s="39"/>
      <c r="J23" s="39"/>
      <c r="K23" s="39"/>
      <c r="L23" s="39"/>
      <c r="M23" s="39"/>
      <c r="N23" s="39"/>
      <c r="O23" s="39"/>
    </row>
    <row r="24" spans="1:15" ht="15.6" x14ac:dyDescent="0.3">
      <c r="A24" s="39"/>
      <c r="B24" s="39"/>
      <c r="C24" s="39"/>
      <c r="D24" s="39"/>
      <c r="E24" s="39"/>
      <c r="F24" s="153" t="s">
        <v>44</v>
      </c>
      <c r="G24" s="78" t="s">
        <v>45</v>
      </c>
      <c r="H24" s="115">
        <f>J15</f>
        <v>0</v>
      </c>
      <c r="I24" s="39"/>
      <c r="J24" s="39"/>
      <c r="K24" s="39"/>
      <c r="L24" s="39"/>
      <c r="M24" s="39"/>
      <c r="N24" s="39"/>
      <c r="O24" s="39"/>
    </row>
    <row r="25" spans="1:15" ht="15.6" x14ac:dyDescent="0.3">
      <c r="A25" s="39"/>
      <c r="B25" s="39"/>
      <c r="C25" s="39"/>
      <c r="D25" s="39"/>
      <c r="E25" s="39"/>
      <c r="F25" s="159"/>
      <c r="G25" s="39" t="s">
        <v>46</v>
      </c>
      <c r="H25" s="116">
        <f>J16</f>
        <v>0</v>
      </c>
      <c r="I25" s="39"/>
      <c r="J25" s="39"/>
      <c r="K25" s="39"/>
      <c r="L25" s="39"/>
      <c r="M25" s="39"/>
      <c r="N25" s="39"/>
      <c r="O25" s="39"/>
    </row>
    <row r="26" spans="1:15" ht="15.6" x14ac:dyDescent="0.3">
      <c r="A26" s="39"/>
      <c r="B26" s="39"/>
      <c r="C26" s="39"/>
      <c r="D26" s="39"/>
      <c r="E26" s="39"/>
      <c r="F26" s="154"/>
      <c r="G26" s="55" t="s">
        <v>29</v>
      </c>
      <c r="H26" s="117">
        <f>J17</f>
        <v>0</v>
      </c>
      <c r="I26" s="39"/>
      <c r="J26" s="39"/>
      <c r="K26" s="39"/>
      <c r="L26" s="39"/>
      <c r="M26" s="39"/>
      <c r="N26" s="39"/>
      <c r="O26" s="39"/>
    </row>
    <row r="27" spans="1:15" ht="15.6" x14ac:dyDescent="0.3">
      <c r="A27" s="39"/>
      <c r="B27" s="39"/>
      <c r="C27" s="39"/>
      <c r="D27" s="39"/>
      <c r="E27" s="39"/>
      <c r="F27" s="159" t="s">
        <v>108</v>
      </c>
      <c r="G27" s="39" t="s">
        <v>45</v>
      </c>
      <c r="H27" s="116">
        <f ca="1">SUM(I15:J15)</f>
        <v>4677.99</v>
      </c>
      <c r="I27" s="39"/>
      <c r="J27" s="39"/>
      <c r="K27" s="39"/>
      <c r="L27" s="39"/>
      <c r="M27" s="39"/>
      <c r="N27" s="39"/>
      <c r="O27" s="39"/>
    </row>
    <row r="28" spans="1:15" ht="15.6" x14ac:dyDescent="0.3">
      <c r="A28" s="39"/>
      <c r="B28" s="39"/>
      <c r="C28" s="39"/>
      <c r="D28" s="39"/>
      <c r="E28" s="39"/>
      <c r="F28" s="159"/>
      <c r="G28" s="39" t="s">
        <v>46</v>
      </c>
      <c r="H28" s="116">
        <f ca="1">SUM(I16:J16)</f>
        <v>3508.4924999999998</v>
      </c>
      <c r="I28" s="39"/>
      <c r="J28" s="39"/>
      <c r="K28" s="39"/>
      <c r="L28" s="39"/>
      <c r="M28" s="39"/>
      <c r="N28" s="39"/>
      <c r="O28" s="39"/>
    </row>
    <row r="29" spans="1:15" ht="15.6" x14ac:dyDescent="0.3">
      <c r="A29" s="39"/>
      <c r="B29" s="39"/>
      <c r="C29" s="39"/>
      <c r="D29" s="39"/>
      <c r="E29" s="39"/>
      <c r="F29" s="154"/>
      <c r="G29" s="55" t="s">
        <v>29</v>
      </c>
      <c r="H29" s="117">
        <f ca="1">SUM(I17:J17)</f>
        <v>3742.3919999999998</v>
      </c>
      <c r="I29" s="39"/>
      <c r="J29" s="39"/>
      <c r="K29" s="39"/>
      <c r="L29" s="39"/>
      <c r="M29" s="39"/>
      <c r="N29" s="39"/>
      <c r="O29" s="39"/>
    </row>
    <row r="30" spans="1:15" ht="15.6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</row>
    <row r="31" spans="1:15" ht="15.6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</row>
    <row r="32" spans="1:15" ht="15.6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</row>
    <row r="33" spans="1:15" ht="15.6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</row>
    <row r="34" spans="1:15" ht="15.6" x14ac:dyDescent="0.3">
      <c r="A34" s="39"/>
      <c r="B34" s="39"/>
      <c r="C34" s="39"/>
      <c r="D34" s="39"/>
      <c r="E34" s="151" t="s">
        <v>153</v>
      </c>
      <c r="F34" s="153" t="s">
        <v>47</v>
      </c>
      <c r="G34" s="153" t="s">
        <v>48</v>
      </c>
      <c r="H34" s="155" t="s">
        <v>154</v>
      </c>
      <c r="I34" s="39"/>
      <c r="J34" s="39"/>
      <c r="K34" s="39"/>
      <c r="L34" s="39"/>
      <c r="M34" s="39"/>
      <c r="N34" s="39"/>
      <c r="O34" s="39"/>
    </row>
    <row r="35" spans="1:15" ht="15.6" x14ac:dyDescent="0.3">
      <c r="A35" s="39"/>
      <c r="B35" s="39"/>
      <c r="C35" s="39"/>
      <c r="D35" s="39"/>
      <c r="E35" s="152"/>
      <c r="F35" s="154"/>
      <c r="G35" s="154"/>
      <c r="H35" s="156"/>
      <c r="I35" s="39"/>
      <c r="J35" s="39"/>
      <c r="K35" s="39"/>
      <c r="L35" s="39"/>
      <c r="M35" s="39"/>
      <c r="N35" s="39"/>
      <c r="O35" s="39"/>
    </row>
    <row r="36" spans="1:15" ht="16.95" customHeight="1" x14ac:dyDescent="0.3">
      <c r="A36" s="39"/>
      <c r="B36" s="39"/>
      <c r="C36" s="39"/>
      <c r="D36" s="39"/>
      <c r="E36" s="145" t="s">
        <v>49</v>
      </c>
      <c r="F36" s="147">
        <f ca="1">360000/H27</f>
        <v>76.956128593690877</v>
      </c>
      <c r="G36" s="147">
        <f ca="1">360000/H28</f>
        <v>102.60817145825452</v>
      </c>
      <c r="H36" s="149">
        <f ca="1">360000/H29</f>
        <v>96.1951607421136</v>
      </c>
      <c r="I36" s="39"/>
      <c r="J36" s="39"/>
      <c r="K36" s="39"/>
      <c r="L36" s="39"/>
      <c r="M36" s="39"/>
      <c r="N36" s="39"/>
      <c r="O36" s="39"/>
    </row>
    <row r="37" spans="1:15" ht="16.95" customHeight="1" x14ac:dyDescent="0.3">
      <c r="A37" s="39"/>
      <c r="B37" s="39"/>
      <c r="C37" s="39"/>
      <c r="D37" s="39"/>
      <c r="E37" s="145"/>
      <c r="F37" s="147"/>
      <c r="G37" s="147"/>
      <c r="H37" s="149"/>
      <c r="I37" s="39"/>
      <c r="J37" s="39"/>
      <c r="K37" s="39"/>
      <c r="L37" s="39"/>
      <c r="M37" s="39"/>
      <c r="N37" s="39"/>
      <c r="O37" s="39"/>
    </row>
    <row r="38" spans="1:15" ht="16.95" customHeight="1" x14ac:dyDescent="0.3">
      <c r="A38" s="39"/>
      <c r="B38" s="39"/>
      <c r="C38" s="39"/>
      <c r="D38" s="39"/>
      <c r="E38" s="145" t="s">
        <v>50</v>
      </c>
      <c r="F38" s="147">
        <f ca="1">((H21*100)/H27)</f>
        <v>100</v>
      </c>
      <c r="G38" s="147">
        <f ca="1">((H22*100)/H28)</f>
        <v>100</v>
      </c>
      <c r="H38" s="149">
        <f ca="1">((H23*100)/H29)</f>
        <v>99.999999999999986</v>
      </c>
      <c r="I38" s="39"/>
      <c r="J38" s="39"/>
      <c r="K38" s="39"/>
      <c r="L38" s="39"/>
      <c r="M38" s="39"/>
      <c r="N38" s="39"/>
      <c r="O38" s="39"/>
    </row>
    <row r="39" spans="1:15" ht="16.95" customHeight="1" x14ac:dyDescent="0.3">
      <c r="A39" s="39"/>
      <c r="B39" s="39"/>
      <c r="C39" s="39"/>
      <c r="D39" s="39"/>
      <c r="E39" s="145"/>
      <c r="F39" s="147"/>
      <c r="G39" s="147"/>
      <c r="H39" s="149"/>
      <c r="I39" s="39"/>
      <c r="J39" s="39"/>
      <c r="K39" s="39"/>
      <c r="L39" s="39"/>
      <c r="M39" s="39"/>
      <c r="N39" s="39"/>
      <c r="O39" s="39"/>
    </row>
    <row r="40" spans="1:15" ht="16.95" customHeight="1" x14ac:dyDescent="0.3">
      <c r="A40" s="39"/>
      <c r="B40" s="39"/>
      <c r="C40" s="39"/>
      <c r="D40" s="39"/>
      <c r="E40" s="145" t="s">
        <v>51</v>
      </c>
      <c r="F40" s="147">
        <f ca="1">100/F38</f>
        <v>1</v>
      </c>
      <c r="G40" s="147">
        <f ca="1">100/G38</f>
        <v>1</v>
      </c>
      <c r="H40" s="149">
        <f ca="1">100/H38</f>
        <v>1.0000000000000002</v>
      </c>
      <c r="I40" s="39"/>
      <c r="J40" s="39"/>
      <c r="K40" s="39"/>
      <c r="L40" s="39"/>
      <c r="M40" s="39"/>
      <c r="N40" s="39"/>
      <c r="O40" s="39"/>
    </row>
    <row r="41" spans="1:15" ht="16.95" customHeight="1" x14ac:dyDescent="0.3">
      <c r="A41" s="39"/>
      <c r="B41" s="39"/>
      <c r="C41" s="39"/>
      <c r="D41" s="39"/>
      <c r="E41" s="145"/>
      <c r="F41" s="147"/>
      <c r="G41" s="147"/>
      <c r="H41" s="149"/>
      <c r="I41" s="39"/>
      <c r="J41" s="39"/>
      <c r="K41" s="39"/>
      <c r="L41" s="39"/>
      <c r="M41" s="39"/>
      <c r="N41" s="39"/>
      <c r="O41" s="39"/>
    </row>
    <row r="42" spans="1:15" ht="16.95" customHeight="1" x14ac:dyDescent="0.3">
      <c r="A42" s="39"/>
      <c r="B42" s="39"/>
      <c r="C42" s="39"/>
      <c r="D42" s="39"/>
      <c r="E42" s="145" t="s">
        <v>52</v>
      </c>
      <c r="F42" s="147" t="str">
        <f ca="1">IF((H24*100)/H27,0,"-")</f>
        <v>-</v>
      </c>
      <c r="G42" s="147" t="str">
        <f ca="1">IF((H25*100)/H28,0,"-")</f>
        <v>-</v>
      </c>
      <c r="H42" s="149" t="str">
        <f ca="1">IF((H26*100)/H29,0,"-")</f>
        <v>-</v>
      </c>
      <c r="I42" s="39"/>
      <c r="J42" s="39"/>
      <c r="K42" s="39"/>
      <c r="L42" s="39"/>
      <c r="M42" s="39"/>
      <c r="N42" s="39"/>
      <c r="O42" s="39"/>
    </row>
    <row r="43" spans="1:15" ht="16.95" customHeight="1" x14ac:dyDescent="0.3">
      <c r="A43" s="39"/>
      <c r="B43" s="39"/>
      <c r="C43" s="39"/>
      <c r="D43" s="39"/>
      <c r="E43" s="145"/>
      <c r="F43" s="147"/>
      <c r="G43" s="147"/>
      <c r="H43" s="149"/>
      <c r="I43" s="39"/>
      <c r="J43" s="39"/>
      <c r="K43" s="39"/>
      <c r="L43" s="39"/>
      <c r="M43" s="39"/>
      <c r="N43" s="39"/>
      <c r="O43" s="39"/>
    </row>
    <row r="44" spans="1:15" ht="16.95" customHeight="1" x14ac:dyDescent="0.3">
      <c r="A44" s="39"/>
      <c r="B44" s="39"/>
      <c r="C44" s="39"/>
      <c r="D44" s="39"/>
      <c r="E44" s="145" t="s">
        <v>54</v>
      </c>
      <c r="F44" s="147" t="s">
        <v>53</v>
      </c>
      <c r="G44" s="147" t="str">
        <f>IFERROR(360000/H25,"-")</f>
        <v>-</v>
      </c>
      <c r="H44" s="149" t="s">
        <v>53</v>
      </c>
      <c r="I44" s="39"/>
      <c r="J44" s="39"/>
      <c r="K44" s="39"/>
      <c r="L44" s="39"/>
      <c r="M44" s="39"/>
      <c r="N44" s="39"/>
      <c r="O44" s="39"/>
    </row>
    <row r="45" spans="1:15" ht="16.95" customHeight="1" x14ac:dyDescent="0.3">
      <c r="A45" s="39"/>
      <c r="B45" s="39"/>
      <c r="C45" s="39"/>
      <c r="D45" s="39"/>
      <c r="E45" s="145"/>
      <c r="F45" s="147"/>
      <c r="G45" s="147"/>
      <c r="H45" s="149"/>
      <c r="I45" s="39"/>
      <c r="J45" s="39"/>
      <c r="K45" s="39"/>
      <c r="L45" s="39"/>
      <c r="M45" s="39"/>
      <c r="N45" s="39"/>
      <c r="O45" s="39"/>
    </row>
    <row r="46" spans="1:15" ht="16.95" customHeight="1" x14ac:dyDescent="0.3">
      <c r="A46" s="39"/>
      <c r="B46" s="39"/>
      <c r="C46" s="39"/>
      <c r="D46" s="39"/>
      <c r="E46" s="145" t="s">
        <v>57</v>
      </c>
      <c r="F46" s="147" t="s">
        <v>53</v>
      </c>
      <c r="G46" s="147">
        <f ca="1">(12*H28*100)/'Error de vuelta a 0'!L9</f>
        <v>3.8125393348371506</v>
      </c>
      <c r="H46" s="149" t="s">
        <v>53</v>
      </c>
      <c r="I46" s="39"/>
      <c r="J46" s="39"/>
      <c r="K46" s="39"/>
      <c r="L46" s="39"/>
      <c r="M46" s="39"/>
      <c r="N46" s="39"/>
      <c r="O46" s="39"/>
    </row>
    <row r="47" spans="1:15" ht="16.95" customHeight="1" x14ac:dyDescent="0.3">
      <c r="A47" s="39"/>
      <c r="B47" s="39"/>
      <c r="C47" s="39"/>
      <c r="D47" s="39"/>
      <c r="E47" s="145"/>
      <c r="F47" s="147"/>
      <c r="G47" s="147"/>
      <c r="H47" s="149"/>
      <c r="I47" s="39"/>
      <c r="J47" s="39"/>
      <c r="K47" s="39"/>
      <c r="L47" s="39"/>
      <c r="M47" s="39"/>
      <c r="N47" s="39"/>
      <c r="O47" s="39"/>
    </row>
    <row r="48" spans="1:15" ht="16.95" customHeight="1" x14ac:dyDescent="0.3">
      <c r="A48" s="39"/>
      <c r="B48" s="39"/>
      <c r="C48" s="39"/>
      <c r="D48" s="39"/>
      <c r="E48" s="145" t="s">
        <v>56</v>
      </c>
      <c r="F48" s="147" t="s">
        <v>53</v>
      </c>
      <c r="G48" s="147">
        <f ca="1">(12*H28*100)/'Error de vuelta a 0'!L8</f>
        <v>3.8125393348371506</v>
      </c>
      <c r="H48" s="149" t="s">
        <v>53</v>
      </c>
      <c r="I48" s="39"/>
      <c r="J48" s="39"/>
      <c r="K48" s="39"/>
      <c r="L48" s="39"/>
      <c r="M48" s="39"/>
      <c r="N48" s="39"/>
      <c r="O48" s="39"/>
    </row>
    <row r="49" spans="1:15" ht="16.95" customHeight="1" x14ac:dyDescent="0.3">
      <c r="A49" s="39"/>
      <c r="B49" s="39"/>
      <c r="C49" s="39"/>
      <c r="D49" s="39"/>
      <c r="E49" s="145"/>
      <c r="F49" s="147"/>
      <c r="G49" s="147"/>
      <c r="H49" s="149"/>
      <c r="I49" s="39"/>
      <c r="J49" s="39"/>
      <c r="K49" s="39"/>
      <c r="L49" s="39"/>
      <c r="M49" s="39"/>
      <c r="N49" s="39"/>
      <c r="O49" s="39"/>
    </row>
    <row r="50" spans="1:15" ht="16.95" customHeight="1" x14ac:dyDescent="0.3">
      <c r="A50" s="39"/>
      <c r="B50" s="39"/>
      <c r="C50" s="39"/>
      <c r="D50" s="39"/>
      <c r="E50" s="145" t="s">
        <v>55</v>
      </c>
      <c r="F50" s="147" t="s">
        <v>53</v>
      </c>
      <c r="G50" s="147">
        <f ca="1">(F36*100)/G36</f>
        <v>74.999999999999986</v>
      </c>
      <c r="H50" s="149" t="s">
        <v>53</v>
      </c>
      <c r="I50" s="39"/>
      <c r="J50" s="39"/>
      <c r="K50" s="39"/>
      <c r="L50" s="39"/>
      <c r="M50" s="39"/>
      <c r="N50" s="39"/>
      <c r="O50" s="39"/>
    </row>
    <row r="51" spans="1:15" ht="16.95" customHeight="1" x14ac:dyDescent="0.3">
      <c r="A51" s="39"/>
      <c r="B51" s="39"/>
      <c r="C51" s="39"/>
      <c r="D51" s="39"/>
      <c r="E51" s="146"/>
      <c r="F51" s="148"/>
      <c r="G51" s="148"/>
      <c r="H51" s="150"/>
      <c r="I51" s="39"/>
      <c r="J51" s="39"/>
      <c r="K51" s="39"/>
      <c r="L51" s="39"/>
      <c r="M51" s="39"/>
      <c r="N51" s="39"/>
      <c r="O51" s="39"/>
    </row>
    <row r="52" spans="1:15" ht="15.6" x14ac:dyDescent="0.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1:15" ht="15.6" x14ac:dyDescent="0.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</row>
    <row r="54" spans="1:15" ht="15.6" x14ac:dyDescent="0.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1:15" ht="15.6" x14ac:dyDescent="0.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1:15" ht="15.6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1:15" ht="15.6" x14ac:dyDescent="0.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1:15" ht="15.6" x14ac:dyDescent="0.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1:15" ht="15.6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1:15" ht="15.6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1:15" ht="15.6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1:15" ht="15.6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  <row r="63" spans="1:15" ht="15.6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</row>
    <row r="64" spans="1:15" ht="15.6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</row>
    <row r="65" spans="1:15" ht="15.6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</row>
    <row r="66" spans="1:15" ht="15.6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</row>
    <row r="67" spans="1:15" ht="15.6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1:15" ht="15.6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</row>
    <row r="69" spans="1:15" ht="15.6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</row>
    <row r="70" spans="1:15" ht="15.6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</row>
    <row r="71" spans="1:15" ht="15.6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</row>
    <row r="72" spans="1:15" ht="15.6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</row>
    <row r="73" spans="1:15" ht="15.6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</row>
    <row r="74" spans="1:15" ht="15.6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</row>
    <row r="75" spans="1:15" ht="15.6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</row>
    <row r="76" spans="1:15" ht="15.6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</row>
    <row r="77" spans="1:15" ht="15.6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</row>
    <row r="78" spans="1:15" ht="15.6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</row>
    <row r="79" spans="1:15" ht="15.6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</row>
  </sheetData>
  <mergeCells count="52">
    <mergeCell ref="C15:H15"/>
    <mergeCell ref="K8:K9"/>
    <mergeCell ref="L8:L9"/>
    <mergeCell ref="M8:M9"/>
    <mergeCell ref="H4:J4"/>
    <mergeCell ref="C8:C9"/>
    <mergeCell ref="D8:D9"/>
    <mergeCell ref="E8:E9"/>
    <mergeCell ref="F8:F9"/>
    <mergeCell ref="G8:G9"/>
    <mergeCell ref="H9:J9"/>
    <mergeCell ref="C17:H17"/>
    <mergeCell ref="F21:F23"/>
    <mergeCell ref="F24:F26"/>
    <mergeCell ref="F27:F29"/>
    <mergeCell ref="C16:H16"/>
    <mergeCell ref="E34:E35"/>
    <mergeCell ref="F34:F35"/>
    <mergeCell ref="G34:G35"/>
    <mergeCell ref="H34:H35"/>
    <mergeCell ref="E36:E37"/>
    <mergeCell ref="F36:F37"/>
    <mergeCell ref="G36:G37"/>
    <mergeCell ref="H36:H37"/>
    <mergeCell ref="E38:E39"/>
    <mergeCell ref="F38:F39"/>
    <mergeCell ref="G38:G39"/>
    <mergeCell ref="H38:H39"/>
    <mergeCell ref="E40:E41"/>
    <mergeCell ref="F40:F41"/>
    <mergeCell ref="G40:G41"/>
    <mergeCell ref="H40:H41"/>
    <mergeCell ref="E42:E43"/>
    <mergeCell ref="F42:F43"/>
    <mergeCell ref="G42:G43"/>
    <mergeCell ref="H42:H43"/>
    <mergeCell ref="E44:E45"/>
    <mergeCell ref="F44:F45"/>
    <mergeCell ref="G44:G45"/>
    <mergeCell ref="H44:H45"/>
    <mergeCell ref="E50:E51"/>
    <mergeCell ref="F50:F51"/>
    <mergeCell ref="G50:G51"/>
    <mergeCell ref="H50:H51"/>
    <mergeCell ref="E46:E47"/>
    <mergeCell ref="F46:F47"/>
    <mergeCell ref="G46:G47"/>
    <mergeCell ref="H46:H47"/>
    <mergeCell ref="E48:E49"/>
    <mergeCell ref="F48:F49"/>
    <mergeCell ref="G48:G49"/>
    <mergeCell ref="H48:H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2022-09-15T20:44:56Z</dcterms:modified>
</cp:coreProperties>
</file>