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67FA88C0-2A21-40B1-B9C1-1B92F7272956}" xr6:coauthVersionLast="47" xr6:coauthVersionMax="47" xr10:uidLastSave="{00000000-0000-0000-0000-000000000000}"/>
  <bookViews>
    <workbookView xWindow="-108" yWindow="-108" windowWidth="23256" windowHeight="12456" firstSheet="2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AI" sheetId="13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5" i="1" l="1"/>
  <c r="N29" i="6" l="1"/>
  <c r="K29" i="6"/>
  <c r="N4" i="6"/>
  <c r="K4" i="6"/>
  <c r="F12" i="10"/>
  <c r="F11" i="10"/>
  <c r="Q11" i="7" l="1"/>
  <c r="R11" i="7" s="1"/>
  <c r="E13" i="12" s="1"/>
  <c r="Q8" i="7"/>
  <c r="Q9" i="7"/>
  <c r="Q10" i="7"/>
  <c r="D11" i="7"/>
  <c r="D8" i="7"/>
  <c r="D9" i="7"/>
  <c r="D10" i="7"/>
  <c r="B5" i="12" l="1"/>
  <c r="G9" i="12" s="1"/>
  <c r="B12" i="12"/>
  <c r="B13" i="12"/>
  <c r="B11" i="12"/>
  <c r="B10" i="12"/>
  <c r="I13" i="12"/>
  <c r="I12" i="12"/>
  <c r="F10" i="10" l="1"/>
  <c r="F9" i="10"/>
  <c r="F8" i="10"/>
  <c r="Q11" i="1" l="1"/>
  <c r="D36" i="13" l="1"/>
  <c r="D2" i="13"/>
  <c r="D70" i="13"/>
  <c r="D104" i="13"/>
  <c r="P30" i="2"/>
  <c r="E127" i="8" s="1"/>
  <c r="G30" i="2"/>
  <c r="E87" i="8" s="1"/>
  <c r="P2" i="2"/>
  <c r="E45" i="8" s="1"/>
  <c r="G2" i="2"/>
  <c r="E3" i="8" s="1"/>
  <c r="L3" i="1"/>
  <c r="Q8" i="1" s="1"/>
  <c r="H16" i="6"/>
  <c r="O33" i="6" l="1"/>
  <c r="K8" i="6"/>
  <c r="L8" i="6"/>
  <c r="K33" i="6"/>
  <c r="D35" i="2" s="1"/>
  <c r="L33" i="6"/>
  <c r="N8" i="6"/>
  <c r="M7" i="2" s="1"/>
  <c r="N33" i="6"/>
  <c r="M35" i="2" s="1"/>
  <c r="O8" i="6"/>
  <c r="H17" i="6"/>
  <c r="N7" i="6"/>
  <c r="M6" i="2" s="1"/>
  <c r="N32" i="6"/>
  <c r="M34" i="2" s="1"/>
  <c r="B20" i="6"/>
  <c r="D5" i="1"/>
  <c r="E5" i="1"/>
  <c r="C5" i="1"/>
  <c r="N34" i="6" l="1"/>
  <c r="M36" i="2" s="1"/>
  <c r="L34" i="6"/>
  <c r="L9" i="6"/>
  <c r="N9" i="6"/>
  <c r="M8" i="2" s="1"/>
  <c r="K9" i="6"/>
  <c r="D8" i="2" s="1"/>
  <c r="O34" i="6"/>
  <c r="K34" i="6"/>
  <c r="D36" i="2" s="1"/>
  <c r="O9" i="6"/>
  <c r="B39" i="13"/>
  <c r="B40" i="13"/>
  <c r="B132" i="8"/>
  <c r="B108" i="13"/>
  <c r="B131" i="8"/>
  <c r="B107" i="13"/>
  <c r="B92" i="8"/>
  <c r="B74" i="13"/>
  <c r="B50" i="8"/>
  <c r="B49" i="8"/>
  <c r="H18" i="6"/>
  <c r="L7" i="6"/>
  <c r="E6" i="2" s="1"/>
  <c r="Q5" i="1"/>
  <c r="O7" i="6"/>
  <c r="N6" i="2" s="1"/>
  <c r="L32" i="6"/>
  <c r="E34" i="2" s="1"/>
  <c r="O32" i="6"/>
  <c r="N34" i="2" s="1"/>
  <c r="K32" i="6"/>
  <c r="D34" i="2" s="1"/>
  <c r="K7" i="6"/>
  <c r="D6" i="2" s="1"/>
  <c r="D7" i="2"/>
  <c r="R10" i="7"/>
  <c r="E12" i="12" s="1"/>
  <c r="R9" i="7"/>
  <c r="E11" i="12" s="1"/>
  <c r="R8" i="7"/>
  <c r="E10" i="12" s="1"/>
  <c r="L35" i="6" l="1"/>
  <c r="N10" i="6"/>
  <c r="M9" i="2" s="1"/>
  <c r="K35" i="6"/>
  <c r="L10" i="6"/>
  <c r="O35" i="6"/>
  <c r="N35" i="6"/>
  <c r="M37" i="2" s="1"/>
  <c r="K10" i="6"/>
  <c r="D9" i="2" s="1"/>
  <c r="O10" i="6"/>
  <c r="B73" i="13"/>
  <c r="B41" i="13"/>
  <c r="C39" i="13"/>
  <c r="C131" i="8"/>
  <c r="C107" i="13"/>
  <c r="B133" i="8"/>
  <c r="B109" i="13"/>
  <c r="C91" i="8"/>
  <c r="C73" i="13"/>
  <c r="B93" i="8"/>
  <c r="B75" i="13"/>
  <c r="C49" i="8"/>
  <c r="B51" i="8"/>
  <c r="C7" i="8"/>
  <c r="C5" i="13"/>
  <c r="B9" i="8"/>
  <c r="B7" i="13"/>
  <c r="B8" i="8"/>
  <c r="B6" i="13"/>
  <c r="B7" i="8"/>
  <c r="B5" i="13"/>
  <c r="H19" i="6"/>
  <c r="E7" i="2"/>
  <c r="B91" i="8"/>
  <c r="O36" i="6" l="1"/>
  <c r="N11" i="6"/>
  <c r="M10" i="2" s="1"/>
  <c r="L36" i="6"/>
  <c r="K11" i="6"/>
  <c r="D10" i="2" s="1"/>
  <c r="K36" i="6"/>
  <c r="D38" i="2" s="1"/>
  <c r="N36" i="6"/>
  <c r="M38" i="2" s="1"/>
  <c r="L11" i="6"/>
  <c r="O11" i="6"/>
  <c r="B42" i="13"/>
  <c r="B134" i="8"/>
  <c r="B110" i="13"/>
  <c r="B52" i="8"/>
  <c r="D37" i="2"/>
  <c r="C8" i="8"/>
  <c r="C6" i="13"/>
  <c r="B10" i="8"/>
  <c r="B8" i="13"/>
  <c r="N7" i="2"/>
  <c r="H20" i="6"/>
  <c r="F7" i="2"/>
  <c r="N35" i="2"/>
  <c r="E8" i="2"/>
  <c r="E35" i="2"/>
  <c r="E33" i="8"/>
  <c r="O34" i="2"/>
  <c r="O6" i="2"/>
  <c r="F34" i="2"/>
  <c r="F6" i="2"/>
  <c r="D107" i="13" l="1"/>
  <c r="K37" i="6"/>
  <c r="D39" i="2" s="1"/>
  <c r="L12" i="6"/>
  <c r="N37" i="6"/>
  <c r="M39" i="2" s="1"/>
  <c r="L37" i="6"/>
  <c r="N12" i="6"/>
  <c r="M11" i="2" s="1"/>
  <c r="O37" i="6"/>
  <c r="K12" i="6"/>
  <c r="D11" i="2" s="1"/>
  <c r="O12" i="6"/>
  <c r="B77" i="13"/>
  <c r="B76" i="13"/>
  <c r="D73" i="13"/>
  <c r="D39" i="13"/>
  <c r="B43" i="13"/>
  <c r="C40" i="13"/>
  <c r="D5" i="13"/>
  <c r="C132" i="8"/>
  <c r="C108" i="13"/>
  <c r="B135" i="8"/>
  <c r="B111" i="13"/>
  <c r="C74" i="13"/>
  <c r="B53" i="8"/>
  <c r="B94" i="8"/>
  <c r="B95" i="8"/>
  <c r="G7" i="2"/>
  <c r="D6" i="13"/>
  <c r="C7" i="13"/>
  <c r="B11" i="8"/>
  <c r="B9" i="13"/>
  <c r="O7" i="2"/>
  <c r="C50" i="8"/>
  <c r="N8" i="2"/>
  <c r="E9" i="2"/>
  <c r="H21" i="6"/>
  <c r="O35" i="2"/>
  <c r="F8" i="2"/>
  <c r="N36" i="2"/>
  <c r="C9" i="8"/>
  <c r="F35" i="2"/>
  <c r="C92" i="8"/>
  <c r="E36" i="2"/>
  <c r="P34" i="2"/>
  <c r="P6" i="2"/>
  <c r="G34" i="2"/>
  <c r="G6" i="2"/>
  <c r="N13" i="6" l="1"/>
  <c r="M12" i="2" s="1"/>
  <c r="L38" i="6"/>
  <c r="L13" i="6"/>
  <c r="O38" i="6"/>
  <c r="K13" i="6"/>
  <c r="D12" i="2" s="1"/>
  <c r="K38" i="6"/>
  <c r="D40" i="2" s="1"/>
  <c r="N38" i="6"/>
  <c r="M40" i="2" s="1"/>
  <c r="O13" i="6"/>
  <c r="B78" i="13"/>
  <c r="B44" i="13"/>
  <c r="C41" i="13"/>
  <c r="D40" i="13"/>
  <c r="C8" i="13"/>
  <c r="B10" i="13"/>
  <c r="C109" i="13"/>
  <c r="P35" i="2"/>
  <c r="D108" i="13"/>
  <c r="B136" i="8"/>
  <c r="B112" i="13"/>
  <c r="G35" i="2"/>
  <c r="D74" i="13"/>
  <c r="C75" i="13"/>
  <c r="P7" i="2"/>
  <c r="B54" i="8"/>
  <c r="B96" i="8"/>
  <c r="G8" i="2"/>
  <c r="D7" i="13"/>
  <c r="C51" i="8"/>
  <c r="O8" i="2"/>
  <c r="N37" i="2"/>
  <c r="E37" i="2"/>
  <c r="B12" i="8"/>
  <c r="H22" i="6"/>
  <c r="O36" i="2"/>
  <c r="C133" i="8"/>
  <c r="C93" i="8"/>
  <c r="F36" i="2"/>
  <c r="N9" i="2"/>
  <c r="E10" i="2"/>
  <c r="C10" i="8"/>
  <c r="F9" i="2"/>
  <c r="G5" i="1"/>
  <c r="K39" i="6" l="1"/>
  <c r="D41" i="2" s="1"/>
  <c r="L14" i="6"/>
  <c r="L39" i="6"/>
  <c r="N14" i="6"/>
  <c r="M13" i="2" s="1"/>
  <c r="N39" i="6"/>
  <c r="M41" i="2" s="1"/>
  <c r="K14" i="6"/>
  <c r="D13" i="2" s="1"/>
  <c r="O39" i="6"/>
  <c r="O14" i="6"/>
  <c r="D75" i="13"/>
  <c r="B79" i="13"/>
  <c r="D41" i="13"/>
  <c r="B45" i="13"/>
  <c r="C42" i="13"/>
  <c r="C9" i="13"/>
  <c r="D8" i="13"/>
  <c r="O37" i="2"/>
  <c r="D110" i="13" s="1"/>
  <c r="C110" i="13"/>
  <c r="P36" i="2"/>
  <c r="D109" i="13"/>
  <c r="B137" i="8"/>
  <c r="B113" i="13"/>
  <c r="C76" i="13"/>
  <c r="P8" i="2"/>
  <c r="B55" i="8"/>
  <c r="B97" i="8"/>
  <c r="B13" i="8"/>
  <c r="B11" i="13"/>
  <c r="F37" i="2"/>
  <c r="C94" i="8"/>
  <c r="C134" i="8"/>
  <c r="E38" i="2"/>
  <c r="N38" i="2"/>
  <c r="N10" i="2"/>
  <c r="E11" i="2"/>
  <c r="H23" i="6"/>
  <c r="G36" i="2"/>
  <c r="O9" i="2"/>
  <c r="C52" i="8"/>
  <c r="G9" i="2"/>
  <c r="C11" i="8"/>
  <c r="F10" i="2"/>
  <c r="K15" i="6" l="1"/>
  <c r="D14" i="2" s="1"/>
  <c r="K40" i="6"/>
  <c r="D42" i="2" s="1"/>
  <c r="N40" i="6"/>
  <c r="M42" i="2" s="1"/>
  <c r="L40" i="6"/>
  <c r="L15" i="6"/>
  <c r="O40" i="6"/>
  <c r="N15" i="6"/>
  <c r="M14" i="2" s="1"/>
  <c r="O15" i="6"/>
  <c r="B80" i="13"/>
  <c r="D76" i="13"/>
  <c r="C77" i="13"/>
  <c r="D42" i="13"/>
  <c r="B46" i="13"/>
  <c r="C43" i="13"/>
  <c r="C10" i="13"/>
  <c r="P37" i="2"/>
  <c r="C111" i="13"/>
  <c r="B138" i="8"/>
  <c r="B114" i="13"/>
  <c r="C53" i="8"/>
  <c r="B56" i="8"/>
  <c r="B98" i="8"/>
  <c r="F38" i="2"/>
  <c r="G37" i="2"/>
  <c r="G10" i="2"/>
  <c r="D9" i="13"/>
  <c r="B14" i="8"/>
  <c r="B12" i="13"/>
  <c r="C95" i="8"/>
  <c r="C135" i="8"/>
  <c r="O38" i="2"/>
  <c r="D111" i="13" s="1"/>
  <c r="O10" i="2"/>
  <c r="E39" i="2"/>
  <c r="N11" i="2"/>
  <c r="E12" i="2"/>
  <c r="C12" i="8"/>
  <c r="F11" i="2"/>
  <c r="H24" i="6"/>
  <c r="P9" i="2"/>
  <c r="N39" i="2"/>
  <c r="L41" i="6" l="1"/>
  <c r="N16" i="6"/>
  <c r="M15" i="2" s="1"/>
  <c r="N41" i="6"/>
  <c r="M43" i="2" s="1"/>
  <c r="K16" i="6"/>
  <c r="D15" i="2" s="1"/>
  <c r="K41" i="6"/>
  <c r="D43" i="2" s="1"/>
  <c r="L16" i="6"/>
  <c r="O41" i="6"/>
  <c r="O16" i="6"/>
  <c r="C78" i="13"/>
  <c r="D77" i="13"/>
  <c r="B81" i="13"/>
  <c r="C44" i="13"/>
  <c r="B47" i="13"/>
  <c r="D43" i="13"/>
  <c r="O39" i="2"/>
  <c r="C112" i="13"/>
  <c r="B139" i="8"/>
  <c r="B115" i="13"/>
  <c r="C54" i="8"/>
  <c r="P10" i="2"/>
  <c r="B57" i="8"/>
  <c r="B99" i="8"/>
  <c r="C96" i="8"/>
  <c r="G38" i="2"/>
  <c r="C13" i="8"/>
  <c r="C11" i="13"/>
  <c r="G11" i="2"/>
  <c r="D10" i="13"/>
  <c r="B15" i="8"/>
  <c r="B13" i="13"/>
  <c r="P38" i="2"/>
  <c r="N40" i="2"/>
  <c r="N12" i="2"/>
  <c r="F39" i="2"/>
  <c r="O11" i="2"/>
  <c r="F12" i="2"/>
  <c r="E13" i="2"/>
  <c r="H25" i="6"/>
  <c r="C136" i="8"/>
  <c r="E40" i="2"/>
  <c r="N42" i="6" l="1"/>
  <c r="M44" i="2" s="1"/>
  <c r="K42" i="6"/>
  <c r="D44" i="2" s="1"/>
  <c r="K17" i="6"/>
  <c r="D16" i="2" s="1"/>
  <c r="N17" i="6"/>
  <c r="M16" i="2" s="1"/>
  <c r="L42" i="6"/>
  <c r="L17" i="6"/>
  <c r="O42" i="6"/>
  <c r="O17" i="6"/>
  <c r="B82" i="13"/>
  <c r="D78" i="13"/>
  <c r="C79" i="13"/>
  <c r="C45" i="13"/>
  <c r="B48" i="13"/>
  <c r="D44" i="13"/>
  <c r="C113" i="13"/>
  <c r="P39" i="2"/>
  <c r="D112" i="13"/>
  <c r="B140" i="8"/>
  <c r="B116" i="13"/>
  <c r="P11" i="2"/>
  <c r="B58" i="8"/>
  <c r="B100" i="8"/>
  <c r="G39" i="2"/>
  <c r="F13" i="2"/>
  <c r="C12" i="13"/>
  <c r="G12" i="2"/>
  <c r="D11" i="13"/>
  <c r="B16" i="8"/>
  <c r="B14" i="13"/>
  <c r="O40" i="2"/>
  <c r="C137" i="8"/>
  <c r="E41" i="2"/>
  <c r="O12" i="2"/>
  <c r="C55" i="8"/>
  <c r="N41" i="2"/>
  <c r="C14" i="8"/>
  <c r="E14" i="2"/>
  <c r="H26" i="6"/>
  <c r="F40" i="2"/>
  <c r="C97" i="8"/>
  <c r="N13" i="2"/>
  <c r="E15" i="2"/>
  <c r="K18" i="6" l="1"/>
  <c r="D17" i="2" s="1"/>
  <c r="L43" i="6"/>
  <c r="N18" i="6"/>
  <c r="M17" i="2" s="1"/>
  <c r="K43" i="6"/>
  <c r="D45" i="2" s="1"/>
  <c r="N43" i="6"/>
  <c r="M45" i="2" s="1"/>
  <c r="L18" i="6"/>
  <c r="O43" i="6"/>
  <c r="O18" i="6"/>
  <c r="D79" i="13"/>
  <c r="B83" i="13"/>
  <c r="D45" i="13"/>
  <c r="C46" i="13"/>
  <c r="B49" i="13"/>
  <c r="B15" i="13"/>
  <c r="C14" i="13"/>
  <c r="P40" i="2"/>
  <c r="D113" i="13"/>
  <c r="O41" i="2"/>
  <c r="C114" i="13"/>
  <c r="B141" i="8"/>
  <c r="B117" i="13"/>
  <c r="C80" i="13"/>
  <c r="P12" i="2"/>
  <c r="B59" i="8"/>
  <c r="B101" i="8"/>
  <c r="G40" i="2"/>
  <c r="C13" i="13"/>
  <c r="G13" i="2"/>
  <c r="D12" i="13"/>
  <c r="F41" i="2"/>
  <c r="C98" i="8"/>
  <c r="E42" i="2"/>
  <c r="N14" i="2"/>
  <c r="N42" i="2"/>
  <c r="C138" i="8"/>
  <c r="F14" i="2"/>
  <c r="C15" i="8"/>
  <c r="B17" i="8"/>
  <c r="H27" i="6"/>
  <c r="O13" i="2"/>
  <c r="C56" i="8"/>
  <c r="C16" i="8"/>
  <c r="F15" i="2"/>
  <c r="K19" i="6" l="1"/>
  <c r="D18" i="2" s="1"/>
  <c r="L44" i="6"/>
  <c r="L19" i="6"/>
  <c r="K44" i="6"/>
  <c r="D46" i="2" s="1"/>
  <c r="N44" i="6"/>
  <c r="M46" i="2" s="1"/>
  <c r="O44" i="6"/>
  <c r="N19" i="6"/>
  <c r="M18" i="2" s="1"/>
  <c r="O19" i="6"/>
  <c r="B84" i="13"/>
  <c r="D80" i="13"/>
  <c r="D46" i="13"/>
  <c r="C47" i="13"/>
  <c r="B50" i="13"/>
  <c r="O42" i="2"/>
  <c r="C115" i="13"/>
  <c r="P41" i="2"/>
  <c r="D114" i="13"/>
  <c r="B142" i="8"/>
  <c r="B118" i="13"/>
  <c r="C81" i="13"/>
  <c r="B60" i="8"/>
  <c r="G41" i="2"/>
  <c r="B102" i="8"/>
  <c r="G15" i="2"/>
  <c r="D14" i="13"/>
  <c r="G14" i="2"/>
  <c r="D13" i="13"/>
  <c r="B18" i="8"/>
  <c r="B16" i="13"/>
  <c r="F42" i="2"/>
  <c r="C99" i="8"/>
  <c r="E43" i="2"/>
  <c r="C57" i="8"/>
  <c r="O14" i="2"/>
  <c r="N15" i="2"/>
  <c r="C139" i="8"/>
  <c r="E16" i="2"/>
  <c r="H28" i="6"/>
  <c r="P13" i="2"/>
  <c r="N43" i="2"/>
  <c r="N20" i="6" l="1"/>
  <c r="M19" i="2" s="1"/>
  <c r="K20" i="6"/>
  <c r="D19" i="2" s="1"/>
  <c r="N45" i="6"/>
  <c r="M47" i="2" s="1"/>
  <c r="K45" i="6"/>
  <c r="D47" i="2" s="1"/>
  <c r="L20" i="6"/>
  <c r="O45" i="6"/>
  <c r="L45" i="6"/>
  <c r="O20" i="6"/>
  <c r="D81" i="13"/>
  <c r="B85" i="13"/>
  <c r="B51" i="13"/>
  <c r="C48" i="13"/>
  <c r="D47" i="13"/>
  <c r="C116" i="13"/>
  <c r="P42" i="2"/>
  <c r="D115" i="13"/>
  <c r="B143" i="8"/>
  <c r="B119" i="13"/>
  <c r="C82" i="13"/>
  <c r="P14" i="2"/>
  <c r="B61" i="8"/>
  <c r="G42" i="2"/>
  <c r="B103" i="8"/>
  <c r="C15" i="13"/>
  <c r="B19" i="8"/>
  <c r="B17" i="13"/>
  <c r="F43" i="2"/>
  <c r="C100" i="8"/>
  <c r="C58" i="8"/>
  <c r="O15" i="2"/>
  <c r="N16" i="2"/>
  <c r="N44" i="2"/>
  <c r="C17" i="8"/>
  <c r="E17" i="2"/>
  <c r="F16" i="2"/>
  <c r="H29" i="6"/>
  <c r="E44" i="2"/>
  <c r="O43" i="2"/>
  <c r="C140" i="8"/>
  <c r="K21" i="6" l="1"/>
  <c r="D20" i="2" s="1"/>
  <c r="L46" i="6"/>
  <c r="L21" i="6"/>
  <c r="E20" i="2" s="1"/>
  <c r="N46" i="6"/>
  <c r="M48" i="2" s="1"/>
  <c r="O46" i="6"/>
  <c r="K46" i="6"/>
  <c r="D48" i="2" s="1"/>
  <c r="N21" i="6"/>
  <c r="M20" i="2" s="1"/>
  <c r="O21" i="6"/>
  <c r="L4" i="1"/>
  <c r="Q9" i="1" s="1"/>
  <c r="D82" i="13"/>
  <c r="C83" i="13"/>
  <c r="B86" i="13"/>
  <c r="B52" i="13"/>
  <c r="D48" i="13"/>
  <c r="C49" i="13"/>
  <c r="C141" i="8"/>
  <c r="C117" i="13"/>
  <c r="P43" i="2"/>
  <c r="D116" i="13"/>
  <c r="B144" i="8"/>
  <c r="B120" i="13"/>
  <c r="P15" i="2"/>
  <c r="B62" i="8"/>
  <c r="G43" i="2"/>
  <c r="B104" i="8"/>
  <c r="G16" i="2"/>
  <c r="D15" i="13"/>
  <c r="C16" i="13"/>
  <c r="B20" i="8"/>
  <c r="B18" i="13"/>
  <c r="N45" i="2"/>
  <c r="E45" i="2"/>
  <c r="O16" i="2"/>
  <c r="C59" i="8"/>
  <c r="O44" i="2"/>
  <c r="E18" i="2"/>
  <c r="F17" i="2"/>
  <c r="C18" i="8"/>
  <c r="H30" i="6"/>
  <c r="C101" i="8"/>
  <c r="F44" i="2"/>
  <c r="N17" i="2"/>
  <c r="K22" i="6" l="1"/>
  <c r="D21" i="2" s="1"/>
  <c r="K47" i="6"/>
  <c r="D49" i="2" s="1"/>
  <c r="L22" i="6"/>
  <c r="N47" i="6"/>
  <c r="M49" i="2" s="1"/>
  <c r="O47" i="6"/>
  <c r="L47" i="6"/>
  <c r="N22" i="6"/>
  <c r="M21" i="2" s="1"/>
  <c r="O22" i="6"/>
  <c r="D83" i="13"/>
  <c r="B87" i="13"/>
  <c r="C50" i="13"/>
  <c r="B53" i="13"/>
  <c r="D49" i="13"/>
  <c r="C17" i="13"/>
  <c r="C19" i="13"/>
  <c r="C118" i="13"/>
  <c r="P44" i="2"/>
  <c r="D117" i="13"/>
  <c r="B145" i="8"/>
  <c r="B121" i="13"/>
  <c r="C84" i="13"/>
  <c r="O17" i="2"/>
  <c r="P16" i="2"/>
  <c r="B63" i="8"/>
  <c r="B105" i="8"/>
  <c r="G44" i="2"/>
  <c r="G17" i="2"/>
  <c r="D16" i="13"/>
  <c r="B21" i="8"/>
  <c r="B19" i="13"/>
  <c r="C142" i="8"/>
  <c r="O45" i="2"/>
  <c r="N46" i="2"/>
  <c r="F45" i="2"/>
  <c r="C102" i="8"/>
  <c r="E46" i="2"/>
  <c r="N18" i="2"/>
  <c r="F18" i="2"/>
  <c r="C19" i="8"/>
  <c r="E19" i="2"/>
  <c r="H31" i="6"/>
  <c r="C60" i="8"/>
  <c r="C21" i="8"/>
  <c r="F20" i="2"/>
  <c r="K48" i="6" l="1"/>
  <c r="D50" i="2" s="1"/>
  <c r="K23" i="6"/>
  <c r="D22" i="2" s="1"/>
  <c r="L48" i="6"/>
  <c r="L23" i="6"/>
  <c r="N48" i="6"/>
  <c r="M50" i="2" s="1"/>
  <c r="O48" i="6"/>
  <c r="N23" i="6"/>
  <c r="M22" i="2" s="1"/>
  <c r="O23" i="6"/>
  <c r="E102" i="6"/>
  <c r="E104" i="6" s="1"/>
  <c r="E105" i="6" s="1"/>
  <c r="D84" i="13"/>
  <c r="B88" i="13"/>
  <c r="D50" i="13"/>
  <c r="B54" i="13"/>
  <c r="B20" i="13"/>
  <c r="P45" i="2"/>
  <c r="D118" i="13"/>
  <c r="C119" i="13"/>
  <c r="B146" i="8"/>
  <c r="B122" i="13"/>
  <c r="C85" i="13"/>
  <c r="C51" i="13"/>
  <c r="P17" i="2"/>
  <c r="B64" i="8"/>
  <c r="B106" i="8"/>
  <c r="G45" i="2"/>
  <c r="G18" i="2"/>
  <c r="D17" i="13"/>
  <c r="C18" i="13"/>
  <c r="G20" i="2"/>
  <c r="D19" i="13"/>
  <c r="O46" i="2"/>
  <c r="C143" i="8"/>
  <c r="C103" i="8"/>
  <c r="F46" i="2"/>
  <c r="E47" i="2"/>
  <c r="C61" i="8"/>
  <c r="O18" i="2"/>
  <c r="N19" i="2"/>
  <c r="F19" i="2"/>
  <c r="C20" i="8"/>
  <c r="H32" i="6"/>
  <c r="B22" i="8"/>
  <c r="N47" i="2"/>
  <c r="K49" i="6" l="1"/>
  <c r="D51" i="2" s="1"/>
  <c r="O49" i="6"/>
  <c r="K24" i="6"/>
  <c r="D23" i="2" s="1"/>
  <c r="L24" i="6"/>
  <c r="L49" i="6"/>
  <c r="N49" i="6"/>
  <c r="M51" i="2" s="1"/>
  <c r="N24" i="6"/>
  <c r="M23" i="2" s="1"/>
  <c r="O24" i="6"/>
  <c r="D85" i="13"/>
  <c r="B89" i="13"/>
  <c r="B55" i="13"/>
  <c r="D51" i="13"/>
  <c r="C120" i="13"/>
  <c r="P46" i="2"/>
  <c r="D119" i="13"/>
  <c r="B147" i="8"/>
  <c r="B123" i="13"/>
  <c r="C86" i="13"/>
  <c r="C52" i="13"/>
  <c r="P18" i="2"/>
  <c r="B65" i="8"/>
  <c r="B107" i="8"/>
  <c r="G46" i="2"/>
  <c r="G19" i="2"/>
  <c r="D18" i="13"/>
  <c r="B23" i="8"/>
  <c r="B21" i="13"/>
  <c r="N48" i="2"/>
  <c r="F47" i="2"/>
  <c r="C104" i="8"/>
  <c r="O19" i="2"/>
  <c r="C62" i="8"/>
  <c r="N20" i="2"/>
  <c r="E21" i="2"/>
  <c r="H33" i="6"/>
  <c r="O47" i="2"/>
  <c r="C144" i="8"/>
  <c r="E48" i="2"/>
  <c r="L50" i="6" l="1"/>
  <c r="L25" i="6"/>
  <c r="N25" i="6"/>
  <c r="M24" i="2" s="1"/>
  <c r="K50" i="6"/>
  <c r="D52" i="2" s="1"/>
  <c r="N50" i="6"/>
  <c r="M52" i="2" s="1"/>
  <c r="O50" i="6"/>
  <c r="K25" i="6"/>
  <c r="D24" i="2" s="1"/>
  <c r="O25" i="6"/>
  <c r="D86" i="13"/>
  <c r="C87" i="13"/>
  <c r="B90" i="13"/>
  <c r="B56" i="13"/>
  <c r="D52" i="13"/>
  <c r="C53" i="13"/>
  <c r="C121" i="13"/>
  <c r="P47" i="2"/>
  <c r="D120" i="13"/>
  <c r="B148" i="8"/>
  <c r="B124" i="13"/>
  <c r="B66" i="8"/>
  <c r="P19" i="2"/>
  <c r="B108" i="8"/>
  <c r="G47" i="2"/>
  <c r="C20" i="13"/>
  <c r="B24" i="8"/>
  <c r="B22" i="13"/>
  <c r="O48" i="2"/>
  <c r="C145" i="8"/>
  <c r="N49" i="2"/>
  <c r="E49" i="2"/>
  <c r="O20" i="2"/>
  <c r="C63" i="8"/>
  <c r="E22" i="2"/>
  <c r="N21" i="2"/>
  <c r="F21" i="2"/>
  <c r="C22" i="8"/>
  <c r="H34" i="6"/>
  <c r="C105" i="8"/>
  <c r="F48" i="2"/>
  <c r="L51" i="6" l="1"/>
  <c r="K26" i="6"/>
  <c r="D25" i="2" s="1"/>
  <c r="K51" i="6"/>
  <c r="D53" i="2" s="1"/>
  <c r="L26" i="6"/>
  <c r="E25" i="2" s="1"/>
  <c r="N51" i="6"/>
  <c r="M53" i="2" s="1"/>
  <c r="O51" i="6"/>
  <c r="N26" i="6"/>
  <c r="M25" i="2" s="1"/>
  <c r="O26" i="6"/>
  <c r="B91" i="13"/>
  <c r="D87" i="13"/>
  <c r="C88" i="13"/>
  <c r="B57" i="13"/>
  <c r="C54" i="13"/>
  <c r="D53" i="13"/>
  <c r="P48" i="2"/>
  <c r="D121" i="13"/>
  <c r="C122" i="13"/>
  <c r="B149" i="8"/>
  <c r="B125" i="13"/>
  <c r="B67" i="8"/>
  <c r="P20" i="2"/>
  <c r="B109" i="8"/>
  <c r="G48" i="2"/>
  <c r="G21" i="2"/>
  <c r="D20" i="13"/>
  <c r="C23" i="8"/>
  <c r="C21" i="13"/>
  <c r="B25" i="8"/>
  <c r="B23" i="13"/>
  <c r="F22" i="2"/>
  <c r="C146" i="8"/>
  <c r="O49" i="2"/>
  <c r="N50" i="2"/>
  <c r="C106" i="8"/>
  <c r="F49" i="2"/>
  <c r="E50" i="2"/>
  <c r="N22" i="2"/>
  <c r="E23" i="2"/>
  <c r="C64" i="8"/>
  <c r="O21" i="2"/>
  <c r="B92" i="13" l="1"/>
  <c r="D88" i="13"/>
  <c r="C89" i="13"/>
  <c r="D54" i="13"/>
  <c r="B58" i="13"/>
  <c r="C24" i="13"/>
  <c r="C123" i="13"/>
  <c r="P49" i="2"/>
  <c r="D122" i="13"/>
  <c r="B150" i="8"/>
  <c r="B126" i="13"/>
  <c r="C55" i="13"/>
  <c r="B68" i="8"/>
  <c r="P21" i="2"/>
  <c r="G49" i="2"/>
  <c r="B110" i="8"/>
  <c r="G22" i="2"/>
  <c r="D21" i="13"/>
  <c r="C22" i="13"/>
  <c r="B26" i="8"/>
  <c r="B24" i="13"/>
  <c r="C147" i="8"/>
  <c r="O50" i="2"/>
  <c r="N51" i="2"/>
  <c r="C107" i="8"/>
  <c r="F50" i="2"/>
  <c r="E51" i="2"/>
  <c r="C65" i="8"/>
  <c r="O22" i="2"/>
  <c r="F23" i="2"/>
  <c r="N23" i="2"/>
  <c r="E24" i="2"/>
  <c r="C24" i="8"/>
  <c r="C26" i="8"/>
  <c r="F25" i="2"/>
  <c r="D89" i="13" l="1"/>
  <c r="D55" i="13"/>
  <c r="C56" i="13"/>
  <c r="D24" i="13"/>
  <c r="P50" i="2"/>
  <c r="D123" i="13"/>
  <c r="C124" i="13"/>
  <c r="C90" i="13"/>
  <c r="C66" i="8"/>
  <c r="P22" i="2"/>
  <c r="G50" i="2"/>
  <c r="J7" i="2"/>
  <c r="C23" i="13"/>
  <c r="G23" i="2"/>
  <c r="D22" i="13"/>
  <c r="G25" i="2"/>
  <c r="O51" i="2"/>
  <c r="C148" i="8"/>
  <c r="O23" i="2"/>
  <c r="N52" i="2"/>
  <c r="C108" i="8"/>
  <c r="F51" i="2"/>
  <c r="E52" i="2"/>
  <c r="N24" i="2"/>
  <c r="N25" i="2"/>
  <c r="E53" i="2"/>
  <c r="C25" i="8"/>
  <c r="F24" i="2"/>
  <c r="C29" i="8" s="1"/>
  <c r="N53" i="2"/>
  <c r="D90" i="13" l="1"/>
  <c r="C91" i="13"/>
  <c r="C92" i="13"/>
  <c r="D56" i="13"/>
  <c r="C58" i="13"/>
  <c r="C126" i="13"/>
  <c r="P51" i="2"/>
  <c r="D124" i="13"/>
  <c r="C125" i="13"/>
  <c r="C57" i="13"/>
  <c r="P23" i="2"/>
  <c r="G51" i="2"/>
  <c r="D23" i="13"/>
  <c r="O25" i="2"/>
  <c r="C149" i="8"/>
  <c r="O52" i="2"/>
  <c r="C110" i="8"/>
  <c r="C109" i="8"/>
  <c r="F52" i="2"/>
  <c r="J35" i="2"/>
  <c r="S35" i="2"/>
  <c r="O24" i="2"/>
  <c r="C67" i="8"/>
  <c r="F53" i="2"/>
  <c r="G24" i="2"/>
  <c r="G26" i="2" s="1"/>
  <c r="F26" i="2"/>
  <c r="C150" i="8"/>
  <c r="S7" i="2"/>
  <c r="C68" i="8"/>
  <c r="O53" i="2"/>
  <c r="L12" i="1"/>
  <c r="Q13" i="1" s="1"/>
  <c r="C113" i="8" l="1"/>
  <c r="C71" i="8"/>
  <c r="D126" i="13"/>
  <c r="C153" i="8"/>
  <c r="E95" i="13"/>
  <c r="D91" i="13"/>
  <c r="D92" i="13"/>
  <c r="D57" i="13"/>
  <c r="D58" i="13"/>
  <c r="E129" i="13"/>
  <c r="P52" i="2"/>
  <c r="D125" i="13"/>
  <c r="P25" i="2"/>
  <c r="P24" i="2"/>
  <c r="G53" i="2"/>
  <c r="G52" i="2"/>
  <c r="P53" i="2"/>
  <c r="O54" i="2"/>
  <c r="F54" i="2"/>
  <c r="O26" i="2"/>
  <c r="J12" i="2"/>
  <c r="F27" i="2" s="1"/>
  <c r="F125" i="6"/>
  <c r="E106" i="6" s="1"/>
  <c r="H129" i="13" l="1"/>
  <c r="H130" i="13" s="1"/>
  <c r="K106" i="13" s="1"/>
  <c r="M95" i="13"/>
  <c r="H95" i="13"/>
  <c r="I73" i="13" s="1"/>
  <c r="E97" i="13"/>
  <c r="D12" i="12" s="1"/>
  <c r="M96" i="13"/>
  <c r="E131" i="13"/>
  <c r="D13" i="12" s="1"/>
  <c r="P54" i="2"/>
  <c r="S40" i="2" s="1"/>
  <c r="O55" i="2" s="1"/>
  <c r="M130" i="13"/>
  <c r="M129" i="13"/>
  <c r="P26" i="2"/>
  <c r="S12" i="2" s="1"/>
  <c r="O27" i="2" s="1"/>
  <c r="G54" i="2"/>
  <c r="J40" i="2" s="1"/>
  <c r="F55" i="2" s="1"/>
  <c r="D25" i="8"/>
  <c r="H25" i="8" s="1"/>
  <c r="I25" i="8" s="1"/>
  <c r="J25" i="8" s="1" a="1"/>
  <c r="J25" i="8" s="1"/>
  <c r="E25" i="8" s="1"/>
  <c r="F25" i="8" s="1"/>
  <c r="K25" i="8" s="1"/>
  <c r="D13" i="8"/>
  <c r="H13" i="8" s="1"/>
  <c r="I13" i="8" s="1"/>
  <c r="J13" i="8" s="1" a="1"/>
  <c r="J13" i="8" s="1"/>
  <c r="E13" i="8" s="1"/>
  <c r="F13" i="8" s="1"/>
  <c r="K13" i="8" s="1"/>
  <c r="D16" i="8"/>
  <c r="H16" i="8" s="1"/>
  <c r="I16" i="8" s="1"/>
  <c r="J16" i="8" s="1" a="1"/>
  <c r="J16" i="8" s="1"/>
  <c r="E16" i="8" s="1"/>
  <c r="F16" i="8" s="1"/>
  <c r="K16" i="8" s="1"/>
  <c r="D8" i="8"/>
  <c r="H8" i="8" s="1"/>
  <c r="I8" i="8" s="1"/>
  <c r="J8" i="8" s="1" a="1"/>
  <c r="J8" i="8" s="1"/>
  <c r="E8" i="8" s="1"/>
  <c r="F8" i="8" s="1"/>
  <c r="K8" i="8" s="1"/>
  <c r="D26" i="8"/>
  <c r="H26" i="8" s="1"/>
  <c r="I26" i="8" s="1"/>
  <c r="J26" i="8" s="1" a="1"/>
  <c r="J26" i="8" s="1"/>
  <c r="E26" i="8" s="1"/>
  <c r="F26" i="8" s="1"/>
  <c r="K26" i="8" s="1"/>
  <c r="D17" i="8"/>
  <c r="H17" i="8" s="1"/>
  <c r="I17" i="8" s="1"/>
  <c r="J17" i="8" s="1" a="1"/>
  <c r="J17" i="8" s="1"/>
  <c r="E17" i="8" s="1"/>
  <c r="F17" i="8" s="1"/>
  <c r="K17" i="8" s="1"/>
  <c r="D9" i="8"/>
  <c r="H9" i="8" s="1"/>
  <c r="I9" i="8" s="1"/>
  <c r="J9" i="8" s="1" a="1"/>
  <c r="J9" i="8" s="1"/>
  <c r="E9" i="8" s="1"/>
  <c r="F9" i="8" s="1"/>
  <c r="K9" i="8" s="1"/>
  <c r="D12" i="8"/>
  <c r="H12" i="8" s="1"/>
  <c r="I12" i="8" s="1"/>
  <c r="J12" i="8" s="1" a="1"/>
  <c r="J12" i="8" s="1"/>
  <c r="E12" i="8" s="1"/>
  <c r="F12" i="8" s="1"/>
  <c r="K12" i="8" s="1"/>
  <c r="E34" i="8"/>
  <c r="D24" i="8"/>
  <c r="H24" i="8" s="1"/>
  <c r="I24" i="8" s="1"/>
  <c r="J24" i="8" s="1" a="1"/>
  <c r="J24" i="8" s="1"/>
  <c r="E24" i="8" s="1"/>
  <c r="F24" i="8" s="1"/>
  <c r="K24" i="8" s="1"/>
  <c r="D15" i="8"/>
  <c r="H15" i="8" s="1"/>
  <c r="I15" i="8" s="1"/>
  <c r="J15" i="8" s="1" a="1"/>
  <c r="J15" i="8" s="1"/>
  <c r="E15" i="8" s="1"/>
  <c r="F15" i="8" s="1"/>
  <c r="K15" i="8" s="1"/>
  <c r="D23" i="8"/>
  <c r="H23" i="8" s="1"/>
  <c r="I23" i="8" s="1"/>
  <c r="J23" i="8" s="1" a="1"/>
  <c r="J23" i="8" s="1"/>
  <c r="E23" i="8" s="1"/>
  <c r="F23" i="8" s="1"/>
  <c r="K23" i="8" s="1"/>
  <c r="D14" i="8"/>
  <c r="H14" i="8" s="1"/>
  <c r="I14" i="8" s="1"/>
  <c r="J14" i="8" s="1" a="1"/>
  <c r="J14" i="8" s="1"/>
  <c r="E14" i="8" s="1"/>
  <c r="F14" i="8" s="1"/>
  <c r="K14" i="8" s="1"/>
  <c r="D18" i="8"/>
  <c r="H18" i="8" s="1"/>
  <c r="I18" i="8" s="1"/>
  <c r="J18" i="8" s="1" a="1"/>
  <c r="J18" i="8" s="1"/>
  <c r="E18" i="8" s="1"/>
  <c r="F18" i="8" s="1"/>
  <c r="K18" i="8" s="1"/>
  <c r="D11" i="8"/>
  <c r="H11" i="8" s="1"/>
  <c r="I11" i="8" s="1"/>
  <c r="J11" i="8" s="1" a="1"/>
  <c r="J11" i="8" s="1"/>
  <c r="E11" i="8" s="1"/>
  <c r="F11" i="8" s="1"/>
  <c r="K11" i="8" s="1"/>
  <c r="D22" i="8"/>
  <c r="H22" i="8" s="1"/>
  <c r="I22" i="8" s="1"/>
  <c r="J22" i="8" s="1" a="1"/>
  <c r="J22" i="8" s="1"/>
  <c r="E22" i="8" s="1"/>
  <c r="F22" i="8" s="1"/>
  <c r="K22" i="8" s="1"/>
  <c r="D19" i="8"/>
  <c r="H19" i="8" s="1"/>
  <c r="I19" i="8" s="1"/>
  <c r="J19" i="8" s="1" a="1"/>
  <c r="J19" i="8" s="1"/>
  <c r="E19" i="8" s="1"/>
  <c r="F19" i="8" s="1"/>
  <c r="K19" i="8" s="1"/>
  <c r="D7" i="8"/>
  <c r="H7" i="8" s="1"/>
  <c r="I7" i="8" s="1"/>
  <c r="J7" i="8" s="1" a="1"/>
  <c r="J7" i="8" s="1"/>
  <c r="E7" i="8" s="1"/>
  <c r="F7" i="8" s="1"/>
  <c r="K7" i="8" s="1"/>
  <c r="D21" i="8"/>
  <c r="H21" i="8" s="1"/>
  <c r="I21" i="8" s="1"/>
  <c r="J21" i="8" s="1" a="1"/>
  <c r="J21" i="8" s="1"/>
  <c r="E21" i="8" s="1"/>
  <c r="F21" i="8" s="1"/>
  <c r="K21" i="8" s="1"/>
  <c r="D10" i="8"/>
  <c r="H10" i="8" s="1"/>
  <c r="I10" i="8" s="1"/>
  <c r="J10" i="8" s="1" a="1"/>
  <c r="J10" i="8" s="1"/>
  <c r="E10" i="8" s="1"/>
  <c r="F10" i="8" s="1"/>
  <c r="K10" i="8" s="1"/>
  <c r="D20" i="8"/>
  <c r="H20" i="8" s="1"/>
  <c r="I20" i="8" s="1"/>
  <c r="J20" i="8" s="1" a="1"/>
  <c r="J20" i="8" s="1"/>
  <c r="E20" i="8" s="1"/>
  <c r="F20" i="8" s="1"/>
  <c r="K20" i="8" s="1"/>
  <c r="F126" i="6"/>
  <c r="F27" i="8" l="1"/>
  <c r="I107" i="13"/>
  <c r="I108" i="13" s="1"/>
  <c r="H96" i="13"/>
  <c r="K72" i="13" s="1"/>
  <c r="I74" i="13" s="1"/>
  <c r="E107" i="6"/>
  <c r="F127" i="6" s="1"/>
  <c r="E3" i="6" s="1"/>
  <c r="D3" i="6" s="1"/>
  <c r="F13" i="12"/>
  <c r="H13" i="12" s="1"/>
  <c r="J13" i="12" s="1"/>
  <c r="L13" i="12" s="1"/>
  <c r="F12" i="12"/>
  <c r="H12" i="12" s="1"/>
  <c r="J12" i="12" s="1"/>
  <c r="L12" i="12" s="1"/>
  <c r="K27" i="8"/>
  <c r="E35" i="8" s="1"/>
  <c r="D139" i="8"/>
  <c r="H139" i="8" s="1"/>
  <c r="I139" i="8" s="1"/>
  <c r="J139" i="8" s="1" a="1"/>
  <c r="J139" i="8" s="1"/>
  <c r="E139" i="8" s="1"/>
  <c r="F139" i="8" s="1"/>
  <c r="K139" i="8" s="1"/>
  <c r="D66" i="8"/>
  <c r="H66" i="8" s="1"/>
  <c r="I66" i="8" s="1"/>
  <c r="J66" i="8" s="1" a="1"/>
  <c r="J66" i="8" s="1"/>
  <c r="E66" i="8" s="1"/>
  <c r="F66" i="8" s="1"/>
  <c r="K66" i="8" s="1"/>
  <c r="E37" i="8" l="1"/>
  <c r="I109" i="13"/>
  <c r="J109" i="13" s="1"/>
  <c r="K13" i="12"/>
  <c r="J108" i="13"/>
  <c r="I75" i="13"/>
  <c r="J75" i="13" s="1"/>
  <c r="J74" i="13"/>
  <c r="K12" i="12"/>
  <c r="E36" i="8"/>
  <c r="D132" i="8"/>
  <c r="H132" i="8" s="1"/>
  <c r="I132" i="8" s="1"/>
  <c r="J132" i="8" s="1" a="1"/>
  <c r="J132" i="8" s="1"/>
  <c r="E132" i="8" s="1"/>
  <c r="F132" i="8" s="1"/>
  <c r="K132" i="8" s="1"/>
  <c r="D144" i="8"/>
  <c r="H144" i="8" s="1"/>
  <c r="I144" i="8" s="1"/>
  <c r="J144" i="8" s="1" a="1"/>
  <c r="J144" i="8" s="1"/>
  <c r="E144" i="8" s="1"/>
  <c r="F144" i="8" s="1"/>
  <c r="K144" i="8" s="1"/>
  <c r="D55" i="8"/>
  <c r="H55" i="8" s="1"/>
  <c r="I55" i="8" s="1"/>
  <c r="J55" i="8" s="1" a="1"/>
  <c r="J55" i="8" s="1"/>
  <c r="E55" i="8" s="1"/>
  <c r="F55" i="8" s="1"/>
  <c r="K55" i="8" s="1"/>
  <c r="D51" i="8"/>
  <c r="H51" i="8" s="1"/>
  <c r="I51" i="8" s="1"/>
  <c r="J51" i="8" s="1" a="1"/>
  <c r="J51" i="8" s="1"/>
  <c r="E51" i="8" s="1"/>
  <c r="F51" i="8" s="1"/>
  <c r="K51" i="8" s="1"/>
  <c r="D62" i="8"/>
  <c r="H62" i="8" s="1"/>
  <c r="I62" i="8" s="1"/>
  <c r="J62" i="8" s="1" a="1"/>
  <c r="J62" i="8" s="1"/>
  <c r="E62" i="8" s="1"/>
  <c r="F62" i="8" s="1"/>
  <c r="K62" i="8" s="1"/>
  <c r="D63" i="8"/>
  <c r="H63" i="8" s="1"/>
  <c r="I63" i="8" s="1"/>
  <c r="J63" i="8" s="1" a="1"/>
  <c r="J63" i="8" s="1"/>
  <c r="E63" i="8" s="1"/>
  <c r="F63" i="8" s="1"/>
  <c r="K63" i="8" s="1"/>
  <c r="D65" i="8"/>
  <c r="H65" i="8" s="1"/>
  <c r="I65" i="8" s="1"/>
  <c r="J65" i="8" s="1" a="1"/>
  <c r="J65" i="8" s="1"/>
  <c r="E65" i="8" s="1"/>
  <c r="F65" i="8" s="1"/>
  <c r="K65" i="8" s="1"/>
  <c r="D136" i="8"/>
  <c r="H136" i="8" s="1"/>
  <c r="I136" i="8" s="1"/>
  <c r="J136" i="8" s="1" a="1"/>
  <c r="J136" i="8" s="1"/>
  <c r="E136" i="8" s="1"/>
  <c r="F136" i="8" s="1"/>
  <c r="K136" i="8" s="1"/>
  <c r="D133" i="8"/>
  <c r="H133" i="8" s="1"/>
  <c r="I133" i="8" s="1"/>
  <c r="J133" i="8" s="1" a="1"/>
  <c r="J133" i="8" s="1"/>
  <c r="E133" i="8" s="1"/>
  <c r="F133" i="8" s="1"/>
  <c r="K133" i="8" s="1"/>
  <c r="D50" i="8"/>
  <c r="H50" i="8" s="1"/>
  <c r="I50" i="8" s="1"/>
  <c r="J50" i="8" s="1" a="1"/>
  <c r="J50" i="8" s="1"/>
  <c r="E50" i="8" s="1"/>
  <c r="F50" i="8" s="1"/>
  <c r="K50" i="8" s="1"/>
  <c r="D53" i="8"/>
  <c r="H53" i="8" s="1"/>
  <c r="I53" i="8" s="1"/>
  <c r="J53" i="8" s="1" a="1"/>
  <c r="J53" i="8" s="1"/>
  <c r="E53" i="8" s="1"/>
  <c r="F53" i="8" s="1"/>
  <c r="K53" i="8" s="1"/>
  <c r="D145" i="8"/>
  <c r="H145" i="8" s="1"/>
  <c r="I145" i="8" s="1"/>
  <c r="J145" i="8" s="1" a="1"/>
  <c r="J145" i="8" s="1"/>
  <c r="E145" i="8" s="1"/>
  <c r="F145" i="8" s="1"/>
  <c r="K145" i="8" s="1"/>
  <c r="D54" i="8"/>
  <c r="H54" i="8" s="1"/>
  <c r="I54" i="8" s="1"/>
  <c r="J54" i="8" s="1" a="1"/>
  <c r="J54" i="8" s="1"/>
  <c r="E54" i="8" s="1"/>
  <c r="F54" i="8" s="1"/>
  <c r="K54" i="8" s="1"/>
  <c r="D68" i="8"/>
  <c r="H68" i="8" s="1"/>
  <c r="I68" i="8" s="1"/>
  <c r="J68" i="8" s="1" a="1"/>
  <c r="J68" i="8" s="1"/>
  <c r="E68" i="8" s="1"/>
  <c r="F68" i="8" s="1"/>
  <c r="K68" i="8" s="1"/>
  <c r="D131" i="8"/>
  <c r="H131" i="8" s="1"/>
  <c r="I131" i="8" s="1"/>
  <c r="J131" i="8" s="1" a="1"/>
  <c r="J131" i="8" s="1"/>
  <c r="E131" i="8" s="1"/>
  <c r="F131" i="8" s="1"/>
  <c r="K131" i="8" s="1"/>
  <c r="D52" i="8"/>
  <c r="H52" i="8" s="1"/>
  <c r="I52" i="8" s="1"/>
  <c r="J52" i="8" s="1" a="1"/>
  <c r="J52" i="8" s="1"/>
  <c r="E52" i="8" s="1"/>
  <c r="F52" i="8" s="1"/>
  <c r="K52" i="8" s="1"/>
  <c r="D150" i="8"/>
  <c r="H150" i="8" s="1"/>
  <c r="I150" i="8" s="1"/>
  <c r="J150" i="8" s="1" a="1"/>
  <c r="J150" i="8" s="1"/>
  <c r="E150" i="8" s="1"/>
  <c r="F150" i="8" s="1"/>
  <c r="K150" i="8" s="1"/>
  <c r="D147" i="8"/>
  <c r="H147" i="8" s="1"/>
  <c r="I147" i="8" s="1"/>
  <c r="J147" i="8" s="1" a="1"/>
  <c r="J147" i="8" s="1"/>
  <c r="E147" i="8" s="1"/>
  <c r="F147" i="8" s="1"/>
  <c r="K147" i="8" s="1"/>
  <c r="D49" i="8"/>
  <c r="H49" i="8" s="1"/>
  <c r="I49" i="8" s="1"/>
  <c r="J49" i="8" s="1" a="1"/>
  <c r="J49" i="8" s="1"/>
  <c r="E49" i="8" s="1"/>
  <c r="F49" i="8" s="1"/>
  <c r="K49" i="8" s="1"/>
  <c r="D146" i="8"/>
  <c r="H146" i="8" s="1"/>
  <c r="I146" i="8" s="1"/>
  <c r="J146" i="8" s="1" a="1"/>
  <c r="J146" i="8" s="1"/>
  <c r="E146" i="8" s="1"/>
  <c r="F146" i="8" s="1"/>
  <c r="K146" i="8" s="1"/>
  <c r="D141" i="8"/>
  <c r="H141" i="8" s="1"/>
  <c r="I141" i="8" s="1"/>
  <c r="J141" i="8" s="1" a="1"/>
  <c r="J141" i="8" s="1"/>
  <c r="E141" i="8" s="1"/>
  <c r="F141" i="8" s="1"/>
  <c r="K141" i="8" s="1"/>
  <c r="D134" i="8"/>
  <c r="H134" i="8" s="1"/>
  <c r="I134" i="8" s="1"/>
  <c r="J134" i="8" s="1" a="1"/>
  <c r="J134" i="8" s="1"/>
  <c r="E134" i="8" s="1"/>
  <c r="F134" i="8" s="1"/>
  <c r="K134" i="8" s="1"/>
  <c r="D149" i="8"/>
  <c r="H149" i="8" s="1"/>
  <c r="I149" i="8" s="1"/>
  <c r="J149" i="8" s="1" a="1"/>
  <c r="J149" i="8" s="1"/>
  <c r="E149" i="8" s="1"/>
  <c r="F149" i="8" s="1"/>
  <c r="K149" i="8" s="1"/>
  <c r="D135" i="8"/>
  <c r="H135" i="8" s="1"/>
  <c r="I135" i="8" s="1"/>
  <c r="J135" i="8" s="1" a="1"/>
  <c r="J135" i="8" s="1"/>
  <c r="E135" i="8" s="1"/>
  <c r="F135" i="8" s="1"/>
  <c r="K135" i="8" s="1"/>
  <c r="D137" i="8"/>
  <c r="H137" i="8" s="1"/>
  <c r="I137" i="8" s="1"/>
  <c r="J137" i="8" s="1" a="1"/>
  <c r="J137" i="8" s="1"/>
  <c r="E137" i="8" s="1"/>
  <c r="F137" i="8" s="1"/>
  <c r="K137" i="8" s="1"/>
  <c r="D148" i="8"/>
  <c r="H148" i="8" s="1"/>
  <c r="I148" i="8" s="1"/>
  <c r="J148" i="8" s="1" a="1"/>
  <c r="J148" i="8" s="1"/>
  <c r="E148" i="8" s="1"/>
  <c r="F148" i="8" s="1"/>
  <c r="K148" i="8" s="1"/>
  <c r="D59" i="8"/>
  <c r="H59" i="8" s="1"/>
  <c r="I59" i="8" s="1"/>
  <c r="J59" i="8" s="1" a="1"/>
  <c r="J59" i="8" s="1"/>
  <c r="E59" i="8" s="1"/>
  <c r="F59" i="8" s="1"/>
  <c r="K59" i="8" s="1"/>
  <c r="D143" i="8"/>
  <c r="H143" i="8" s="1"/>
  <c r="I143" i="8" s="1"/>
  <c r="J143" i="8" s="1" a="1"/>
  <c r="J143" i="8" s="1"/>
  <c r="E143" i="8" s="1"/>
  <c r="F143" i="8" s="1"/>
  <c r="K143" i="8" s="1"/>
  <c r="E158" i="8"/>
  <c r="D140" i="8"/>
  <c r="H140" i="8" s="1"/>
  <c r="I140" i="8" s="1"/>
  <c r="J140" i="8" s="1" a="1"/>
  <c r="J140" i="8" s="1"/>
  <c r="E140" i="8" s="1"/>
  <c r="F140" i="8" s="1"/>
  <c r="K140" i="8" s="1"/>
  <c r="D56" i="8"/>
  <c r="H56" i="8" s="1"/>
  <c r="I56" i="8" s="1"/>
  <c r="J56" i="8" s="1" a="1"/>
  <c r="J56" i="8" s="1"/>
  <c r="E56" i="8" s="1"/>
  <c r="F56" i="8" s="1"/>
  <c r="K56" i="8" s="1"/>
  <c r="D142" i="8"/>
  <c r="H142" i="8" s="1"/>
  <c r="I142" i="8" s="1"/>
  <c r="J142" i="8" s="1" a="1"/>
  <c r="J142" i="8" s="1"/>
  <c r="E142" i="8" s="1"/>
  <c r="F142" i="8" s="1"/>
  <c r="K142" i="8" s="1"/>
  <c r="D138" i="8"/>
  <c r="H138" i="8" s="1"/>
  <c r="I138" i="8" s="1"/>
  <c r="J138" i="8" s="1" a="1"/>
  <c r="J138" i="8" s="1"/>
  <c r="E138" i="8" s="1"/>
  <c r="F138" i="8" s="1"/>
  <c r="K138" i="8" s="1"/>
  <c r="D67" i="8"/>
  <c r="H67" i="8" s="1"/>
  <c r="I67" i="8" s="1"/>
  <c r="J67" i="8" s="1" a="1"/>
  <c r="J67" i="8" s="1"/>
  <c r="E67" i="8" s="1"/>
  <c r="F67" i="8" s="1"/>
  <c r="K67" i="8" s="1"/>
  <c r="D64" i="8"/>
  <c r="H64" i="8" s="1"/>
  <c r="I64" i="8" s="1"/>
  <c r="J64" i="8" s="1" a="1"/>
  <c r="J64" i="8" s="1"/>
  <c r="E64" i="8" s="1"/>
  <c r="F64" i="8" s="1"/>
  <c r="K64" i="8" s="1"/>
  <c r="D58" i="8"/>
  <c r="H58" i="8" s="1"/>
  <c r="I58" i="8" s="1"/>
  <c r="J58" i="8" s="1" a="1"/>
  <c r="J58" i="8" s="1"/>
  <c r="E58" i="8" s="1"/>
  <c r="F58" i="8" s="1"/>
  <c r="K58" i="8" s="1"/>
  <c r="D60" i="8"/>
  <c r="H60" i="8" s="1"/>
  <c r="I60" i="8" s="1"/>
  <c r="J60" i="8" s="1" a="1"/>
  <c r="J60" i="8" s="1"/>
  <c r="E60" i="8" s="1"/>
  <c r="F60" i="8" s="1"/>
  <c r="K60" i="8" s="1"/>
  <c r="D57" i="8"/>
  <c r="H57" i="8" s="1"/>
  <c r="I57" i="8" s="1"/>
  <c r="J57" i="8" s="1" a="1"/>
  <c r="J57" i="8" s="1"/>
  <c r="E57" i="8" s="1"/>
  <c r="F57" i="8" s="1"/>
  <c r="K57" i="8" s="1"/>
  <c r="E76" i="8"/>
  <c r="D61" i="8"/>
  <c r="H61" i="8" s="1"/>
  <c r="I61" i="8" s="1"/>
  <c r="J61" i="8" s="1" a="1"/>
  <c r="J61" i="8" s="1"/>
  <c r="E61" i="8" s="1"/>
  <c r="F61" i="8" s="1"/>
  <c r="K61" i="8" s="1"/>
  <c r="D96" i="8"/>
  <c r="H96" i="8" s="1"/>
  <c r="I96" i="8" s="1"/>
  <c r="J96" i="8" s="1" a="1"/>
  <c r="J96" i="8" s="1"/>
  <c r="E96" i="8" s="1"/>
  <c r="F96" i="8" s="1"/>
  <c r="K96" i="8" s="1"/>
  <c r="D107" i="8"/>
  <c r="H107" i="8" s="1"/>
  <c r="I107" i="8" s="1"/>
  <c r="J107" i="8" s="1" a="1"/>
  <c r="J107" i="8" s="1"/>
  <c r="E107" i="8" s="1"/>
  <c r="F107" i="8" s="1"/>
  <c r="K107" i="8" s="1"/>
  <c r="D99" i="8"/>
  <c r="H99" i="8" s="1"/>
  <c r="I99" i="8" s="1"/>
  <c r="J99" i="8" s="1" a="1"/>
  <c r="J99" i="8" s="1"/>
  <c r="E99" i="8" s="1"/>
  <c r="F99" i="8" s="1"/>
  <c r="K99" i="8" s="1"/>
  <c r="D92" i="8"/>
  <c r="H92" i="8" s="1"/>
  <c r="I92" i="8" s="1"/>
  <c r="J92" i="8" s="1" a="1"/>
  <c r="J92" i="8" s="1"/>
  <c r="E92" i="8" s="1"/>
  <c r="F92" i="8" s="1"/>
  <c r="K92" i="8" s="1"/>
  <c r="D104" i="8"/>
  <c r="H104" i="8" s="1"/>
  <c r="I104" i="8" s="1"/>
  <c r="J104" i="8" s="1" a="1"/>
  <c r="J104" i="8" s="1"/>
  <c r="E104" i="8" s="1"/>
  <c r="F104" i="8" s="1"/>
  <c r="K104" i="8" s="1"/>
  <c r="E118" i="8"/>
  <c r="D91" i="8"/>
  <c r="H91" i="8" s="1"/>
  <c r="I91" i="8" s="1"/>
  <c r="J91" i="8" s="1" a="1"/>
  <c r="J91" i="8" s="1"/>
  <c r="E91" i="8" s="1"/>
  <c r="F91" i="8" s="1"/>
  <c r="K91" i="8" s="1"/>
  <c r="D98" i="8"/>
  <c r="H98" i="8" s="1"/>
  <c r="I98" i="8" s="1"/>
  <c r="J98" i="8" s="1" a="1"/>
  <c r="J98" i="8" s="1"/>
  <c r="E98" i="8" s="1"/>
  <c r="F98" i="8" s="1"/>
  <c r="K98" i="8" s="1"/>
  <c r="D108" i="8"/>
  <c r="H108" i="8" s="1"/>
  <c r="I108" i="8" s="1"/>
  <c r="J108" i="8" s="1" a="1"/>
  <c r="J108" i="8" s="1"/>
  <c r="E108" i="8" s="1"/>
  <c r="F108" i="8" s="1"/>
  <c r="K108" i="8" s="1"/>
  <c r="D101" i="8"/>
  <c r="H101" i="8" s="1"/>
  <c r="I101" i="8" s="1"/>
  <c r="J101" i="8" s="1" a="1"/>
  <c r="J101" i="8" s="1"/>
  <c r="E101" i="8" s="1"/>
  <c r="F101" i="8" s="1"/>
  <c r="K101" i="8" s="1"/>
  <c r="D102" i="8"/>
  <c r="H102" i="8" s="1"/>
  <c r="I102" i="8" s="1"/>
  <c r="J102" i="8" s="1" a="1"/>
  <c r="J102" i="8" s="1"/>
  <c r="E102" i="8" s="1"/>
  <c r="F102" i="8" s="1"/>
  <c r="K102" i="8" s="1"/>
  <c r="D97" i="8"/>
  <c r="H97" i="8" s="1"/>
  <c r="I97" i="8" s="1"/>
  <c r="J97" i="8" s="1" a="1"/>
  <c r="J97" i="8" s="1"/>
  <c r="E97" i="8" s="1"/>
  <c r="F97" i="8" s="1"/>
  <c r="K97" i="8" s="1"/>
  <c r="D103" i="8"/>
  <c r="H103" i="8" s="1"/>
  <c r="I103" i="8" s="1"/>
  <c r="J103" i="8" s="1" a="1"/>
  <c r="J103" i="8" s="1"/>
  <c r="E103" i="8" s="1"/>
  <c r="F103" i="8" s="1"/>
  <c r="K103" i="8" s="1"/>
  <c r="D94" i="8"/>
  <c r="H94" i="8" s="1"/>
  <c r="I94" i="8" s="1"/>
  <c r="J94" i="8" s="1" a="1"/>
  <c r="J94" i="8" s="1"/>
  <c r="E94" i="8" s="1"/>
  <c r="F94" i="8" s="1"/>
  <c r="K94" i="8" s="1"/>
  <c r="D95" i="8"/>
  <c r="H95" i="8" s="1"/>
  <c r="I95" i="8" s="1"/>
  <c r="J95" i="8" s="1" a="1"/>
  <c r="J95" i="8" s="1"/>
  <c r="E95" i="8" s="1"/>
  <c r="F95" i="8" s="1"/>
  <c r="K95" i="8" s="1"/>
  <c r="D106" i="8"/>
  <c r="H106" i="8" s="1"/>
  <c r="I106" i="8" s="1"/>
  <c r="J106" i="8" s="1" a="1"/>
  <c r="J106" i="8" s="1"/>
  <c r="E106" i="8" s="1"/>
  <c r="F106" i="8" s="1"/>
  <c r="K106" i="8" s="1"/>
  <c r="D93" i="8"/>
  <c r="H93" i="8" s="1"/>
  <c r="I93" i="8" s="1"/>
  <c r="J93" i="8" s="1" a="1"/>
  <c r="J93" i="8" s="1"/>
  <c r="E93" i="8" s="1"/>
  <c r="F93" i="8" s="1"/>
  <c r="K93" i="8" s="1"/>
  <c r="D105" i="8"/>
  <c r="H105" i="8" s="1"/>
  <c r="I105" i="8" s="1"/>
  <c r="J105" i="8" s="1" a="1"/>
  <c r="J105" i="8" s="1"/>
  <c r="E105" i="8" s="1"/>
  <c r="F105" i="8" s="1"/>
  <c r="K105" i="8" s="1"/>
  <c r="D110" i="8"/>
  <c r="H110" i="8" s="1"/>
  <c r="I110" i="8" s="1"/>
  <c r="J110" i="8" s="1" a="1"/>
  <c r="J110" i="8" s="1"/>
  <c r="E110" i="8" s="1"/>
  <c r="F110" i="8" s="1"/>
  <c r="K110" i="8" s="1"/>
  <c r="D100" i="8"/>
  <c r="H100" i="8" s="1"/>
  <c r="I100" i="8" s="1"/>
  <c r="J100" i="8" s="1" a="1"/>
  <c r="J100" i="8" s="1"/>
  <c r="E100" i="8" s="1"/>
  <c r="F100" i="8" s="1"/>
  <c r="K100" i="8" s="1"/>
  <c r="D109" i="8"/>
  <c r="H109" i="8" s="1"/>
  <c r="I109" i="8" s="1"/>
  <c r="J109" i="8" s="1" a="1"/>
  <c r="J109" i="8" s="1"/>
  <c r="E109" i="8" s="1"/>
  <c r="F109" i="8" s="1"/>
  <c r="K109" i="8" s="1"/>
  <c r="E4" i="6"/>
  <c r="E9" i="6" s="1"/>
  <c r="E4" i="1" s="1"/>
  <c r="D4" i="6"/>
  <c r="D9" i="6" s="1"/>
  <c r="D4" i="1" s="1"/>
  <c r="C3" i="6"/>
  <c r="C4" i="6" s="1"/>
  <c r="C9" i="6" s="1"/>
  <c r="B101" i="6" l="1"/>
  <c r="I110" i="13"/>
  <c r="J110" i="13" s="1"/>
  <c r="I76" i="13"/>
  <c r="J76" i="13" s="1"/>
  <c r="H75" i="13" s="1"/>
  <c r="F151" i="8"/>
  <c r="K151" i="8"/>
  <c r="E159" i="8" s="1"/>
  <c r="K69" i="8"/>
  <c r="E77" i="8" s="1"/>
  <c r="F69" i="8"/>
  <c r="K111" i="8"/>
  <c r="E119" i="8" s="1"/>
  <c r="F111" i="8"/>
  <c r="C4" i="1"/>
  <c r="E121" i="8" l="1"/>
  <c r="E160" i="8"/>
  <c r="E161" i="8"/>
  <c r="E78" i="8"/>
  <c r="E79" i="8"/>
  <c r="I111" i="13"/>
  <c r="J111" i="13" s="1"/>
  <c r="I77" i="13"/>
  <c r="J77" i="13" s="1"/>
  <c r="H76" i="13" s="1"/>
  <c r="E120" i="8"/>
  <c r="G4" i="1"/>
  <c r="G7" i="1" s="1"/>
  <c r="Q4" i="1"/>
  <c r="I112" i="13" l="1"/>
  <c r="J112" i="13" s="1"/>
  <c r="I78" i="13"/>
  <c r="Q6" i="1"/>
  <c r="G8" i="1"/>
  <c r="J78" i="13" l="1"/>
  <c r="H77" i="13" s="1"/>
  <c r="I79" i="13"/>
  <c r="Q7" i="1"/>
  <c r="L8" i="1"/>
  <c r="L13" i="1"/>
  <c r="J79" i="13" l="1"/>
  <c r="H78" i="13" s="1"/>
  <c r="Q14" i="1"/>
  <c r="L15" i="1"/>
  <c r="L9" i="1"/>
  <c r="Q10" i="1"/>
  <c r="Q12" i="1" l="1"/>
  <c r="I17" i="1"/>
  <c r="E27" i="13" l="1"/>
  <c r="E29" i="13" s="1"/>
  <c r="D10" i="12" s="1"/>
  <c r="E61" i="13" l="1"/>
  <c r="E63" i="13" s="1"/>
  <c r="D11" i="12" s="1"/>
  <c r="F11" i="12" s="1"/>
  <c r="M27" i="13"/>
  <c r="H27" i="13"/>
  <c r="M28" i="13"/>
  <c r="I11" i="12" l="1"/>
  <c r="H11" i="12"/>
  <c r="F10" i="12"/>
  <c r="M61" i="13"/>
  <c r="H61" i="13"/>
  <c r="M62" i="13"/>
  <c r="I5" i="13"/>
  <c r="H28" i="13"/>
  <c r="K4" i="13" s="1"/>
  <c r="J11" i="12" l="1"/>
  <c r="I10" i="12"/>
  <c r="I14" i="12" s="1"/>
  <c r="H10" i="12"/>
  <c r="H14" i="12" s="1"/>
  <c r="H62" i="13"/>
  <c r="K38" i="13" s="1"/>
  <c r="I39" i="13"/>
  <c r="G5" i="13"/>
  <c r="I6" i="13"/>
  <c r="K11" i="12" l="1"/>
  <c r="L11" i="12"/>
  <c r="G20" i="12"/>
  <c r="H15" i="12"/>
  <c r="H16" i="12"/>
  <c r="J10" i="12"/>
  <c r="J14" i="12" s="1"/>
  <c r="G26" i="12"/>
  <c r="E40" i="12" s="1"/>
  <c r="I15" i="12"/>
  <c r="G24" i="12" s="1"/>
  <c r="F42" i="12" s="1"/>
  <c r="I16" i="12"/>
  <c r="G23" i="12"/>
  <c r="J6" i="13"/>
  <c r="H5" i="13" s="1"/>
  <c r="F5" i="13" s="1"/>
  <c r="H107" i="13"/>
  <c r="H73" i="13"/>
  <c r="F73" i="13" s="1"/>
  <c r="G39" i="13"/>
  <c r="I40" i="13"/>
  <c r="J40" i="13" s="1"/>
  <c r="H39" i="13" s="1"/>
  <c r="G6" i="13"/>
  <c r="I7" i="13"/>
  <c r="J7" i="13" s="1"/>
  <c r="E34" i="12" l="1"/>
  <c r="G22" i="12"/>
  <c r="K10" i="12"/>
  <c r="K15" i="12" s="1"/>
  <c r="L10" i="12"/>
  <c r="G21" i="12"/>
  <c r="E36" i="12"/>
  <c r="E38" i="12" s="1"/>
  <c r="G27" i="12"/>
  <c r="F40" i="12" s="1"/>
  <c r="G28" i="12"/>
  <c r="G25" i="12"/>
  <c r="L16" i="12"/>
  <c r="H6" i="13"/>
  <c r="F6" i="13" s="1"/>
  <c r="E6" i="13" s="1"/>
  <c r="H108" i="13"/>
  <c r="F108" i="13" s="1"/>
  <c r="E108" i="13" s="1"/>
  <c r="F107" i="13"/>
  <c r="H74" i="13"/>
  <c r="E73" i="13"/>
  <c r="F39" i="13"/>
  <c r="I41" i="13"/>
  <c r="J41" i="13" s="1"/>
  <c r="H40" i="13" s="1"/>
  <c r="G40" i="13"/>
  <c r="I8" i="13"/>
  <c r="G7" i="13"/>
  <c r="E5" i="13"/>
  <c r="G40" i="12" l="1"/>
  <c r="F44" i="12"/>
  <c r="G34" i="12"/>
  <c r="G36" i="12"/>
  <c r="G38" i="12" s="1"/>
  <c r="F46" i="12"/>
  <c r="F34" i="12"/>
  <c r="F48" i="12" s="1"/>
  <c r="F36" i="12"/>
  <c r="F38" i="12" s="1"/>
  <c r="H109" i="13"/>
  <c r="E107" i="13"/>
  <c r="F74" i="13"/>
  <c r="E74" i="13" s="1"/>
  <c r="F40" i="13"/>
  <c r="E40" i="13" s="1"/>
  <c r="I42" i="13"/>
  <c r="G41" i="13"/>
  <c r="E39" i="13"/>
  <c r="I9" i="13"/>
  <c r="G8" i="13"/>
  <c r="J8" i="13"/>
  <c r="H7" i="13" s="1"/>
  <c r="F109" i="13" l="1"/>
  <c r="E109" i="13" s="1"/>
  <c r="H110" i="13"/>
  <c r="F75" i="13"/>
  <c r="E75" i="13" s="1"/>
  <c r="I43" i="13"/>
  <c r="J43" i="13" s="1"/>
  <c r="G42" i="13"/>
  <c r="J42" i="13"/>
  <c r="H41" i="13" s="1"/>
  <c r="I10" i="13"/>
  <c r="J10" i="13" s="1"/>
  <c r="G9" i="13"/>
  <c r="J9" i="13"/>
  <c r="H8" i="13" s="1"/>
  <c r="F8" i="13" s="1"/>
  <c r="E8" i="13" s="1"/>
  <c r="F7" i="13"/>
  <c r="F110" i="13" l="1"/>
  <c r="F76" i="13"/>
  <c r="E76" i="13" s="1"/>
  <c r="H42" i="13"/>
  <c r="F42" i="13" s="1"/>
  <c r="E42" i="13" s="1"/>
  <c r="G43" i="13"/>
  <c r="I44" i="13"/>
  <c r="J44" i="13" s="1"/>
  <c r="H43" i="13" s="1"/>
  <c r="F41" i="13"/>
  <c r="H9" i="13"/>
  <c r="F9" i="13" s="1"/>
  <c r="E9" i="13" s="1"/>
  <c r="E7" i="13"/>
  <c r="H111" i="13" l="1"/>
  <c r="F111" i="13" s="1"/>
  <c r="E111" i="13" s="1"/>
  <c r="E110" i="13"/>
  <c r="F77" i="13"/>
  <c r="E77" i="13" s="1"/>
  <c r="F43" i="13"/>
  <c r="E43" i="13" s="1"/>
  <c r="G44" i="13"/>
  <c r="I45" i="13"/>
  <c r="J45" i="13" s="1"/>
  <c r="H44" i="13" s="1"/>
  <c r="F44" i="13" s="1"/>
  <c r="E44" i="13" s="1"/>
  <c r="E41" i="13"/>
  <c r="F78" i="13" l="1"/>
  <c r="E78" i="13" s="1"/>
  <c r="O8" i="13"/>
  <c r="O5" i="13"/>
  <c r="F10" i="13"/>
  <c r="O110" i="13"/>
  <c r="O107" i="13"/>
  <c r="F112" i="13"/>
  <c r="H45" i="13"/>
  <c r="O76" i="13"/>
  <c r="O73" i="13"/>
  <c r="F79" i="13"/>
  <c r="E112" i="13"/>
  <c r="O108" i="13"/>
  <c r="O111" i="13"/>
  <c r="O113" i="13"/>
  <c r="N115" i="13"/>
  <c r="E45" i="13"/>
  <c r="O40" i="13"/>
  <c r="O43" i="13"/>
  <c r="O45" i="13"/>
  <c r="N47" i="13"/>
  <c r="E10" i="13"/>
  <c r="O6" i="13"/>
  <c r="O9" i="13"/>
  <c r="O11" i="13"/>
  <c r="N13" i="13"/>
  <c r="H10" i="13"/>
  <c r="E79" i="13"/>
  <c r="O74" i="13"/>
  <c r="O77" i="13"/>
  <c r="O79" i="13"/>
  <c r="N81" i="13"/>
  <c r="H112" i="13"/>
  <c r="H79" i="13"/>
  <c r="F45" i="13"/>
  <c r="O39" i="13"/>
  <c r="O42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<sst xmlns="http://schemas.openxmlformats.org/spreadsheetml/2006/main" count="489" uniqueCount="161">
  <si>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</si>
  <si>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</si>
  <si>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</si>
  <si>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</si>
  <si>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</si>
  <si>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</si>
  <si>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</si>
  <si>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</si>
  <si>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</si>
  <si>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</si>
  <si>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</si>
  <si>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</si>
  <si>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</si>
  <si>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</si>
  <si>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</si>
  <si>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</si>
  <si>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</si>
  <si>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</si>
  <si>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</si>
  <si>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</si>
  <si>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</si>
  <si>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</si>
  <si>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</si>
  <si>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</si>
  <si>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</si>
  <si>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</si>
  <si>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</si>
  <si>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</si>
  <si>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</si>
  <si>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</si>
  <si>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</si>
  <si>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Necesidades Personales</t>
  </si>
  <si>
    <t>PIE</t>
  </si>
  <si>
    <t>Postura (P)</t>
  </si>
  <si>
    <t>Fuerza (F)</t>
  </si>
  <si>
    <t>Iluminación (I)</t>
  </si>
  <si>
    <t>Condiciones Atmosféricas (CA)</t>
  </si>
  <si>
    <t>Concentración Intensa (CI)</t>
  </si>
  <si>
    <t>Ruido (R)</t>
  </si>
  <si>
    <t>Tensión Mental (TM)</t>
  </si>
  <si>
    <t>Monotomía (M)</t>
  </si>
  <si>
    <t>Tedio (T)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</si>
  <si>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</si>
  <si>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</si>
  <si>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</si>
  <si>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</si>
  <si>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</si>
  <si>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</si>
  <si>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</si>
  <si>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</si>
  <si>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</si>
  <si>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</si>
  <si>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</si>
  <si>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</si>
  <si>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</si>
  <si>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</si>
  <si>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</si>
  <si>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</si>
  <si>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</si>
  <si>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Producción (Pantalón/hora)</t>
  </si>
  <si>
    <t>Saturación (%)</t>
  </si>
  <si>
    <t>Capacidad de Atención ("n" máq.)</t>
  </si>
  <si>
    <t>Eficiencia de la máquina (%)</t>
  </si>
  <si>
    <t>-</t>
  </si>
  <si>
    <t>Producción teórica  (Pt/hora)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</si>
  <si>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</si>
  <si>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</si>
  <si>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</si>
  <si>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</si>
  <si>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</si>
  <si>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</si>
  <si>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</si>
  <si>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</si>
  <si>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</si>
  <si>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</si>
  <si>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</si>
  <si>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</si>
  <si>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</si>
  <si>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</si>
  <si>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</si>
  <si>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</si>
  <si>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</si>
  <si>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</si>
  <si>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</si>
  <si>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</si>
  <si>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</si>
  <si>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</si>
  <si>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</si>
  <si>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</si>
  <si>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</si>
  <si>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</si>
  <si>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</si>
  <si>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Variable</t>
  </si>
  <si>
    <t>Resultado</t>
  </si>
  <si>
    <t>T</t>
  </si>
  <si>
    <t>E</t>
  </si>
  <si>
    <t>Paros</t>
  </si>
  <si>
    <t>Dif</t>
  </si>
  <si>
    <t>Totales</t>
  </si>
  <si>
    <t>observaciones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</si>
  <si>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</si>
  <si>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</si>
  <si>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</si>
  <si>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</si>
  <si>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</si>
  <si>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</si>
  <si>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</si>
  <si>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</si>
  <si>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</si>
  <si>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</si>
  <si>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</si>
  <si>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</si>
  <si>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</si>
  <si>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</si>
  <si>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</si>
  <si>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</si>
  <si>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</si>
  <si>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.</t>
  </si>
  <si>
    <t>fxd^2</t>
  </si>
  <si>
    <t>fxd</t>
  </si>
  <si>
    <t>d</t>
  </si>
  <si>
    <t>f</t>
  </si>
  <si>
    <t>h=</t>
  </si>
  <si>
    <t>m1=</t>
  </si>
  <si>
    <t>m2=</t>
  </si>
  <si>
    <t>t.medio=</t>
  </si>
  <si>
    <t>v=</t>
  </si>
  <si>
    <t>CV=</t>
  </si>
  <si>
    <t>MIN</t>
  </si>
  <si>
    <t>MAX</t>
  </si>
  <si>
    <t>Tendido</t>
  </si>
  <si>
    <t>Determina el largo del tendido</t>
  </si>
  <si>
    <t>D</t>
  </si>
  <si>
    <t>Extiende Tizado</t>
  </si>
  <si>
    <t>Extiende papel base</t>
  </si>
  <si>
    <t xml:space="preserve">Tiende Paño </t>
  </si>
  <si>
    <t>Corta paño en el extremo final</t>
  </si>
  <si>
    <t>Coloca Papel tizado del tendido</t>
  </si>
  <si>
    <t>El tizado queda fijo, agujerar tizado y cintar</t>
  </si>
  <si>
    <t>P</t>
  </si>
  <si>
    <t>Desenrolla rollo de tela</t>
  </si>
  <si>
    <t>Extiende tela</t>
  </si>
  <si>
    <t>IIIII</t>
  </si>
  <si>
    <t>IIIIIII</t>
  </si>
  <si>
    <t>III</t>
  </si>
  <si>
    <t>II</t>
  </si>
  <si>
    <t>IIII</t>
  </si>
  <si>
    <t>IIIIII</t>
  </si>
  <si>
    <t>IIIIIIII</t>
  </si>
  <si>
    <t>TIPO</t>
  </si>
  <si>
    <t>N° de Elementos en Operación Tendido</t>
  </si>
  <si>
    <t>Observaciones</t>
  </si>
  <si>
    <t>NP</t>
  </si>
  <si>
    <t>F</t>
  </si>
  <si>
    <t>CA</t>
  </si>
  <si>
    <t>CI</t>
  </si>
  <si>
    <t>R</t>
  </si>
  <si>
    <t>TM</t>
  </si>
  <si>
    <t>M</t>
  </si>
  <si>
    <t>Ritmo</t>
  </si>
  <si>
    <t>Incentivo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</si>
</sst>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\ ???/???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0" fillId="2" borderId="0" xfId="0" applyFill="1"/>
    <xf numFmtId="0" fontId="4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6" fillId="0" borderId="0" xfId="0" applyFont="1"/>
    <xf numFmtId="0" fontId="6" fillId="0" borderId="10" xfId="0" applyFont="1" applyBorder="1"/>
    <xf numFmtId="0" fontId="6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0" fontId="6" fillId="0" borderId="5" xfId="0" applyNumberFormat="1" applyFont="1" applyBorder="1" applyAlignment="1">
      <alignment horizontal="center" vertical="center"/>
    </xf>
    <xf numFmtId="0" fontId="6" fillId="5" borderId="6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6" fillId="0" borderId="8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2" borderId="0" xfId="0" applyFont="1" applyFill="1"/>
    <xf numFmtId="0" fontId="6" fillId="2" borderId="0" xfId="0" applyFont="1" applyFill="1" applyAlignment="1">
      <alignment horizontal="center" vertical="center" wrapText="1"/>
    </xf>
    <xf numFmtId="1" fontId="6" fillId="2" borderId="0" xfId="0" applyNumberFormat="1" applyFont="1" applyFill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1" fontId="6" fillId="2" borderId="18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7" fillId="2" borderId="4" xfId="0" applyFont="1" applyFill="1" applyBorder="1"/>
    <xf numFmtId="0" fontId="6" fillId="2" borderId="7" xfId="0" applyFont="1" applyFill="1" applyBorder="1" applyAlignment="1">
      <alignment horizontal="center"/>
    </xf>
    <xf numFmtId="164" fontId="6" fillId="2" borderId="1" xfId="0" applyNumberFormat="1" applyFont="1" applyFill="1" applyBorder="1"/>
    <xf numFmtId="0" fontId="6" fillId="2" borderId="15" xfId="0" applyFont="1" applyFill="1" applyBorder="1"/>
    <xf numFmtId="0" fontId="6" fillId="2" borderId="12" xfId="0" applyFont="1" applyFill="1" applyBorder="1"/>
    <xf numFmtId="0" fontId="6" fillId="2" borderId="2" xfId="0" applyFont="1" applyFill="1" applyBorder="1" applyAlignment="1">
      <alignment horizontal="right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/>
    <xf numFmtId="0" fontId="6" fillId="2" borderId="7" xfId="0" applyFont="1" applyFill="1" applyBorder="1"/>
    <xf numFmtId="0" fontId="6" fillId="2" borderId="11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1" xfId="0" applyFont="1" applyFill="1" applyBorder="1" applyAlignment="1">
      <alignment horizontal="right"/>
    </xf>
    <xf numFmtId="0" fontId="7" fillId="2" borderId="9" xfId="0" applyFont="1" applyFill="1" applyBorder="1"/>
    <xf numFmtId="0" fontId="6" fillId="2" borderId="9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10" fontId="6" fillId="0" borderId="9" xfId="0" applyNumberFormat="1" applyFont="1" applyBorder="1" applyAlignment="1">
      <alignment horizontal="center" vertical="center" wrapText="1"/>
    </xf>
    <xf numFmtId="39" fontId="6" fillId="0" borderId="16" xfId="0" applyNumberFormat="1" applyFont="1" applyBorder="1" applyAlignment="1">
      <alignment horizontal="center" vertical="center" wrapText="1"/>
    </xf>
    <xf numFmtId="10" fontId="6" fillId="0" borderId="0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0" fontId="6" fillId="0" borderId="10" xfId="0" applyNumberFormat="1" applyFont="1" applyBorder="1" applyAlignment="1">
      <alignment horizontal="center" vertical="center" wrapText="1"/>
    </xf>
    <xf numFmtId="39" fontId="6" fillId="0" borderId="5" xfId="0" applyNumberFormat="1" applyFont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10" fontId="6" fillId="0" borderId="19" xfId="0" applyNumberFormat="1" applyFont="1" applyBorder="1" applyAlignment="1">
      <alignment horizontal="center" vertical="center" wrapText="1"/>
    </xf>
    <xf numFmtId="10" fontId="6" fillId="0" borderId="18" xfId="0" applyNumberFormat="1" applyFont="1" applyBorder="1" applyAlignment="1">
      <alignment horizontal="center" vertical="center" wrapText="1"/>
    </xf>
    <xf numFmtId="10" fontId="6" fillId="0" borderId="11" xfId="0" applyNumberFormat="1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9" fontId="6" fillId="0" borderId="18" xfId="0" applyNumberFormat="1" applyFont="1" applyBorder="1" applyAlignment="1">
      <alignment horizontal="center" vertical="center" wrapText="1"/>
    </xf>
    <xf numFmtId="9" fontId="6" fillId="0" borderId="11" xfId="0" applyNumberFormat="1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2" fontId="6" fillId="2" borderId="9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2" fontId="6" fillId="2" borderId="3" xfId="0" applyNumberFormat="1" applyFont="1" applyFill="1" applyBorder="1" applyAlignment="1">
      <alignment horizontal="center" vertical="center" wrapText="1"/>
    </xf>
    <xf numFmtId="2" fontId="6" fillId="2" borderId="8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39" fontId="6" fillId="2" borderId="18" xfId="0" applyNumberFormat="1" applyFont="1" applyFill="1" applyBorder="1" applyAlignment="1">
      <alignment horizontal="center" vertical="center" wrapText="1"/>
    </xf>
    <xf numFmtId="39" fontId="6" fillId="2" borderId="11" xfId="0" applyNumberFormat="1" applyFont="1" applyFill="1" applyBorder="1" applyAlignment="1">
      <alignment horizontal="center" vertical="center" wrapText="1"/>
    </xf>
    <xf numFmtId="165" fontId="6" fillId="2" borderId="19" xfId="0" quotePrefix="1" applyNumberFormat="1" applyFont="1" applyFill="1" applyBorder="1" applyAlignment="1">
      <alignment horizontal="center" vertical="center" wrapText="1"/>
    </xf>
    <xf numFmtId="165" fontId="6" fillId="2" borderId="18" xfId="0" quotePrefix="1" applyNumberFormat="1" applyFont="1" applyFill="1" applyBorder="1" applyAlignment="1">
      <alignment horizontal="center" vertical="center" wrapText="1"/>
    </xf>
    <xf numFmtId="165" fontId="6" fillId="2" borderId="11" xfId="0" quotePrefix="1" applyNumberFormat="1" applyFont="1" applyFill="1" applyBorder="1" applyAlignment="1">
      <alignment horizontal="center" vertical="center" wrapText="1"/>
    </xf>
    <xf numFmtId="2" fontId="6" fillId="2" borderId="19" xfId="0" applyNumberFormat="1" applyFont="1" applyFill="1" applyBorder="1" applyAlignment="1">
      <alignment horizontal="center" vertical="center" wrapText="1"/>
    </xf>
    <xf numFmtId="2" fontId="6" fillId="2" borderId="18" xfId="0" applyNumberFormat="1" applyFont="1" applyFill="1" applyBorder="1" applyAlignment="1">
      <alignment horizontal="center" vertical="center" wrapText="1"/>
    </xf>
    <xf numFmtId="2" fontId="6" fillId="2" borderId="11" xfId="0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2" fontId="6" fillId="2" borderId="19" xfId="0" applyNumberFormat="1" applyFont="1" applyFill="1" applyBorder="1" applyAlignment="1">
      <alignment horizontal="center" vertical="center"/>
    </xf>
    <xf numFmtId="2" fontId="6" fillId="2" borderId="18" xfId="0" applyNumberFormat="1" applyFont="1" applyFill="1" applyBorder="1" applyAlignment="1">
      <alignment horizontal="center" vertical="center"/>
    </xf>
    <xf numFmtId="2" fontId="6" fillId="2" borderId="11" xfId="0" applyNumberFormat="1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 wrapText="1"/>
    </xf>
    <xf numFmtId="2" fontId="6" fillId="2" borderId="7" xfId="0" applyNumberFormat="1" applyFont="1" applyFill="1" applyBorder="1" applyAlignment="1">
      <alignment horizontal="center" vertical="center" wrapText="1"/>
    </xf>
    <xf numFmtId="49" fontId="6" fillId="2" borderId="17" xfId="0" applyNumberFormat="1" applyFont="1" applyFill="1" applyBorder="1" applyAlignment="1">
      <alignment horizontal="center" vertical="center" wrapText="1"/>
    </xf>
    <xf numFmtId="2" fontId="6" fillId="2" borderId="16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2" fontId="6" fillId="2" borderId="5" xfId="0" applyNumberFormat="1" applyFont="1" applyFill="1" applyBorder="1" applyAlignment="1">
      <alignment horizontal="center" vertical="center" wrapText="1"/>
    </xf>
    <xf numFmtId="2" fontId="6" fillId="2" borderId="18" xfId="0" applyNumberFormat="1" applyFont="1" applyFill="1" applyBorder="1" applyAlignment="1">
      <alignment horizontal="center" vertical="center" wrapText="1"/>
    </xf>
    <xf numFmtId="2" fontId="6" fillId="2" borderId="11" xfId="0" applyNumberFormat="1" applyFont="1" applyFill="1" applyBorder="1" applyAlignment="1">
      <alignment horizontal="center" vertical="center" wrapText="1"/>
    </xf>
    <xf numFmtId="2" fontId="6" fillId="2" borderId="1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J16"/>
  <sheetViews>
    <sheetView workbookViewId="0">
      <selection activeCell="K5" sqref="K5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0" x14ac:dyDescent="0.3">
      <c r="C1" s="41"/>
      <c r="D1" s="41"/>
      <c r="E1" s="41"/>
      <c r="F1" s="41"/>
      <c r="G1" s="41"/>
      <c r="H1" s="41"/>
      <c r="I1" s="41"/>
      <c r="J1" s="41"/>
    </row>
    <row r="2" spans="1:10" ht="15.6" x14ac:dyDescent="0.3">
      <c r="B2" s="26" t="s">
        <v>108</v>
      </c>
      <c r="C2" s="41"/>
      <c r="D2" s="59" t="s">
        <v>68</v>
      </c>
      <c r="E2" s="59" t="s">
        <v>149</v>
      </c>
      <c r="F2" s="59" t="s">
        <v>69</v>
      </c>
      <c r="G2" s="59" t="s">
        <v>70</v>
      </c>
      <c r="H2" s="59" t="s">
        <v>71</v>
      </c>
      <c r="I2" s="41"/>
    </row>
    <row r="3" spans="1:10" ht="31.2" customHeight="1" x14ac:dyDescent="0.3">
      <c r="B3" s="26" t="s">
        <v>130</v>
      </c>
      <c r="C3" s="41"/>
      <c r="D3" s="60" t="s">
        <v>131</v>
      </c>
      <c r="E3" s="60" t="s">
        <v>46</v>
      </c>
      <c r="F3" s="60" t="s">
        <v>132</v>
      </c>
      <c r="G3" s="60" t="s">
        <v>133</v>
      </c>
      <c r="H3" s="60" t="s">
        <v>134</v>
      </c>
      <c r="I3" s="41"/>
    </row>
    <row r="4" spans="1:10" ht="31.2" customHeight="1" x14ac:dyDescent="0.3">
      <c r="A4" t="s">
        <v>109</v>
      </c>
      <c r="C4" s="41"/>
      <c r="D4" s="60" t="s">
        <v>141</v>
      </c>
      <c r="E4" s="60" t="s">
        <v>46</v>
      </c>
      <c r="F4" s="60" t="s">
        <v>95</v>
      </c>
      <c r="G4" s="60" t="s">
        <v>134</v>
      </c>
      <c r="H4" s="60" t="s">
        <v>140</v>
      </c>
      <c r="I4" s="41"/>
    </row>
    <row r="5" spans="1:10" ht="31.2" customHeight="1" x14ac:dyDescent="0.3">
      <c r="C5" s="41"/>
      <c r="D5" s="60" t="s">
        <v>135</v>
      </c>
      <c r="E5" s="60" t="s">
        <v>46</v>
      </c>
      <c r="F5" s="60" t="s">
        <v>139</v>
      </c>
      <c r="G5" s="60" t="s">
        <v>140</v>
      </c>
      <c r="H5" s="60" t="s">
        <v>136</v>
      </c>
      <c r="I5" s="41"/>
    </row>
    <row r="6" spans="1:10" ht="31.2" customHeight="1" x14ac:dyDescent="0.3">
      <c r="C6" s="41"/>
      <c r="D6" s="60" t="s">
        <v>137</v>
      </c>
      <c r="E6" s="60" t="s">
        <v>46</v>
      </c>
      <c r="F6" s="60" t="s">
        <v>94</v>
      </c>
      <c r="G6" s="60" t="s">
        <v>136</v>
      </c>
      <c r="H6" s="60" t="s">
        <v>138</v>
      </c>
      <c r="I6" s="41"/>
    </row>
    <row r="7" spans="1:10" ht="31.2" customHeight="1" x14ac:dyDescent="0.3">
      <c r="C7" s="41"/>
      <c r="D7" s="41"/>
      <c r="E7" s="41"/>
      <c r="F7" s="41"/>
      <c r="G7" s="41"/>
      <c r="H7" s="41"/>
      <c r="I7" s="41"/>
    </row>
    <row r="8" spans="1:10" ht="31.2" customHeight="1" x14ac:dyDescent="0.3">
      <c r="C8" s="41"/>
      <c r="D8" s="57"/>
      <c r="E8" s="57"/>
      <c r="F8" s="58" t="str">
        <f t="shared" ref="F8:F10" si="0">+MID(D8,1,1)</f>
        <v/>
      </c>
      <c r="G8" s="57"/>
      <c r="H8" s="57"/>
      <c r="I8" s="41"/>
    </row>
    <row r="9" spans="1:10" ht="31.2" customHeight="1" x14ac:dyDescent="0.3">
      <c r="D9" s="27"/>
      <c r="E9" s="27"/>
      <c r="F9" s="28" t="str">
        <f t="shared" si="0"/>
        <v/>
      </c>
      <c r="G9" s="27"/>
      <c r="H9" s="27"/>
    </row>
    <row r="10" spans="1:10" ht="31.2" customHeight="1" x14ac:dyDescent="0.3">
      <c r="D10" s="27"/>
      <c r="E10" s="27"/>
      <c r="F10" s="28" t="str">
        <f t="shared" si="0"/>
        <v/>
      </c>
      <c r="G10" s="27"/>
      <c r="H10" s="27"/>
    </row>
    <row r="11" spans="1:10" ht="31.2" customHeight="1" x14ac:dyDescent="0.3">
      <c r="D11" s="27"/>
      <c r="E11" s="27"/>
      <c r="F11" s="28" t="str">
        <f t="shared" ref="F11:F12" si="1">+MID(D11,1,1)</f>
        <v/>
      </c>
      <c r="G11" s="27"/>
      <c r="H11" s="27"/>
    </row>
    <row r="12" spans="1:10" ht="15.6" x14ac:dyDescent="0.3">
      <c r="D12" s="27"/>
      <c r="E12" s="27"/>
      <c r="F12" s="28" t="str">
        <f t="shared" si="1"/>
        <v/>
      </c>
      <c r="G12" s="27"/>
      <c r="H12" s="27"/>
    </row>
    <row r="13" spans="1:10" ht="15.6" x14ac:dyDescent="0.3">
      <c r="D13" s="27"/>
      <c r="E13" s="27"/>
      <c r="F13" s="28"/>
      <c r="G13" s="27"/>
      <c r="H13" s="27"/>
    </row>
    <row r="14" spans="1:10" ht="15.6" customHeight="1" x14ac:dyDescent="0.3">
      <c r="D14" s="27"/>
      <c r="E14" s="27"/>
      <c r="G14" s="27"/>
      <c r="H14" s="43"/>
      <c r="I14" s="43"/>
      <c r="J14" s="43"/>
    </row>
    <row r="15" spans="1:10" ht="15.6" x14ac:dyDescent="0.3">
      <c r="D15" s="27"/>
      <c r="E15" s="27"/>
      <c r="G15" s="27"/>
      <c r="H15" s="27"/>
    </row>
    <row r="16" spans="1:10" ht="15.6" x14ac:dyDescent="0.3">
      <c r="D16" s="27"/>
      <c r="E16" s="27"/>
      <c r="F16" s="28"/>
      <c r="G16" s="27"/>
      <c r="H16" s="27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X187"/>
  <sheetViews>
    <sheetView showGridLines="0" workbookViewId="0">
      <selection activeCell="I30" sqref="I30"/>
    </sheetView>
  </sheetViews>
  <sheetFormatPr baseColWidth="10" defaultRowHeight="14.4" x14ac:dyDescent="0.3"/>
  <cols>
    <col min="2" max="3" width="14.77734375" customWidth="1"/>
    <col min="4" max="5" width="10.77734375" customWidth="1"/>
    <col min="6" max="6" width="14.33203125" bestFit="1" customWidth="1"/>
  </cols>
  <sheetData>
    <row r="3" spans="2:15" x14ac:dyDescent="0.3">
      <c r="C3" s="1">
        <f>+C10+F125+IF(D3&gt;=60,1,0)</f>
        <v>17</v>
      </c>
      <c r="D3" s="1">
        <f>+D10+F126+IF(E3&gt;=60,1,0)</f>
        <v>77</v>
      </c>
      <c r="E3" s="24">
        <f>+E10+F127</f>
        <v>33</v>
      </c>
    </row>
    <row r="4" spans="2:15" x14ac:dyDescent="0.3">
      <c r="C4" s="22">
        <f>+C3</f>
        <v>17</v>
      </c>
      <c r="D4" s="22">
        <f>+IF(D3&gt;=60,D3-60,D3)</f>
        <v>17</v>
      </c>
      <c r="E4" s="23">
        <f>+IF(E3&gt;=60,E3-60,E3)</f>
        <v>33</v>
      </c>
      <c r="F4" s="16"/>
      <c r="G4" s="16"/>
      <c r="H4" s="16"/>
      <c r="K4" s="44" t="str">
        <f>+CONCATENATE("Elemento ",C21)</f>
        <v>Elemento D</v>
      </c>
      <c r="L4" s="45"/>
      <c r="N4" s="44" t="str">
        <f>+CONCATENATE("Elemento ",C22)</f>
        <v>Elemento E</v>
      </c>
      <c r="O4" s="45"/>
    </row>
    <row r="5" spans="2:15" x14ac:dyDescent="0.3">
      <c r="C5" s="16"/>
      <c r="D5" s="16"/>
      <c r="E5" s="21"/>
      <c r="F5" s="16"/>
      <c r="G5" s="16"/>
      <c r="H5" s="16"/>
    </row>
    <row r="6" spans="2:15" x14ac:dyDescent="0.3">
      <c r="C6" s="16"/>
      <c r="D6" s="16"/>
      <c r="E6" s="16"/>
      <c r="F6" s="16"/>
      <c r="G6" s="16"/>
      <c r="H6" s="16"/>
      <c r="K6" s="32" t="s">
        <v>18</v>
      </c>
      <c r="L6" s="32" t="s">
        <v>19</v>
      </c>
      <c r="N6" s="32" t="s">
        <v>18</v>
      </c>
      <c r="O6" s="32" t="s">
        <v>19</v>
      </c>
    </row>
    <row r="7" spans="2:15" x14ac:dyDescent="0.3">
      <c r="C7" s="18"/>
      <c r="D7" s="16"/>
      <c r="E7" s="16"/>
      <c r="F7" s="16"/>
      <c r="G7" s="16"/>
      <c r="H7" s="16"/>
      <c r="K7" s="3">
        <f ca="1">+OFFSET(D21,H15,0)</f>
        <v>100</v>
      </c>
      <c r="L7" s="3">
        <f ca="1">+OFFSET(E21,H15,0)</f>
        <v>13858</v>
      </c>
      <c r="N7" s="3">
        <f ca="1">+OFFSET(D22,H15,0)</f>
        <v>90</v>
      </c>
      <c r="O7" s="3">
        <f ca="1">+OFFSET(E22,H15,0)</f>
        <v>27884</v>
      </c>
    </row>
    <row r="8" spans="2:15" x14ac:dyDescent="0.3">
      <c r="C8" s="32" t="s">
        <v>0</v>
      </c>
      <c r="D8" s="32" t="s">
        <v>1</v>
      </c>
      <c r="E8" s="32" t="s">
        <v>2</v>
      </c>
      <c r="G8" s="16"/>
      <c r="H8" s="16"/>
      <c r="K8" s="3">
        <f t="shared" ref="K8:K26" ca="1" si="0">+OFFSET(D22,H16,0)</f>
        <v>105</v>
      </c>
      <c r="L8" s="3">
        <f t="shared" ref="L8:L26" ca="1" si="1">+OFFSET(E22,H16,0)</f>
        <v>14334</v>
      </c>
      <c r="N8" s="3">
        <f t="shared" ref="N8:N26" ca="1" si="2">+OFFSET(D23,H16,0)</f>
        <v>95</v>
      </c>
      <c r="O8" s="3">
        <f t="shared" ref="O8:O26" ca="1" si="3">+OFFSET(E23,H16,0)</f>
        <v>28925</v>
      </c>
    </row>
    <row r="9" spans="2:15" x14ac:dyDescent="0.3">
      <c r="B9" s="33" t="s">
        <v>3</v>
      </c>
      <c r="C9" s="31">
        <f>+C4</f>
        <v>17</v>
      </c>
      <c r="D9" s="31">
        <f>+D4</f>
        <v>17</v>
      </c>
      <c r="E9" s="31">
        <f>+E4</f>
        <v>33</v>
      </c>
      <c r="G9" s="16"/>
      <c r="H9" s="16"/>
      <c r="K9" s="3">
        <f t="shared" ca="1" si="0"/>
        <v>100</v>
      </c>
      <c r="L9" s="3">
        <f t="shared" ca="1" si="1"/>
        <v>13194</v>
      </c>
      <c r="N9" s="3">
        <f t="shared" ca="1" si="2"/>
        <v>100</v>
      </c>
      <c r="O9" s="3">
        <f t="shared" ca="1" si="3"/>
        <v>28060</v>
      </c>
    </row>
    <row r="10" spans="2:15" x14ac:dyDescent="0.3">
      <c r="B10" s="33" t="s">
        <v>6</v>
      </c>
      <c r="C10" s="31">
        <v>13</v>
      </c>
      <c r="D10" s="31">
        <v>20</v>
      </c>
      <c r="E10" s="31">
        <v>27</v>
      </c>
      <c r="G10" s="16"/>
      <c r="H10" s="16"/>
      <c r="K10" s="3">
        <f t="shared" ca="1" si="0"/>
        <v>95</v>
      </c>
      <c r="L10" s="3">
        <f t="shared" ca="1" si="1"/>
        <v>13138</v>
      </c>
      <c r="N10" s="3">
        <f t="shared" ca="1" si="2"/>
        <v>100</v>
      </c>
      <c r="O10" s="3">
        <f t="shared" ca="1" si="3"/>
        <v>27620</v>
      </c>
    </row>
    <row r="11" spans="2:15" x14ac:dyDescent="0.3">
      <c r="C11" t="s">
        <v>117</v>
      </c>
      <c r="G11" s="16"/>
      <c r="H11" s="16"/>
      <c r="K11" s="3">
        <f t="shared" ca="1" si="0"/>
        <v>85</v>
      </c>
      <c r="L11" s="3">
        <f t="shared" ca="1" si="1"/>
        <v>14560</v>
      </c>
      <c r="N11" s="3">
        <f t="shared" ca="1" si="2"/>
        <v>90</v>
      </c>
      <c r="O11" s="3">
        <f t="shared" ca="1" si="3"/>
        <v>27755</v>
      </c>
    </row>
    <row r="12" spans="2:15" x14ac:dyDescent="0.3">
      <c r="B12" s="1"/>
      <c r="G12" s="16"/>
      <c r="H12" s="16"/>
      <c r="K12" s="3">
        <f t="shared" ca="1" si="0"/>
        <v>95</v>
      </c>
      <c r="L12" s="3">
        <f t="shared" ca="1" si="1"/>
        <v>13858</v>
      </c>
      <c r="N12" s="3">
        <f t="shared" ca="1" si="2"/>
        <v>90</v>
      </c>
      <c r="O12" s="3">
        <f t="shared" ca="1" si="3"/>
        <v>28438</v>
      </c>
    </row>
    <row r="13" spans="2:15" x14ac:dyDescent="0.3">
      <c r="B13" s="1"/>
      <c r="G13" s="16"/>
      <c r="H13" s="16"/>
      <c r="K13" s="3">
        <f t="shared" ca="1" si="0"/>
        <v>90</v>
      </c>
      <c r="L13" s="3">
        <f t="shared" ca="1" si="1"/>
        <v>14538</v>
      </c>
      <c r="N13" s="3">
        <f t="shared" ca="1" si="2"/>
        <v>90</v>
      </c>
      <c r="O13" s="3">
        <f t="shared" ca="1" si="3"/>
        <v>27393</v>
      </c>
    </row>
    <row r="14" spans="2:15" x14ac:dyDescent="0.3">
      <c r="B14" s="1"/>
      <c r="K14" s="3">
        <f t="shared" ca="1" si="0"/>
        <v>85</v>
      </c>
      <c r="L14" s="3">
        <f t="shared" ca="1" si="1"/>
        <v>14455</v>
      </c>
      <c r="N14" s="3">
        <f t="shared" ca="1" si="2"/>
        <v>85</v>
      </c>
      <c r="O14" s="3">
        <f t="shared" ca="1" si="3"/>
        <v>28807</v>
      </c>
    </row>
    <row r="15" spans="2:15" x14ac:dyDescent="0.3">
      <c r="B15" s="1"/>
      <c r="C15" s="54" t="s">
        <v>150</v>
      </c>
      <c r="D15" s="55"/>
      <c r="E15" s="55"/>
      <c r="F15" s="56"/>
      <c r="G15" s="30">
        <v>4</v>
      </c>
      <c r="H15" s="14">
        <v>0</v>
      </c>
      <c r="K15" s="3">
        <f t="shared" ca="1" si="0"/>
        <v>100</v>
      </c>
      <c r="L15" s="3">
        <f t="shared" ca="1" si="1"/>
        <v>13731</v>
      </c>
      <c r="N15" s="3">
        <f t="shared" ca="1" si="2"/>
        <v>90</v>
      </c>
      <c r="O15" s="3">
        <f t="shared" ca="1" si="3"/>
        <v>28828</v>
      </c>
    </row>
    <row r="16" spans="2:15" x14ac:dyDescent="0.3">
      <c r="B16" s="1"/>
      <c r="H16" s="14">
        <f>+H15+$G$15-1</f>
        <v>3</v>
      </c>
      <c r="K16" s="3">
        <f t="shared" ca="1" si="0"/>
        <v>95</v>
      </c>
      <c r="L16" s="3">
        <f t="shared" ca="1" si="1"/>
        <v>13457</v>
      </c>
      <c r="N16" s="3">
        <f t="shared" ca="1" si="2"/>
        <v>95</v>
      </c>
      <c r="O16" s="3">
        <f t="shared" ca="1" si="3"/>
        <v>28607</v>
      </c>
    </row>
    <row r="17" spans="2:15" x14ac:dyDescent="0.3">
      <c r="C17" s="16"/>
      <c r="H17" s="14">
        <f t="shared" ref="H17:H34" si="4">+H16+$G$15-1</f>
        <v>6</v>
      </c>
      <c r="K17" s="3">
        <f t="shared" ca="1" si="0"/>
        <v>95</v>
      </c>
      <c r="L17" s="3">
        <f t="shared" ca="1" si="1"/>
        <v>13182</v>
      </c>
      <c r="N17" s="3">
        <f t="shared" ca="1" si="2"/>
        <v>90</v>
      </c>
      <c r="O17" s="3">
        <f t="shared" ca="1" si="3"/>
        <v>28852</v>
      </c>
    </row>
    <row r="18" spans="2:15" x14ac:dyDescent="0.3">
      <c r="C18" s="17"/>
      <c r="H18" s="14">
        <f t="shared" si="4"/>
        <v>9</v>
      </c>
      <c r="K18" s="3">
        <f t="shared" ca="1" si="0"/>
        <v>90</v>
      </c>
      <c r="L18" s="3">
        <f t="shared" ca="1" si="1"/>
        <v>13894</v>
      </c>
      <c r="N18" s="3">
        <f t="shared" ca="1" si="2"/>
        <v>105</v>
      </c>
      <c r="O18" s="3">
        <f t="shared" ca="1" si="3"/>
        <v>28571</v>
      </c>
    </row>
    <row r="19" spans="2:15" ht="15.6" x14ac:dyDescent="0.3">
      <c r="B19" s="61"/>
      <c r="C19" s="59" t="s">
        <v>28</v>
      </c>
      <c r="D19" s="59" t="s">
        <v>18</v>
      </c>
      <c r="E19" s="59" t="s">
        <v>19</v>
      </c>
      <c r="H19" s="14">
        <f t="shared" si="4"/>
        <v>12</v>
      </c>
      <c r="K19" s="3">
        <f t="shared" ca="1" si="0"/>
        <v>90</v>
      </c>
      <c r="L19" s="3">
        <f t="shared" ca="1" si="1"/>
        <v>13503</v>
      </c>
      <c r="N19" s="3">
        <f t="shared" ca="1" si="2"/>
        <v>85</v>
      </c>
      <c r="O19" s="3">
        <f t="shared" ca="1" si="3"/>
        <v>27714</v>
      </c>
    </row>
    <row r="20" spans="2:15" ht="15.6" x14ac:dyDescent="0.3">
      <c r="B20" s="62" t="str">
        <f>+CONCATENATE("E = ",C10,"h",D10,"'",E10,"''")</f>
        <v>E = 13h20'27''</v>
      </c>
      <c r="C20" s="61" t="s">
        <v>11</v>
      </c>
      <c r="D20" s="61" t="s">
        <v>63</v>
      </c>
      <c r="E20" s="61">
        <v>2936</v>
      </c>
      <c r="H20" s="14">
        <f t="shared" si="4"/>
        <v>15</v>
      </c>
      <c r="K20" s="3">
        <f t="shared" ca="1" si="0"/>
        <v>90</v>
      </c>
      <c r="L20" s="3">
        <f t="shared" ca="1" si="1"/>
        <v>14503</v>
      </c>
      <c r="N20" s="3">
        <f t="shared" ca="1" si="2"/>
        <v>90</v>
      </c>
      <c r="O20" s="3">
        <f t="shared" ca="1" si="3"/>
        <v>28982</v>
      </c>
    </row>
    <row r="21" spans="2:15" ht="15.6" x14ac:dyDescent="0.3">
      <c r="B21" s="63" t="s">
        <v>72</v>
      </c>
      <c r="C21" s="61" t="s">
        <v>132</v>
      </c>
      <c r="D21" s="61">
        <v>100</v>
      </c>
      <c r="E21" s="61">
        <v>13858</v>
      </c>
      <c r="H21" s="14">
        <f t="shared" si="4"/>
        <v>18</v>
      </c>
      <c r="K21" s="3">
        <f t="shared" ca="1" si="0"/>
        <v>95</v>
      </c>
      <c r="L21" s="3">
        <f t="shared" ca="1" si="1"/>
        <v>13534</v>
      </c>
      <c r="N21" s="3">
        <f t="shared" ca="1" si="2"/>
        <v>95</v>
      </c>
      <c r="O21" s="3">
        <f t="shared" ca="1" si="3"/>
        <v>28915</v>
      </c>
    </row>
    <row r="22" spans="2:15" ht="15.6" x14ac:dyDescent="0.3">
      <c r="B22" s="63"/>
      <c r="C22" s="61" t="s">
        <v>95</v>
      </c>
      <c r="D22" s="61">
        <v>90</v>
      </c>
      <c r="E22" s="61">
        <v>27884</v>
      </c>
      <c r="H22" s="14">
        <f t="shared" si="4"/>
        <v>21</v>
      </c>
      <c r="K22" s="3">
        <f t="shared" ca="1" si="0"/>
        <v>85</v>
      </c>
      <c r="L22" s="3">
        <f t="shared" ca="1" si="1"/>
        <v>14533</v>
      </c>
      <c r="N22" s="3">
        <f t="shared" ca="1" si="2"/>
        <v>90</v>
      </c>
      <c r="O22" s="3">
        <f t="shared" ca="1" si="3"/>
        <v>27667</v>
      </c>
    </row>
    <row r="23" spans="2:15" ht="15.6" x14ac:dyDescent="0.3">
      <c r="B23" s="63"/>
      <c r="C23" s="61" t="s">
        <v>139</v>
      </c>
      <c r="D23" s="61">
        <v>90</v>
      </c>
      <c r="E23" s="61">
        <v>9343</v>
      </c>
      <c r="H23" s="14">
        <f t="shared" si="4"/>
        <v>24</v>
      </c>
      <c r="K23" s="3">
        <f t="shared" ca="1" si="0"/>
        <v>105</v>
      </c>
      <c r="L23" s="3">
        <f t="shared" ca="1" si="1"/>
        <v>14340</v>
      </c>
      <c r="N23" s="3">
        <f t="shared" ca="1" si="2"/>
        <v>85</v>
      </c>
      <c r="O23" s="3">
        <f t="shared" ca="1" si="3"/>
        <v>28561</v>
      </c>
    </row>
    <row r="24" spans="2:15" ht="15.6" x14ac:dyDescent="0.3">
      <c r="B24" s="63"/>
      <c r="C24" s="61" t="s">
        <v>94</v>
      </c>
      <c r="D24" s="61">
        <v>85</v>
      </c>
      <c r="E24" s="61">
        <v>19774</v>
      </c>
      <c r="H24" s="14">
        <f t="shared" si="4"/>
        <v>27</v>
      </c>
      <c r="K24" s="3">
        <f t="shared" ca="1" si="0"/>
        <v>85</v>
      </c>
      <c r="L24" s="3">
        <f t="shared" ca="1" si="1"/>
        <v>14345</v>
      </c>
      <c r="N24" s="3">
        <f t="shared" ca="1" si="2"/>
        <v>90</v>
      </c>
      <c r="O24" s="3">
        <f t="shared" ca="1" si="3"/>
        <v>27827</v>
      </c>
    </row>
    <row r="25" spans="2:15" ht="15.6" x14ac:dyDescent="0.3">
      <c r="B25" s="63" t="s">
        <v>73</v>
      </c>
      <c r="C25" s="61" t="s">
        <v>132</v>
      </c>
      <c r="D25" s="61">
        <v>105</v>
      </c>
      <c r="E25" s="61">
        <v>14334</v>
      </c>
      <c r="H25" s="14">
        <f t="shared" si="4"/>
        <v>30</v>
      </c>
      <c r="K25" s="3">
        <f t="shared" ca="1" si="0"/>
        <v>95</v>
      </c>
      <c r="L25" s="3">
        <f t="shared" ca="1" si="1"/>
        <v>13519</v>
      </c>
      <c r="N25" s="3">
        <f t="shared" ca="1" si="2"/>
        <v>90</v>
      </c>
      <c r="O25" s="3">
        <f t="shared" ca="1" si="3"/>
        <v>28697</v>
      </c>
    </row>
    <row r="26" spans="2:15" ht="15.6" x14ac:dyDescent="0.3">
      <c r="B26" s="63"/>
      <c r="C26" s="61" t="s">
        <v>95</v>
      </c>
      <c r="D26" s="61">
        <v>95</v>
      </c>
      <c r="E26" s="61">
        <v>28925</v>
      </c>
      <c r="H26" s="14">
        <f t="shared" si="4"/>
        <v>33</v>
      </c>
      <c r="K26" s="3">
        <f t="shared" ca="1" si="0"/>
        <v>100</v>
      </c>
      <c r="L26" s="3">
        <f t="shared" ca="1" si="1"/>
        <v>14185</v>
      </c>
      <c r="N26" s="3">
        <f t="shared" ca="1" si="2"/>
        <v>105</v>
      </c>
      <c r="O26" s="3">
        <f t="shared" ca="1" si="3"/>
        <v>27025</v>
      </c>
    </row>
    <row r="27" spans="2:15" ht="15.6" x14ac:dyDescent="0.3">
      <c r="B27" s="63"/>
      <c r="C27" s="61" t="s">
        <v>139</v>
      </c>
      <c r="D27" s="61">
        <v>85</v>
      </c>
      <c r="E27" s="61">
        <v>9358</v>
      </c>
      <c r="H27" s="14">
        <f t="shared" si="4"/>
        <v>36</v>
      </c>
    </row>
    <row r="28" spans="2:15" ht="15.6" x14ac:dyDescent="0.3">
      <c r="B28" s="63"/>
      <c r="C28" s="61" t="s">
        <v>94</v>
      </c>
      <c r="D28" s="61">
        <v>85</v>
      </c>
      <c r="E28" s="61">
        <v>20426</v>
      </c>
      <c r="H28" s="14">
        <f t="shared" si="4"/>
        <v>39</v>
      </c>
    </row>
    <row r="29" spans="2:15" ht="15.6" x14ac:dyDescent="0.3">
      <c r="B29" s="63" t="s">
        <v>74</v>
      </c>
      <c r="C29" s="61" t="s">
        <v>132</v>
      </c>
      <c r="D29" s="61">
        <v>100</v>
      </c>
      <c r="E29" s="61">
        <v>13194</v>
      </c>
      <c r="H29" s="14">
        <f t="shared" si="4"/>
        <v>42</v>
      </c>
      <c r="K29" s="44" t="str">
        <f>+CONCATENATE("Elemento ",C23)</f>
        <v>Elemento P</v>
      </c>
      <c r="L29" s="45"/>
      <c r="N29" s="44" t="str">
        <f>+CONCATENATE("Elemento ",C24)</f>
        <v>Elemento T</v>
      </c>
      <c r="O29" s="45"/>
    </row>
    <row r="30" spans="2:15" ht="15.6" x14ac:dyDescent="0.3">
      <c r="B30" s="63"/>
      <c r="C30" s="61" t="s">
        <v>95</v>
      </c>
      <c r="D30" s="61">
        <v>100</v>
      </c>
      <c r="E30" s="61">
        <v>28060</v>
      </c>
      <c r="H30" s="14">
        <f t="shared" si="4"/>
        <v>45</v>
      </c>
    </row>
    <row r="31" spans="2:15" ht="15.6" x14ac:dyDescent="0.3">
      <c r="B31" s="63"/>
      <c r="C31" s="61" t="s">
        <v>139</v>
      </c>
      <c r="D31" s="61">
        <v>90</v>
      </c>
      <c r="E31" s="61">
        <v>9075</v>
      </c>
      <c r="H31" s="14">
        <f t="shared" si="4"/>
        <v>48</v>
      </c>
      <c r="K31" s="32" t="s">
        <v>18</v>
      </c>
      <c r="L31" s="32" t="s">
        <v>19</v>
      </c>
      <c r="N31" s="32" t="s">
        <v>18</v>
      </c>
      <c r="O31" s="32" t="s">
        <v>19</v>
      </c>
    </row>
    <row r="32" spans="2:15" ht="15.6" x14ac:dyDescent="0.3">
      <c r="B32" s="63"/>
      <c r="C32" s="61" t="s">
        <v>94</v>
      </c>
      <c r="D32" s="61">
        <v>85</v>
      </c>
      <c r="E32" s="61">
        <v>19528</v>
      </c>
      <c r="H32" s="14">
        <f t="shared" si="4"/>
        <v>51</v>
      </c>
      <c r="K32" s="3">
        <f ca="1">+OFFSET(D23,H15,0)</f>
        <v>90</v>
      </c>
      <c r="L32" s="3">
        <f ca="1">+OFFSET(E23,H15,0)</f>
        <v>9343</v>
      </c>
      <c r="N32" s="3">
        <f ca="1">+OFFSET(D24,H15,0)</f>
        <v>85</v>
      </c>
      <c r="O32" s="3">
        <f ca="1">+OFFSET(E24,H15,0)</f>
        <v>19774</v>
      </c>
    </row>
    <row r="33" spans="2:15" ht="15.6" x14ac:dyDescent="0.3">
      <c r="B33" s="63" t="s">
        <v>75</v>
      </c>
      <c r="C33" s="61" t="s">
        <v>132</v>
      </c>
      <c r="D33" s="61">
        <v>95</v>
      </c>
      <c r="E33" s="61">
        <v>13138</v>
      </c>
      <c r="H33" s="14">
        <f t="shared" si="4"/>
        <v>54</v>
      </c>
      <c r="K33" s="3">
        <f t="shared" ref="K33:K51" ca="1" si="5">+OFFSET(D24,H16,0)</f>
        <v>85</v>
      </c>
      <c r="L33" s="3">
        <f t="shared" ref="L33:L51" ca="1" si="6">+OFFSET(E24,H16,0)</f>
        <v>9358</v>
      </c>
      <c r="N33" s="3">
        <f t="shared" ref="N33:N51" ca="1" si="7">+OFFSET(D25,H16,0)</f>
        <v>85</v>
      </c>
      <c r="O33" s="3">
        <f t="shared" ref="O33:O51" ca="1" si="8">+OFFSET(E25,H16,0)</f>
        <v>20426</v>
      </c>
    </row>
    <row r="34" spans="2:15" ht="15.6" x14ac:dyDescent="0.3">
      <c r="B34" s="63"/>
      <c r="C34" s="61" t="s">
        <v>95</v>
      </c>
      <c r="D34" s="61">
        <v>100</v>
      </c>
      <c r="E34" s="61">
        <v>27620</v>
      </c>
      <c r="H34" s="14">
        <f t="shared" si="4"/>
        <v>57</v>
      </c>
      <c r="K34" s="3">
        <f t="shared" ca="1" si="5"/>
        <v>90</v>
      </c>
      <c r="L34" s="3">
        <f t="shared" ca="1" si="6"/>
        <v>9075</v>
      </c>
      <c r="N34" s="3">
        <f t="shared" ca="1" si="7"/>
        <v>85</v>
      </c>
      <c r="O34" s="3">
        <f t="shared" ca="1" si="8"/>
        <v>19528</v>
      </c>
    </row>
    <row r="35" spans="2:15" ht="15.6" x14ac:dyDescent="0.3">
      <c r="B35" s="63"/>
      <c r="C35" s="61" t="s">
        <v>139</v>
      </c>
      <c r="D35" s="61">
        <v>90</v>
      </c>
      <c r="E35" s="61">
        <v>9421</v>
      </c>
      <c r="K35" s="3">
        <f t="shared" ca="1" si="5"/>
        <v>90</v>
      </c>
      <c r="L35" s="3">
        <f t="shared" ca="1" si="6"/>
        <v>9421</v>
      </c>
      <c r="N35" s="3">
        <f t="shared" ca="1" si="7"/>
        <v>95</v>
      </c>
      <c r="O35" s="3">
        <f t="shared" ca="1" si="8"/>
        <v>19814</v>
      </c>
    </row>
    <row r="36" spans="2:15" ht="15.6" x14ac:dyDescent="0.3">
      <c r="B36" s="63"/>
      <c r="C36" s="61" t="s">
        <v>94</v>
      </c>
      <c r="D36" s="61">
        <v>95</v>
      </c>
      <c r="E36" s="61">
        <v>19814</v>
      </c>
      <c r="K36" s="3">
        <f t="shared" ca="1" si="5"/>
        <v>105</v>
      </c>
      <c r="L36" s="3">
        <f t="shared" ca="1" si="6"/>
        <v>8736</v>
      </c>
      <c r="N36" s="3">
        <f t="shared" ca="1" si="7"/>
        <v>90</v>
      </c>
      <c r="O36" s="3">
        <f t="shared" ca="1" si="8"/>
        <v>19094</v>
      </c>
    </row>
    <row r="37" spans="2:15" ht="15.6" x14ac:dyDescent="0.3">
      <c r="B37" s="63" t="s">
        <v>76</v>
      </c>
      <c r="C37" s="61" t="s">
        <v>132</v>
      </c>
      <c r="D37" s="61">
        <v>85</v>
      </c>
      <c r="E37" s="61">
        <v>14560</v>
      </c>
      <c r="K37" s="3">
        <f t="shared" ca="1" si="5"/>
        <v>95</v>
      </c>
      <c r="L37" s="3">
        <f t="shared" ca="1" si="6"/>
        <v>9058</v>
      </c>
      <c r="N37" s="3">
        <f t="shared" ca="1" si="7"/>
        <v>95</v>
      </c>
      <c r="O37" s="3">
        <f t="shared" ca="1" si="8"/>
        <v>19343</v>
      </c>
    </row>
    <row r="38" spans="2:15" ht="15.6" x14ac:dyDescent="0.3">
      <c r="B38" s="63"/>
      <c r="C38" s="61" t="s">
        <v>95</v>
      </c>
      <c r="D38" s="61">
        <v>90</v>
      </c>
      <c r="E38" s="61">
        <v>27755</v>
      </c>
      <c r="K38" s="3">
        <f t="shared" ca="1" si="5"/>
        <v>95</v>
      </c>
      <c r="L38" s="3">
        <f t="shared" ca="1" si="6"/>
        <v>9167</v>
      </c>
      <c r="N38" s="3">
        <f t="shared" ca="1" si="7"/>
        <v>85</v>
      </c>
      <c r="O38" s="3">
        <f t="shared" ca="1" si="8"/>
        <v>20185</v>
      </c>
    </row>
    <row r="39" spans="2:15" ht="15.6" x14ac:dyDescent="0.3">
      <c r="B39" s="63"/>
      <c r="C39" s="61" t="s">
        <v>139</v>
      </c>
      <c r="D39" s="61">
        <v>105</v>
      </c>
      <c r="E39" s="61">
        <v>8736</v>
      </c>
      <c r="K39" s="3">
        <f t="shared" ca="1" si="5"/>
        <v>95</v>
      </c>
      <c r="L39" s="3">
        <f t="shared" ca="1" si="6"/>
        <v>9343</v>
      </c>
      <c r="N39" s="3">
        <f t="shared" ca="1" si="7"/>
        <v>100</v>
      </c>
      <c r="O39" s="3">
        <f t="shared" ca="1" si="8"/>
        <v>19057</v>
      </c>
    </row>
    <row r="40" spans="2:15" ht="15.6" x14ac:dyDescent="0.3">
      <c r="B40" s="63"/>
      <c r="C40" s="61" t="s">
        <v>94</v>
      </c>
      <c r="D40" s="61">
        <v>90</v>
      </c>
      <c r="E40" s="61">
        <v>19094</v>
      </c>
      <c r="K40" s="3">
        <f t="shared" ca="1" si="5"/>
        <v>100</v>
      </c>
      <c r="L40" s="3">
        <f t="shared" ca="1" si="6"/>
        <v>9132</v>
      </c>
      <c r="N40" s="3">
        <f t="shared" ca="1" si="7"/>
        <v>85</v>
      </c>
      <c r="O40" s="3">
        <f t="shared" ca="1" si="8"/>
        <v>20062</v>
      </c>
    </row>
    <row r="41" spans="2:15" ht="15.6" x14ac:dyDescent="0.3">
      <c r="B41" s="63" t="s">
        <v>77</v>
      </c>
      <c r="C41" s="61" t="s">
        <v>132</v>
      </c>
      <c r="D41" s="61">
        <v>95</v>
      </c>
      <c r="E41" s="61">
        <v>13858</v>
      </c>
      <c r="K41" s="3">
        <f t="shared" ca="1" si="5"/>
        <v>95</v>
      </c>
      <c r="L41" s="3">
        <f t="shared" ca="1" si="6"/>
        <v>9478</v>
      </c>
      <c r="N41" s="3">
        <f t="shared" ca="1" si="7"/>
        <v>90</v>
      </c>
      <c r="O41" s="3">
        <f t="shared" ca="1" si="8"/>
        <v>20125</v>
      </c>
    </row>
    <row r="42" spans="2:15" ht="15.6" x14ac:dyDescent="0.3">
      <c r="B42" s="63"/>
      <c r="C42" s="61" t="s">
        <v>95</v>
      </c>
      <c r="D42" s="61">
        <v>90</v>
      </c>
      <c r="E42" s="61">
        <v>28438</v>
      </c>
      <c r="K42" s="3">
        <f t="shared" ca="1" si="5"/>
        <v>100</v>
      </c>
      <c r="L42" s="3">
        <f t="shared" ca="1" si="6"/>
        <v>9250</v>
      </c>
      <c r="N42" s="3">
        <f t="shared" ca="1" si="7"/>
        <v>90</v>
      </c>
      <c r="O42" s="3">
        <f t="shared" ca="1" si="8"/>
        <v>19381</v>
      </c>
    </row>
    <row r="43" spans="2:15" ht="15.6" x14ac:dyDescent="0.3">
      <c r="B43" s="63"/>
      <c r="C43" s="61" t="s">
        <v>139</v>
      </c>
      <c r="D43" s="61">
        <v>95</v>
      </c>
      <c r="E43" s="61">
        <v>9058</v>
      </c>
      <c r="K43" s="3">
        <f t="shared" ca="1" si="5"/>
        <v>100</v>
      </c>
      <c r="L43" s="3">
        <f t="shared" ca="1" si="6"/>
        <v>8865</v>
      </c>
      <c r="N43" s="3">
        <f t="shared" ca="1" si="7"/>
        <v>100</v>
      </c>
      <c r="O43" s="3">
        <f t="shared" ca="1" si="8"/>
        <v>18684</v>
      </c>
    </row>
    <row r="44" spans="2:15" ht="15.6" x14ac:dyDescent="0.3">
      <c r="B44" s="63"/>
      <c r="C44" s="61" t="s">
        <v>94</v>
      </c>
      <c r="D44" s="61">
        <v>95</v>
      </c>
      <c r="E44" s="61">
        <v>19343</v>
      </c>
      <c r="K44" s="3">
        <f t="shared" ca="1" si="5"/>
        <v>95</v>
      </c>
      <c r="L44" s="3">
        <f t="shared" ca="1" si="6"/>
        <v>9341</v>
      </c>
      <c r="N44" s="3">
        <f t="shared" ca="1" si="7"/>
        <v>85</v>
      </c>
      <c r="O44" s="3">
        <f t="shared" ca="1" si="8"/>
        <v>20374</v>
      </c>
    </row>
    <row r="45" spans="2:15" ht="15.6" x14ac:dyDescent="0.3">
      <c r="B45" s="63" t="s">
        <v>78</v>
      </c>
      <c r="C45" s="61" t="s">
        <v>132</v>
      </c>
      <c r="D45" s="61">
        <v>90</v>
      </c>
      <c r="E45" s="61">
        <v>14538</v>
      </c>
      <c r="K45" s="3">
        <f t="shared" ca="1" si="5"/>
        <v>100</v>
      </c>
      <c r="L45" s="3">
        <f t="shared" ca="1" si="6"/>
        <v>8674</v>
      </c>
      <c r="N45" s="3">
        <f t="shared" ca="1" si="7"/>
        <v>85</v>
      </c>
      <c r="O45" s="3">
        <f t="shared" ca="1" si="8"/>
        <v>18633</v>
      </c>
    </row>
    <row r="46" spans="2:15" ht="15.6" x14ac:dyDescent="0.3">
      <c r="B46" s="63"/>
      <c r="C46" s="61" t="s">
        <v>95</v>
      </c>
      <c r="D46" s="61">
        <v>90</v>
      </c>
      <c r="E46" s="61">
        <v>27393</v>
      </c>
      <c r="K46" s="3">
        <f t="shared" ca="1" si="5"/>
        <v>100</v>
      </c>
      <c r="L46" s="3">
        <f t="shared" ca="1" si="6"/>
        <v>8810</v>
      </c>
      <c r="N46" s="3">
        <f t="shared" ca="1" si="7"/>
        <v>90</v>
      </c>
      <c r="O46" s="3">
        <f t="shared" ca="1" si="8"/>
        <v>19939</v>
      </c>
    </row>
    <row r="47" spans="2:15" ht="15.6" x14ac:dyDescent="0.3">
      <c r="B47" s="63"/>
      <c r="C47" s="61" t="s">
        <v>139</v>
      </c>
      <c r="D47" s="61">
        <v>95</v>
      </c>
      <c r="E47" s="61">
        <v>9167</v>
      </c>
      <c r="K47" s="3">
        <f t="shared" ca="1" si="5"/>
        <v>85</v>
      </c>
      <c r="L47" s="3">
        <f t="shared" ca="1" si="6"/>
        <v>9312</v>
      </c>
      <c r="N47" s="3">
        <f t="shared" ca="1" si="7"/>
        <v>85</v>
      </c>
      <c r="O47" s="3">
        <f t="shared" ca="1" si="8"/>
        <v>19817</v>
      </c>
    </row>
    <row r="48" spans="2:15" ht="15.6" x14ac:dyDescent="0.3">
      <c r="B48" s="63"/>
      <c r="C48" s="61" t="s">
        <v>94</v>
      </c>
      <c r="D48" s="61">
        <v>85</v>
      </c>
      <c r="E48" s="61">
        <v>20185</v>
      </c>
      <c r="K48" s="3">
        <f t="shared" ca="1" si="5"/>
        <v>105</v>
      </c>
      <c r="L48" s="3">
        <f t="shared" ca="1" si="6"/>
        <v>8998</v>
      </c>
      <c r="N48" s="3">
        <f t="shared" ca="1" si="7"/>
        <v>100</v>
      </c>
      <c r="O48" s="3">
        <f t="shared" ca="1" si="8"/>
        <v>19149</v>
      </c>
    </row>
    <row r="49" spans="1:15" ht="15.6" x14ac:dyDescent="0.3">
      <c r="B49" s="63" t="s">
        <v>79</v>
      </c>
      <c r="C49" s="61" t="s">
        <v>132</v>
      </c>
      <c r="D49" s="61">
        <v>85</v>
      </c>
      <c r="E49" s="61">
        <v>14455</v>
      </c>
      <c r="K49" s="3">
        <f t="shared" ca="1" si="5"/>
        <v>85</v>
      </c>
      <c r="L49" s="3">
        <f t="shared" ca="1" si="6"/>
        <v>8838</v>
      </c>
      <c r="N49" s="3">
        <f t="shared" ca="1" si="7"/>
        <v>90</v>
      </c>
      <c r="O49" s="3">
        <f t="shared" ca="1" si="8"/>
        <v>19440</v>
      </c>
    </row>
    <row r="50" spans="1:15" ht="15.6" x14ac:dyDescent="0.3">
      <c r="B50" s="63"/>
      <c r="C50" s="61" t="s">
        <v>95</v>
      </c>
      <c r="D50" s="61">
        <v>85</v>
      </c>
      <c r="E50" s="61">
        <v>28807</v>
      </c>
      <c r="K50" s="3">
        <f t="shared" ca="1" si="5"/>
        <v>90</v>
      </c>
      <c r="L50" s="3">
        <f t="shared" ca="1" si="6"/>
        <v>8618</v>
      </c>
      <c r="N50" s="3">
        <f t="shared" ca="1" si="7"/>
        <v>90</v>
      </c>
      <c r="O50" s="3">
        <f t="shared" ca="1" si="8"/>
        <v>18740</v>
      </c>
    </row>
    <row r="51" spans="1:15" ht="15.6" x14ac:dyDescent="0.3">
      <c r="B51" s="63"/>
      <c r="C51" s="61" t="s">
        <v>139</v>
      </c>
      <c r="D51" s="61">
        <v>95</v>
      </c>
      <c r="E51" s="61">
        <v>9343</v>
      </c>
      <c r="K51" s="3">
        <f t="shared" ca="1" si="5"/>
        <v>95</v>
      </c>
      <c r="L51" s="3">
        <f t="shared" ca="1" si="6"/>
        <v>9157</v>
      </c>
      <c r="N51" s="3">
        <f t="shared" ca="1" si="7"/>
        <v>85</v>
      </c>
      <c r="O51" s="3">
        <f t="shared" ca="1" si="8"/>
        <v>20371</v>
      </c>
    </row>
    <row r="52" spans="1:15" ht="15.6" x14ac:dyDescent="0.3">
      <c r="B52" s="63"/>
      <c r="C52" s="61" t="s">
        <v>94</v>
      </c>
      <c r="D52" s="61">
        <v>100</v>
      </c>
      <c r="E52" s="61">
        <v>19057</v>
      </c>
    </row>
    <row r="53" spans="1:15" ht="15.6" x14ac:dyDescent="0.3">
      <c r="B53" s="63" t="s">
        <v>80</v>
      </c>
      <c r="C53" s="61" t="s">
        <v>132</v>
      </c>
      <c r="D53" s="61">
        <v>100</v>
      </c>
      <c r="E53" s="61">
        <v>13731</v>
      </c>
    </row>
    <row r="54" spans="1:15" ht="15.6" x14ac:dyDescent="0.3">
      <c r="A54" s="17"/>
      <c r="B54" s="63"/>
      <c r="C54" s="61" t="s">
        <v>95</v>
      </c>
      <c r="D54" s="61">
        <v>90</v>
      </c>
      <c r="E54" s="61">
        <v>28828</v>
      </c>
    </row>
    <row r="55" spans="1:15" ht="15.6" x14ac:dyDescent="0.3">
      <c r="A55" s="17"/>
      <c r="B55" s="63"/>
      <c r="C55" s="61" t="s">
        <v>139</v>
      </c>
      <c r="D55" s="61">
        <v>100</v>
      </c>
      <c r="E55" s="61">
        <v>9132</v>
      </c>
    </row>
    <row r="56" spans="1:15" ht="15.6" x14ac:dyDescent="0.3">
      <c r="A56" s="17"/>
      <c r="B56" s="63"/>
      <c r="C56" s="61" t="s">
        <v>94</v>
      </c>
      <c r="D56" s="61">
        <v>85</v>
      </c>
      <c r="E56" s="61">
        <v>20062</v>
      </c>
    </row>
    <row r="57" spans="1:15" ht="15.6" x14ac:dyDescent="0.3">
      <c r="A57" s="17"/>
      <c r="B57" s="63" t="s">
        <v>81</v>
      </c>
      <c r="C57" s="61" t="s">
        <v>132</v>
      </c>
      <c r="D57" s="61">
        <v>95</v>
      </c>
      <c r="E57" s="61">
        <v>13457</v>
      </c>
    </row>
    <row r="58" spans="1:15" ht="15.6" x14ac:dyDescent="0.3">
      <c r="A58" s="17"/>
      <c r="B58" s="63"/>
      <c r="C58" s="61" t="s">
        <v>95</v>
      </c>
      <c r="D58" s="61">
        <v>95</v>
      </c>
      <c r="E58" s="61">
        <v>28607</v>
      </c>
    </row>
    <row r="59" spans="1:15" ht="15.6" x14ac:dyDescent="0.3">
      <c r="B59" s="63"/>
      <c r="C59" s="61" t="s">
        <v>139</v>
      </c>
      <c r="D59" s="61">
        <v>95</v>
      </c>
      <c r="E59" s="61">
        <v>9478</v>
      </c>
    </row>
    <row r="60" spans="1:15" ht="15.6" x14ac:dyDescent="0.3">
      <c r="B60" s="63"/>
      <c r="C60" s="61" t="s">
        <v>94</v>
      </c>
      <c r="D60" s="61">
        <v>90</v>
      </c>
      <c r="E60" s="61">
        <v>20125</v>
      </c>
    </row>
    <row r="61" spans="1:15" ht="15.6" x14ac:dyDescent="0.3">
      <c r="B61" s="63" t="s">
        <v>82</v>
      </c>
      <c r="C61" s="61" t="s">
        <v>132</v>
      </c>
      <c r="D61" s="61">
        <v>95</v>
      </c>
      <c r="E61" s="61">
        <v>13182</v>
      </c>
    </row>
    <row r="62" spans="1:15" ht="15.6" x14ac:dyDescent="0.3">
      <c r="B62" s="63"/>
      <c r="C62" s="61" t="s">
        <v>95</v>
      </c>
      <c r="D62" s="61">
        <v>90</v>
      </c>
      <c r="E62" s="61">
        <v>28852</v>
      </c>
    </row>
    <row r="63" spans="1:15" ht="15.6" x14ac:dyDescent="0.3">
      <c r="B63" s="63"/>
      <c r="C63" s="61" t="s">
        <v>139</v>
      </c>
      <c r="D63" s="61">
        <v>100</v>
      </c>
      <c r="E63" s="61">
        <v>9250</v>
      </c>
    </row>
    <row r="64" spans="1:15" ht="15.6" x14ac:dyDescent="0.3">
      <c r="B64" s="63"/>
      <c r="C64" s="61" t="s">
        <v>94</v>
      </c>
      <c r="D64" s="61">
        <v>90</v>
      </c>
      <c r="E64" s="61">
        <v>19381</v>
      </c>
    </row>
    <row r="65" spans="2:5" ht="15.6" x14ac:dyDescent="0.3">
      <c r="B65" s="63" t="s">
        <v>83</v>
      </c>
      <c r="C65" s="61" t="s">
        <v>132</v>
      </c>
      <c r="D65" s="61">
        <v>90</v>
      </c>
      <c r="E65" s="61">
        <v>13894</v>
      </c>
    </row>
    <row r="66" spans="2:5" ht="15.6" x14ac:dyDescent="0.3">
      <c r="B66" s="63"/>
      <c r="C66" s="61" t="s">
        <v>95</v>
      </c>
      <c r="D66" s="61">
        <v>105</v>
      </c>
      <c r="E66" s="61">
        <v>28571</v>
      </c>
    </row>
    <row r="67" spans="2:5" ht="15.6" x14ac:dyDescent="0.3">
      <c r="B67" s="63"/>
      <c r="C67" s="61" t="s">
        <v>139</v>
      </c>
      <c r="D67" s="61">
        <v>100</v>
      </c>
      <c r="E67" s="61">
        <v>8865</v>
      </c>
    </row>
    <row r="68" spans="2:5" ht="15.6" x14ac:dyDescent="0.3">
      <c r="B68" s="63"/>
      <c r="C68" s="61" t="s">
        <v>94</v>
      </c>
      <c r="D68" s="61">
        <v>100</v>
      </c>
      <c r="E68" s="61">
        <v>18684</v>
      </c>
    </row>
    <row r="69" spans="2:5" ht="15.6" x14ac:dyDescent="0.3">
      <c r="B69" s="63" t="s">
        <v>84</v>
      </c>
      <c r="C69" s="61" t="s">
        <v>132</v>
      </c>
      <c r="D69" s="61">
        <v>90</v>
      </c>
      <c r="E69" s="61">
        <v>13503</v>
      </c>
    </row>
    <row r="70" spans="2:5" ht="15.6" x14ac:dyDescent="0.3">
      <c r="B70" s="63"/>
      <c r="C70" s="61" t="s">
        <v>95</v>
      </c>
      <c r="D70" s="61">
        <v>85</v>
      </c>
      <c r="E70" s="61">
        <v>27714</v>
      </c>
    </row>
    <row r="71" spans="2:5" ht="15.6" x14ac:dyDescent="0.3">
      <c r="B71" s="63"/>
      <c r="C71" s="61" t="s">
        <v>139</v>
      </c>
      <c r="D71" s="61">
        <v>95</v>
      </c>
      <c r="E71" s="61">
        <v>9341</v>
      </c>
    </row>
    <row r="72" spans="2:5" ht="15.6" x14ac:dyDescent="0.3">
      <c r="B72" s="63"/>
      <c r="C72" s="61" t="s">
        <v>94</v>
      </c>
      <c r="D72" s="61">
        <v>85</v>
      </c>
      <c r="E72" s="61">
        <v>20374</v>
      </c>
    </row>
    <row r="73" spans="2:5" ht="15.6" x14ac:dyDescent="0.3">
      <c r="B73" s="63" t="s">
        <v>85</v>
      </c>
      <c r="C73" s="61" t="s">
        <v>132</v>
      </c>
      <c r="D73" s="61">
        <v>90</v>
      </c>
      <c r="E73" s="61">
        <v>14503</v>
      </c>
    </row>
    <row r="74" spans="2:5" ht="15.6" x14ac:dyDescent="0.3">
      <c r="B74" s="63"/>
      <c r="C74" s="61" t="s">
        <v>95</v>
      </c>
      <c r="D74" s="61">
        <v>90</v>
      </c>
      <c r="E74" s="61">
        <v>28982</v>
      </c>
    </row>
    <row r="75" spans="2:5" ht="15.6" x14ac:dyDescent="0.3">
      <c r="B75" s="63"/>
      <c r="C75" s="61" t="s">
        <v>139</v>
      </c>
      <c r="D75" s="61">
        <v>100</v>
      </c>
      <c r="E75" s="61">
        <v>8674</v>
      </c>
    </row>
    <row r="76" spans="2:5" ht="15.6" x14ac:dyDescent="0.3">
      <c r="B76" s="63"/>
      <c r="C76" s="61" t="s">
        <v>94</v>
      </c>
      <c r="D76" s="61">
        <v>85</v>
      </c>
      <c r="E76" s="61">
        <v>18633</v>
      </c>
    </row>
    <row r="77" spans="2:5" ht="15.6" x14ac:dyDescent="0.3">
      <c r="B77" s="63" t="s">
        <v>86</v>
      </c>
      <c r="C77" s="61" t="s">
        <v>132</v>
      </c>
      <c r="D77" s="61">
        <v>95</v>
      </c>
      <c r="E77" s="61">
        <v>13534</v>
      </c>
    </row>
    <row r="78" spans="2:5" ht="15.6" x14ac:dyDescent="0.3">
      <c r="B78" s="63"/>
      <c r="C78" s="61" t="s">
        <v>95</v>
      </c>
      <c r="D78" s="61">
        <v>95</v>
      </c>
      <c r="E78" s="61">
        <v>28915</v>
      </c>
    </row>
    <row r="79" spans="2:5" ht="15.6" x14ac:dyDescent="0.3">
      <c r="B79" s="63"/>
      <c r="C79" s="61" t="s">
        <v>139</v>
      </c>
      <c r="D79" s="61">
        <v>100</v>
      </c>
      <c r="E79" s="61">
        <v>8810</v>
      </c>
    </row>
    <row r="80" spans="2:5" ht="15.6" x14ac:dyDescent="0.3">
      <c r="B80" s="63"/>
      <c r="C80" s="61" t="s">
        <v>94</v>
      </c>
      <c r="D80" s="61">
        <v>90</v>
      </c>
      <c r="E80" s="61">
        <v>19939</v>
      </c>
    </row>
    <row r="81" spans="2:5" ht="15.6" x14ac:dyDescent="0.3">
      <c r="B81" s="63" t="s">
        <v>87</v>
      </c>
      <c r="C81" s="61" t="s">
        <v>132</v>
      </c>
      <c r="D81" s="61">
        <v>85</v>
      </c>
      <c r="E81" s="61">
        <v>14533</v>
      </c>
    </row>
    <row r="82" spans="2:5" ht="15.6" x14ac:dyDescent="0.3">
      <c r="B82" s="63"/>
      <c r="C82" s="61" t="s">
        <v>95</v>
      </c>
      <c r="D82" s="61">
        <v>90</v>
      </c>
      <c r="E82" s="61">
        <v>27667</v>
      </c>
    </row>
    <row r="83" spans="2:5" ht="15.6" x14ac:dyDescent="0.3">
      <c r="B83" s="63"/>
      <c r="C83" s="61" t="s">
        <v>139</v>
      </c>
      <c r="D83" s="61">
        <v>85</v>
      </c>
      <c r="E83" s="61">
        <v>9312</v>
      </c>
    </row>
    <row r="84" spans="2:5" ht="15.6" x14ac:dyDescent="0.3">
      <c r="B84" s="63"/>
      <c r="C84" s="61" t="s">
        <v>94</v>
      </c>
      <c r="D84" s="61">
        <v>85</v>
      </c>
      <c r="E84" s="61">
        <v>19817</v>
      </c>
    </row>
    <row r="85" spans="2:5" ht="15.6" x14ac:dyDescent="0.3">
      <c r="B85" s="63" t="s">
        <v>88</v>
      </c>
      <c r="C85" s="61" t="s">
        <v>132</v>
      </c>
      <c r="D85" s="61">
        <v>105</v>
      </c>
      <c r="E85" s="61">
        <v>14340</v>
      </c>
    </row>
    <row r="86" spans="2:5" ht="15.6" x14ac:dyDescent="0.3">
      <c r="B86" s="63"/>
      <c r="C86" s="61" t="s">
        <v>95</v>
      </c>
      <c r="D86" s="61">
        <v>85</v>
      </c>
      <c r="E86" s="61">
        <v>28561</v>
      </c>
    </row>
    <row r="87" spans="2:5" ht="15.6" x14ac:dyDescent="0.3">
      <c r="B87" s="63"/>
      <c r="C87" s="61" t="s">
        <v>139</v>
      </c>
      <c r="D87" s="61">
        <v>105</v>
      </c>
      <c r="E87" s="61">
        <v>8998</v>
      </c>
    </row>
    <row r="88" spans="2:5" ht="15.6" x14ac:dyDescent="0.3">
      <c r="B88" s="63"/>
      <c r="C88" s="61" t="s">
        <v>94</v>
      </c>
      <c r="D88" s="61">
        <v>100</v>
      </c>
      <c r="E88" s="61">
        <v>19149</v>
      </c>
    </row>
    <row r="89" spans="2:5" ht="15.6" x14ac:dyDescent="0.3">
      <c r="B89" s="63" t="s">
        <v>89</v>
      </c>
      <c r="C89" s="61" t="s">
        <v>132</v>
      </c>
      <c r="D89" s="61">
        <v>85</v>
      </c>
      <c r="E89" s="61">
        <v>14345</v>
      </c>
    </row>
    <row r="90" spans="2:5" ht="15.6" x14ac:dyDescent="0.3">
      <c r="B90" s="63"/>
      <c r="C90" s="61" t="s">
        <v>95</v>
      </c>
      <c r="D90" s="61">
        <v>90</v>
      </c>
      <c r="E90" s="61">
        <v>27827</v>
      </c>
    </row>
    <row r="91" spans="2:5" ht="15.6" x14ac:dyDescent="0.3">
      <c r="B91" s="63"/>
      <c r="C91" s="61" t="s">
        <v>139</v>
      </c>
      <c r="D91" s="61">
        <v>85</v>
      </c>
      <c r="E91" s="61">
        <v>8838</v>
      </c>
    </row>
    <row r="92" spans="2:5" ht="15.6" x14ac:dyDescent="0.3">
      <c r="B92" s="63"/>
      <c r="C92" s="61" t="s">
        <v>94</v>
      </c>
      <c r="D92" s="61">
        <v>90</v>
      </c>
      <c r="E92" s="61">
        <v>19440</v>
      </c>
    </row>
    <row r="93" spans="2:5" ht="15.6" x14ac:dyDescent="0.3">
      <c r="B93" s="63" t="s">
        <v>90</v>
      </c>
      <c r="C93" s="61" t="s">
        <v>132</v>
      </c>
      <c r="D93" s="61">
        <v>95</v>
      </c>
      <c r="E93" s="61">
        <v>13519</v>
      </c>
    </row>
    <row r="94" spans="2:5" ht="15.6" x14ac:dyDescent="0.3">
      <c r="B94" s="63"/>
      <c r="C94" s="61" t="s">
        <v>95</v>
      </c>
      <c r="D94" s="61">
        <v>90</v>
      </c>
      <c r="E94" s="61">
        <v>28697</v>
      </c>
    </row>
    <row r="95" spans="2:5" ht="15.6" x14ac:dyDescent="0.3">
      <c r="B95" s="63"/>
      <c r="C95" s="61" t="s">
        <v>139</v>
      </c>
      <c r="D95" s="61">
        <v>90</v>
      </c>
      <c r="E95" s="61">
        <v>8618</v>
      </c>
    </row>
    <row r="96" spans="2:5" ht="15.6" x14ac:dyDescent="0.3">
      <c r="B96" s="63"/>
      <c r="C96" s="61" t="s">
        <v>94</v>
      </c>
      <c r="D96" s="61">
        <v>90</v>
      </c>
      <c r="E96" s="61">
        <v>18740</v>
      </c>
    </row>
    <row r="97" spans="2:5" ht="15.6" x14ac:dyDescent="0.3">
      <c r="B97" s="63" t="s">
        <v>91</v>
      </c>
      <c r="C97" s="61" t="s">
        <v>132</v>
      </c>
      <c r="D97" s="61">
        <v>100</v>
      </c>
      <c r="E97" s="61">
        <v>14185</v>
      </c>
    </row>
    <row r="98" spans="2:5" ht="15.6" x14ac:dyDescent="0.3">
      <c r="B98" s="63"/>
      <c r="C98" s="61" t="s">
        <v>95</v>
      </c>
      <c r="D98" s="61">
        <v>105</v>
      </c>
      <c r="E98" s="61">
        <v>27025</v>
      </c>
    </row>
    <row r="99" spans="2:5" ht="15.6" x14ac:dyDescent="0.3">
      <c r="B99" s="63"/>
      <c r="C99" s="61" t="s">
        <v>139</v>
      </c>
      <c r="D99" s="61">
        <v>95</v>
      </c>
      <c r="E99" s="61">
        <v>9157</v>
      </c>
    </row>
    <row r="100" spans="2:5" ht="15.6" x14ac:dyDescent="0.3">
      <c r="B100" s="63"/>
      <c r="C100" s="61" t="s">
        <v>94</v>
      </c>
      <c r="D100" s="61">
        <v>85</v>
      </c>
      <c r="E100" s="61">
        <v>20371</v>
      </c>
    </row>
    <row r="101" spans="2:5" ht="15.6" x14ac:dyDescent="0.3">
      <c r="B101" s="61" t="str">
        <f>+CONCATENATE("T = ",C9,"h",D9,"'",E9,"''")</f>
        <v>T = 17h17'33''</v>
      </c>
      <c r="C101" s="61" t="s">
        <v>12</v>
      </c>
      <c r="D101" s="64" t="s">
        <v>63</v>
      </c>
      <c r="E101" s="64">
        <v>1978</v>
      </c>
    </row>
    <row r="102" spans="2:5" ht="15.6" x14ac:dyDescent="0.3">
      <c r="B102" s="65"/>
      <c r="C102" s="65"/>
      <c r="D102" s="64" t="s">
        <v>16</v>
      </c>
      <c r="E102" s="64">
        <f>+SUM(E20:E101)</f>
        <v>1422613</v>
      </c>
    </row>
    <row r="104" spans="2:5" x14ac:dyDescent="0.3">
      <c r="E104">
        <f>+E102/100</f>
        <v>14226.13</v>
      </c>
    </row>
    <row r="105" spans="2:5" x14ac:dyDescent="0.3">
      <c r="E105">
        <f>+E104/3600</f>
        <v>3.9517027777777773</v>
      </c>
    </row>
    <row r="106" spans="2:5" x14ac:dyDescent="0.3">
      <c r="B106" s="14"/>
      <c r="C106" s="14"/>
      <c r="D106" s="14"/>
      <c r="E106" s="14">
        <f>+(E105-F125)*60</f>
        <v>57.102166666666641</v>
      </c>
    </row>
    <row r="107" spans="2:5" x14ac:dyDescent="0.3">
      <c r="B107" s="19"/>
      <c r="C107" s="19"/>
      <c r="D107" s="19"/>
      <c r="E107" s="19">
        <f>+(E106-F126)*60</f>
        <v>6.1299999999984323</v>
      </c>
    </row>
    <row r="108" spans="2:5" x14ac:dyDescent="0.3">
      <c r="B108" s="19"/>
      <c r="C108" s="19"/>
      <c r="D108" s="19"/>
      <c r="E108" s="19"/>
    </row>
    <row r="109" spans="2:5" x14ac:dyDescent="0.3">
      <c r="B109" s="19"/>
      <c r="C109" s="19"/>
      <c r="D109" s="19"/>
      <c r="E109" s="19"/>
    </row>
    <row r="110" spans="2:5" x14ac:dyDescent="0.3">
      <c r="B110" s="19"/>
      <c r="C110" s="19"/>
      <c r="D110" s="19"/>
      <c r="E110" s="19"/>
    </row>
    <row r="111" spans="2:5" x14ac:dyDescent="0.3">
      <c r="B111" s="19"/>
      <c r="C111" s="19"/>
      <c r="D111" s="19"/>
      <c r="E111" s="19"/>
    </row>
    <row r="112" spans="2:5" x14ac:dyDescent="0.3">
      <c r="B112" s="19"/>
      <c r="C112" s="19"/>
      <c r="D112" s="19"/>
      <c r="E112" s="19"/>
    </row>
    <row r="113" spans="2:6" x14ac:dyDescent="0.3">
      <c r="B113" s="19"/>
      <c r="C113" s="19"/>
      <c r="D113" s="19"/>
      <c r="E113" s="19"/>
    </row>
    <row r="114" spans="2:6" x14ac:dyDescent="0.3">
      <c r="B114" s="19"/>
      <c r="C114" s="19"/>
      <c r="D114" s="19"/>
      <c r="E114" s="19"/>
    </row>
    <row r="115" spans="2:6" x14ac:dyDescent="0.3">
      <c r="B115" s="19"/>
      <c r="C115" s="19"/>
      <c r="D115" s="19"/>
      <c r="E115" s="19"/>
    </row>
    <row r="116" spans="2:6" x14ac:dyDescent="0.3">
      <c r="B116" s="19"/>
      <c r="C116" s="19"/>
      <c r="D116" s="19"/>
      <c r="E116" s="19"/>
    </row>
    <row r="117" spans="2:6" x14ac:dyDescent="0.3">
      <c r="B117" s="19"/>
      <c r="C117" s="19"/>
      <c r="D117" s="19"/>
      <c r="E117" s="19"/>
    </row>
    <row r="118" spans="2:6" x14ac:dyDescent="0.3">
      <c r="B118" s="19"/>
      <c r="C118" s="19"/>
      <c r="D118" s="19"/>
      <c r="E118" s="19"/>
    </row>
    <row r="119" spans="2:6" x14ac:dyDescent="0.3">
      <c r="B119" s="19"/>
      <c r="C119" s="19"/>
      <c r="D119" s="19"/>
      <c r="E119" s="19"/>
    </row>
    <row r="120" spans="2:6" x14ac:dyDescent="0.3">
      <c r="B120" s="19"/>
      <c r="C120" s="19"/>
      <c r="D120" s="19"/>
      <c r="E120" s="19"/>
    </row>
    <row r="121" spans="2:6" x14ac:dyDescent="0.3">
      <c r="B121" s="19"/>
      <c r="C121" s="19"/>
      <c r="D121" s="19"/>
      <c r="E121" s="19"/>
    </row>
    <row r="122" spans="2:6" x14ac:dyDescent="0.3">
      <c r="B122" s="19"/>
      <c r="C122" s="19"/>
      <c r="D122" s="19"/>
      <c r="E122" s="19"/>
    </row>
    <row r="123" spans="2:6" x14ac:dyDescent="0.3">
      <c r="B123" s="19"/>
      <c r="C123" s="19"/>
      <c r="D123" s="19"/>
      <c r="E123" s="19"/>
    </row>
    <row r="124" spans="2:6" x14ac:dyDescent="0.3">
      <c r="B124" s="19"/>
      <c r="C124" s="19"/>
      <c r="D124" s="19"/>
      <c r="E124" s="19"/>
    </row>
    <row r="125" spans="2:6" x14ac:dyDescent="0.3">
      <c r="B125" s="19"/>
      <c r="C125" s="19"/>
      <c r="D125" s="19"/>
      <c r="E125" s="19"/>
      <c r="F125">
        <f>+INT(E105)</f>
        <v>3</v>
      </c>
    </row>
    <row r="126" spans="2:6" x14ac:dyDescent="0.3">
      <c r="B126" s="19"/>
      <c r="C126" s="19"/>
      <c r="D126" s="19"/>
      <c r="E126" s="19"/>
      <c r="F126" s="1">
        <f>+INT(E106)</f>
        <v>57</v>
      </c>
    </row>
    <row r="127" spans="2:6" x14ac:dyDescent="0.3">
      <c r="F127" s="20">
        <f>+ROUND(E107,0)</f>
        <v>6</v>
      </c>
    </row>
    <row r="128" spans="2:6" x14ac:dyDescent="0.3">
      <c r="B128" s="16"/>
      <c r="C128" s="16"/>
      <c r="D128" s="16"/>
      <c r="E128" s="16"/>
      <c r="F128" s="19"/>
    </row>
    <row r="129" spans="2:6" x14ac:dyDescent="0.3">
      <c r="B129" s="16"/>
      <c r="C129" s="16"/>
      <c r="D129" s="16"/>
      <c r="E129" s="16"/>
      <c r="F129" s="19"/>
    </row>
    <row r="130" spans="2:6" x14ac:dyDescent="0.3">
      <c r="B130" s="16"/>
      <c r="C130" s="16"/>
      <c r="D130" s="16"/>
      <c r="E130" s="16"/>
      <c r="F130" s="19"/>
    </row>
    <row r="131" spans="2:6" x14ac:dyDescent="0.3">
      <c r="B131" s="16"/>
      <c r="C131" s="16"/>
      <c r="D131" s="16"/>
      <c r="E131" s="16"/>
      <c r="F131" s="19"/>
    </row>
    <row r="132" spans="2:6" x14ac:dyDescent="0.3">
      <c r="B132" s="16"/>
      <c r="C132" s="16"/>
      <c r="D132" s="16"/>
      <c r="E132" s="16"/>
      <c r="F132" s="19"/>
    </row>
    <row r="133" spans="2:6" x14ac:dyDescent="0.3">
      <c r="F133" s="19"/>
    </row>
    <row r="134" spans="2:6" x14ac:dyDescent="0.3">
      <c r="F134" s="19"/>
    </row>
    <row r="135" spans="2:6" x14ac:dyDescent="0.3">
      <c r="F135" s="19"/>
    </row>
    <row r="136" spans="2:6" x14ac:dyDescent="0.3">
      <c r="F136" s="19"/>
    </row>
    <row r="137" spans="2:6" x14ac:dyDescent="0.3">
      <c r="F137" s="19"/>
    </row>
    <row r="138" spans="2:6" x14ac:dyDescent="0.3">
      <c r="F138" s="19"/>
    </row>
    <row r="139" spans="2:6" x14ac:dyDescent="0.3">
      <c r="F139" s="19"/>
    </row>
    <row r="140" spans="2:6" x14ac:dyDescent="0.3">
      <c r="F140" s="19"/>
    </row>
    <row r="141" spans="2:6" x14ac:dyDescent="0.3">
      <c r="F141" s="19"/>
    </row>
    <row r="142" spans="2:6" x14ac:dyDescent="0.3">
      <c r="F142" s="19"/>
    </row>
    <row r="143" spans="2:6" x14ac:dyDescent="0.3">
      <c r="F143" s="19"/>
    </row>
    <row r="144" spans="2:6" x14ac:dyDescent="0.3">
      <c r="F144" s="19"/>
    </row>
    <row r="145" spans="6:6" x14ac:dyDescent="0.3">
      <c r="F145" s="19"/>
    </row>
    <row r="146" spans="6:6" x14ac:dyDescent="0.3">
      <c r="F146" s="19"/>
    </row>
    <row r="148" spans="6:6" x14ac:dyDescent="0.3">
      <c r="F148" s="16"/>
    </row>
    <row r="149" spans="6:6" x14ac:dyDescent="0.3">
      <c r="F149" s="16"/>
    </row>
    <row r="150" spans="6:6" x14ac:dyDescent="0.3">
      <c r="F150" s="16"/>
    </row>
    <row r="151" spans="6:6" x14ac:dyDescent="0.3">
      <c r="F151" s="16"/>
    </row>
    <row r="152" spans="6:6" x14ac:dyDescent="0.3">
      <c r="F152" s="16"/>
    </row>
    <row r="182" spans="9:24" x14ac:dyDescent="0.3">
      <c r="O182" s="16"/>
      <c r="P182" s="16"/>
    </row>
    <row r="183" spans="9:24" x14ac:dyDescent="0.3">
      <c r="O183" s="16"/>
      <c r="P183" s="16"/>
      <c r="S183" s="16"/>
      <c r="T183" s="16"/>
      <c r="U183" s="16"/>
      <c r="V183" s="16"/>
      <c r="W183" s="16"/>
      <c r="X183" s="16"/>
    </row>
    <row r="184" spans="9:24" x14ac:dyDescent="0.3">
      <c r="I184" s="16"/>
      <c r="J184" s="16"/>
      <c r="K184" s="16"/>
      <c r="L184" s="16"/>
      <c r="M184" s="16"/>
      <c r="N184" s="16"/>
      <c r="O184" s="16"/>
      <c r="P184" s="16"/>
      <c r="S184" s="16"/>
      <c r="T184" s="16"/>
      <c r="U184" s="16"/>
      <c r="V184" s="16"/>
      <c r="W184" s="16"/>
      <c r="X184" s="16"/>
    </row>
    <row r="185" spans="9:24" x14ac:dyDescent="0.3">
      <c r="I185" s="16"/>
      <c r="J185" s="16"/>
      <c r="K185" s="16"/>
      <c r="L185" s="16"/>
      <c r="M185" s="16"/>
      <c r="N185" s="16"/>
      <c r="O185" s="16"/>
      <c r="P185" s="16"/>
      <c r="S185" s="16"/>
      <c r="T185" s="16"/>
      <c r="U185" s="16"/>
      <c r="V185" s="16"/>
      <c r="W185" s="16"/>
      <c r="X185" s="16"/>
    </row>
    <row r="186" spans="9:24" x14ac:dyDescent="0.3">
      <c r="S186" s="16"/>
      <c r="T186" s="16"/>
      <c r="U186" s="16"/>
      <c r="V186" s="16"/>
      <c r="W186" s="16"/>
      <c r="X186" s="16"/>
    </row>
    <row r="187" spans="9:24" x14ac:dyDescent="0.3">
      <c r="S187" s="16"/>
      <c r="T187" s="16"/>
      <c r="U187" s="16"/>
      <c r="V187" s="16"/>
      <c r="W187" s="16"/>
      <c r="X187" s="16"/>
    </row>
  </sheetData>
  <mergeCells count="25">
    <mergeCell ref="K29:L29"/>
    <mergeCell ref="K4:L4"/>
    <mergeCell ref="N4:O4"/>
    <mergeCell ref="N29:O29"/>
    <mergeCell ref="B21:B24"/>
    <mergeCell ref="B25:B28"/>
    <mergeCell ref="B29:B32"/>
    <mergeCell ref="C15:F15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93:B96"/>
    <mergeCell ref="B97:B100"/>
    <mergeCell ref="B73:B76"/>
    <mergeCell ref="B77:B80"/>
    <mergeCell ref="B81:B84"/>
    <mergeCell ref="B85:B88"/>
    <mergeCell ref="B89:B92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Q18"/>
  <sheetViews>
    <sheetView showGridLines="0" workbookViewId="0">
      <selection activeCell="V14" sqref="V14"/>
    </sheetView>
  </sheetViews>
  <sheetFormatPr baseColWidth="10" defaultRowHeight="15.6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8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8" bestFit="1" customWidth="1"/>
    <col min="13" max="13" width="2.6640625" bestFit="1" customWidth="1"/>
    <col min="16" max="17" width="15.77734375" style="68" customWidth="1"/>
  </cols>
  <sheetData>
    <row r="1" spans="1:17" x14ac:dyDescent="0.3">
      <c r="A1" s="1"/>
    </row>
    <row r="2" spans="1:17" ht="16.2" thickBot="1" x14ac:dyDescent="0.35">
      <c r="A2" s="1"/>
      <c r="C2" s="1"/>
      <c r="P2" s="69"/>
      <c r="Q2" s="69"/>
    </row>
    <row r="3" spans="1:17" ht="16.2" thickBot="1" x14ac:dyDescent="0.35">
      <c r="A3" s="1"/>
      <c r="B3" s="6"/>
      <c r="C3" s="32" t="s">
        <v>0</v>
      </c>
      <c r="D3" s="32" t="s">
        <v>1</v>
      </c>
      <c r="E3" s="32" t="s">
        <v>2</v>
      </c>
      <c r="J3" s="9" t="s">
        <v>11</v>
      </c>
      <c r="K3" s="10" t="s">
        <v>4</v>
      </c>
      <c r="L3" s="35">
        <f>+'Hoja de cronometraje'!E20</f>
        <v>2936</v>
      </c>
      <c r="M3" s="8" t="s">
        <v>7</v>
      </c>
      <c r="P3" s="76" t="s">
        <v>92</v>
      </c>
      <c r="Q3" s="77" t="s">
        <v>93</v>
      </c>
    </row>
    <row r="4" spans="1:17" ht="16.2" thickBot="1" x14ac:dyDescent="0.35">
      <c r="A4" s="1"/>
      <c r="B4" s="13" t="s">
        <v>3</v>
      </c>
      <c r="C4" s="3">
        <f>+'Hoja de cronometraje'!C9</f>
        <v>17</v>
      </c>
      <c r="D4" s="3">
        <f>+'Hoja de cronometraje'!D9</f>
        <v>17</v>
      </c>
      <c r="E4" s="3">
        <f>+'Hoja de cronometraje'!E9</f>
        <v>33</v>
      </c>
      <c r="F4" t="s">
        <v>4</v>
      </c>
      <c r="G4" s="4">
        <f>(C4*3600)+(D4*60)+E4</f>
        <v>62253</v>
      </c>
      <c r="H4" s="5" t="s">
        <v>5</v>
      </c>
      <c r="J4" s="9" t="s">
        <v>12</v>
      </c>
      <c r="K4" s="10" t="s">
        <v>4</v>
      </c>
      <c r="L4" s="34">
        <f>+'Hoja de cronometraje'!E101</f>
        <v>1978</v>
      </c>
      <c r="M4" s="8" t="s">
        <v>7</v>
      </c>
      <c r="P4" s="71" t="s">
        <v>94</v>
      </c>
      <c r="Q4" s="72" t="str">
        <f>+CONCATENATE(C4,"h ",D4,"'",E4,"""")</f>
        <v>17h 17'33"</v>
      </c>
    </row>
    <row r="5" spans="1:17" ht="16.2" thickBot="1" x14ac:dyDescent="0.35">
      <c r="A5" s="1"/>
      <c r="B5" s="15" t="s">
        <v>6</v>
      </c>
      <c r="C5" s="3">
        <f>+'Hoja de cronometraje'!C10</f>
        <v>13</v>
      </c>
      <c r="D5" s="3">
        <f>+'Hoja de cronometraje'!D10</f>
        <v>20</v>
      </c>
      <c r="E5" s="3">
        <f>+'Hoja de cronometraje'!E10</f>
        <v>27</v>
      </c>
      <c r="F5" t="s">
        <v>4</v>
      </c>
      <c r="G5" s="7">
        <f>(C5*3600)+(D5*60)+E5</f>
        <v>48027</v>
      </c>
      <c r="H5" s="8" t="s">
        <v>5</v>
      </c>
      <c r="J5" s="9" t="s">
        <v>14</v>
      </c>
      <c r="K5" s="10" t="s">
        <v>4</v>
      </c>
      <c r="L5" s="36">
        <v>0</v>
      </c>
      <c r="M5" s="8" t="s">
        <v>7</v>
      </c>
      <c r="P5" s="71" t="s">
        <v>95</v>
      </c>
      <c r="Q5" s="72" t="str">
        <f>+CONCATENATE(C5,"h ",D5,"'",E5,"""")</f>
        <v>13h 20'27"</v>
      </c>
    </row>
    <row r="6" spans="1:17" x14ac:dyDescent="0.3">
      <c r="E6" s="1"/>
      <c r="J6" s="1"/>
      <c r="P6" s="73" t="s">
        <v>10</v>
      </c>
      <c r="Q6" s="74" t="str">
        <f>+CONCATENATE(G7," seg")</f>
        <v>14226 seg</v>
      </c>
    </row>
    <row r="7" spans="1:17" ht="16.2" thickBot="1" x14ac:dyDescent="0.35">
      <c r="E7" s="9" t="s">
        <v>10</v>
      </c>
      <c r="F7" s="10" t="s">
        <v>4</v>
      </c>
      <c r="G7" s="10">
        <f>G4-G5</f>
        <v>14226</v>
      </c>
      <c r="H7" s="8" t="s">
        <v>5</v>
      </c>
      <c r="J7" s="1"/>
      <c r="P7" s="73" t="s">
        <v>10</v>
      </c>
      <c r="Q7" s="74" t="str">
        <f>+CONCATENATE(G8," c.s.")</f>
        <v>1422600 c.s.</v>
      </c>
    </row>
    <row r="8" spans="1:17" ht="16.2" thickBot="1" x14ac:dyDescent="0.35">
      <c r="E8" s="9" t="s">
        <v>10</v>
      </c>
      <c r="F8" s="10" t="s">
        <v>4</v>
      </c>
      <c r="G8" s="34">
        <f>G7*100</f>
        <v>1422600</v>
      </c>
      <c r="H8" s="8" t="s">
        <v>7</v>
      </c>
      <c r="J8" s="9" t="s">
        <v>13</v>
      </c>
      <c r="K8" s="10" t="s">
        <v>4</v>
      </c>
      <c r="L8" s="10">
        <f>G8-L3-L4</f>
        <v>1417686</v>
      </c>
      <c r="M8" s="8" t="s">
        <v>7</v>
      </c>
      <c r="P8" s="71" t="s">
        <v>11</v>
      </c>
      <c r="Q8" s="72" t="str">
        <f>+CONCATENATE(L3," c.s.")</f>
        <v>2936 c.s.</v>
      </c>
    </row>
    <row r="9" spans="1:17" x14ac:dyDescent="0.3">
      <c r="J9" s="9" t="s">
        <v>15</v>
      </c>
      <c r="K9" s="10" t="s">
        <v>4</v>
      </c>
      <c r="L9" s="10">
        <f>L8-L5</f>
        <v>1417686</v>
      </c>
      <c r="M9" s="8" t="s">
        <v>7</v>
      </c>
      <c r="P9" s="71" t="s">
        <v>12</v>
      </c>
      <c r="Q9" s="72" t="str">
        <f>+CONCATENATE(L4," c.s.")</f>
        <v>1978 c.s.</v>
      </c>
    </row>
    <row r="10" spans="1:17" x14ac:dyDescent="0.3">
      <c r="J10" s="66"/>
      <c r="K10" s="67"/>
      <c r="L10" s="67"/>
      <c r="M10" s="67"/>
      <c r="P10" s="73" t="s">
        <v>13</v>
      </c>
      <c r="Q10" s="74" t="str">
        <f>+CONCATENATE(L8," c.s.")</f>
        <v>1417686 c.s.</v>
      </c>
    </row>
    <row r="11" spans="1:17" x14ac:dyDescent="0.3">
      <c r="P11" s="73" t="s">
        <v>96</v>
      </c>
      <c r="Q11" s="74" t="str">
        <f>+CONCATENATE(L5," c.s.")</f>
        <v>0 c.s.</v>
      </c>
    </row>
    <row r="12" spans="1:17" x14ac:dyDescent="0.3">
      <c r="J12" s="12" t="s">
        <v>16</v>
      </c>
      <c r="K12" s="10" t="s">
        <v>4</v>
      </c>
      <c r="L12" s="10">
        <f>+'Hoja de cronometraje'!E102</f>
        <v>1422613</v>
      </c>
      <c r="M12" s="8" t="s">
        <v>7</v>
      </c>
      <c r="P12" s="73" t="s">
        <v>15</v>
      </c>
      <c r="Q12" s="74" t="str">
        <f>+CONCATENATE(L9," c.s.")</f>
        <v>1417686 c.s.</v>
      </c>
    </row>
    <row r="13" spans="1:17" x14ac:dyDescent="0.3">
      <c r="J13" s="12" t="s">
        <v>17</v>
      </c>
      <c r="K13" s="10" t="s">
        <v>4</v>
      </c>
      <c r="L13" s="10">
        <f>G8-L12</f>
        <v>-13</v>
      </c>
      <c r="M13" s="8" t="s">
        <v>7</v>
      </c>
      <c r="P13" s="71" t="s">
        <v>16</v>
      </c>
      <c r="Q13" s="72" t="str">
        <f>+CONCATENATE(L12," c.s.")</f>
        <v>1422613 c.s.</v>
      </c>
    </row>
    <row r="14" spans="1:17" x14ac:dyDescent="0.3">
      <c r="J14" s="1"/>
      <c r="P14" s="73" t="s">
        <v>97</v>
      </c>
      <c r="Q14" s="74" t="str">
        <f>+CONCATENATE(L13," c.s.")</f>
        <v>-13 c.s.</v>
      </c>
    </row>
    <row r="15" spans="1:17" x14ac:dyDescent="0.3">
      <c r="J15" s="9" t="s">
        <v>9</v>
      </c>
      <c r="K15" s="10" t="s">
        <v>4</v>
      </c>
      <c r="L15" s="11">
        <f>(L13/G8)*100</f>
        <v>-9.138197666244903E-4</v>
      </c>
      <c r="M15" s="8" t="s">
        <v>8</v>
      </c>
      <c r="P15" s="73" t="s">
        <v>9</v>
      </c>
      <c r="Q15" s="75" t="str">
        <f>+CONCATENATE(ROUND(L15,3)," %")</f>
        <v>-0.001 %</v>
      </c>
    </row>
    <row r="16" spans="1:17" x14ac:dyDescent="0.3">
      <c r="G16" s="2"/>
    </row>
    <row r="17" spans="9:17" x14ac:dyDescent="0.3">
      <c r="I17" s="46" t="str">
        <f>IF(ABS(L15)&lt;1,"Los tiempos son confiables","Los tiempos no son confiables")</f>
        <v>Los tiempos son confiables</v>
      </c>
      <c r="J17" s="47"/>
      <c r="K17" s="47"/>
      <c r="L17" s="47"/>
      <c r="M17" s="47"/>
      <c r="N17" s="48"/>
      <c r="P17" s="70"/>
      <c r="Q17" s="70"/>
    </row>
    <row r="18" spans="9:17" x14ac:dyDescent="0.3">
      <c r="I18" s="49"/>
      <c r="J18" s="50"/>
      <c r="K18" s="50"/>
      <c r="L18" s="50"/>
      <c r="M18" s="50"/>
      <c r="N18" s="51"/>
      <c r="P18" s="70"/>
      <c r="Q18" s="70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58"/>
  <sheetViews>
    <sheetView showGridLines="0" topLeftCell="C1" zoomScaleNormal="100" workbookViewId="0">
      <selection activeCell="K18" sqref="K18"/>
    </sheetView>
  </sheetViews>
  <sheetFormatPr baseColWidth="10" defaultRowHeight="14.4" x14ac:dyDescent="0.3"/>
  <cols>
    <col min="5" max="6" width="12.77734375" customWidth="1"/>
    <col min="7" max="7" width="15.77734375" customWidth="1"/>
    <col min="14" max="15" width="12.77734375" customWidth="1"/>
    <col min="16" max="16" width="15.77734375" customWidth="1"/>
  </cols>
  <sheetData>
    <row r="2" spans="2:19" x14ac:dyDescent="0.3">
      <c r="B2" s="14"/>
      <c r="G2" s="52" t="str">
        <f>+'Hoja de cronometraje'!K4</f>
        <v>Elemento D</v>
      </c>
      <c r="H2" s="53"/>
      <c r="P2" s="52" t="str">
        <f>+'Hoja de cronometraje'!N4</f>
        <v>Elemento E</v>
      </c>
      <c r="Q2" s="53"/>
    </row>
    <row r="5" spans="2:19" ht="15.6" x14ac:dyDescent="0.3">
      <c r="D5" s="105" t="s">
        <v>18</v>
      </c>
      <c r="E5" s="106" t="s">
        <v>19</v>
      </c>
      <c r="F5" s="106" t="s">
        <v>20</v>
      </c>
      <c r="G5" s="107" t="s">
        <v>21</v>
      </c>
      <c r="H5" s="84"/>
      <c r="I5" s="84"/>
      <c r="J5" s="84"/>
      <c r="K5" s="84"/>
      <c r="L5" s="84"/>
      <c r="M5" s="118" t="s">
        <v>18</v>
      </c>
      <c r="N5" s="119" t="s">
        <v>19</v>
      </c>
      <c r="O5" s="122" t="s">
        <v>20</v>
      </c>
      <c r="P5" s="107" t="s">
        <v>21</v>
      </c>
      <c r="Q5" s="84"/>
    </row>
    <row r="6" spans="2:19" ht="15.6" x14ac:dyDescent="0.3">
      <c r="D6" s="90">
        <f ca="1">+'Hoja de cronometraje'!K7</f>
        <v>100</v>
      </c>
      <c r="E6" s="102">
        <f ca="1">+'Hoja de cronometraje'!L7</f>
        <v>13858</v>
      </c>
      <c r="F6" s="102">
        <f ca="1">(D6*E6)/100</f>
        <v>13858</v>
      </c>
      <c r="G6" s="92">
        <f ca="1">POWER(F6,2)</f>
        <v>192044164</v>
      </c>
      <c r="H6" s="84"/>
      <c r="I6" s="84"/>
      <c r="J6" s="84"/>
      <c r="K6" s="84"/>
      <c r="L6" s="84"/>
      <c r="M6" s="98">
        <f ca="1">+'Hoja de cronometraje'!N7</f>
        <v>90</v>
      </c>
      <c r="N6" s="104">
        <f ca="1">+'Hoja de cronometraje'!O7</f>
        <v>27884</v>
      </c>
      <c r="O6" s="100">
        <f ca="1">(M6*N6)/100</f>
        <v>25095.599999999999</v>
      </c>
      <c r="P6" s="92">
        <f ca="1">POWER(O6,2)</f>
        <v>629789139.3599999</v>
      </c>
      <c r="Q6" s="84"/>
    </row>
    <row r="7" spans="2:19" ht="15.6" x14ac:dyDescent="0.3">
      <c r="D7" s="90">
        <f ca="1">+'Hoja de cronometraje'!K8</f>
        <v>105</v>
      </c>
      <c r="E7" s="102">
        <f ca="1">+'Hoja de cronometraje'!L8</f>
        <v>14334</v>
      </c>
      <c r="F7" s="102">
        <f t="shared" ref="F7:F25" ca="1" si="0">(D7*E7)/100</f>
        <v>15050.7</v>
      </c>
      <c r="G7" s="92">
        <f t="shared" ref="G7:G25" ca="1" si="1">POWER(F7,2)</f>
        <v>226523570.49000001</v>
      </c>
      <c r="H7" s="84"/>
      <c r="I7" s="85" t="s">
        <v>23</v>
      </c>
      <c r="J7" s="86">
        <f ca="1">COUNTA(E6:E25)</f>
        <v>20</v>
      </c>
      <c r="K7" s="84"/>
      <c r="L7" s="84"/>
      <c r="M7" s="90">
        <f ca="1">+'Hoja de cronometraje'!N8</f>
        <v>95</v>
      </c>
      <c r="N7" s="102">
        <f ca="1">+'Hoja de cronometraje'!O8</f>
        <v>28925</v>
      </c>
      <c r="O7" s="92">
        <f t="shared" ref="O7:O25" ca="1" si="2">(M7*N7)/100</f>
        <v>27478.75</v>
      </c>
      <c r="P7" s="92">
        <f t="shared" ref="P7:P25" ca="1" si="3">POWER(O7,2)</f>
        <v>755081701.5625</v>
      </c>
      <c r="Q7" s="84"/>
      <c r="R7" s="15" t="s">
        <v>23</v>
      </c>
      <c r="S7" s="3">
        <f ca="1">COUNTA(N6:N25)</f>
        <v>20</v>
      </c>
    </row>
    <row r="8" spans="2:19" ht="15.6" x14ac:dyDescent="0.3">
      <c r="D8" s="90">
        <f ca="1">+'Hoja de cronometraje'!K9</f>
        <v>100</v>
      </c>
      <c r="E8" s="102">
        <f ca="1">+'Hoja de cronometraje'!L9</f>
        <v>13194</v>
      </c>
      <c r="F8" s="102">
        <f t="shared" ca="1" si="0"/>
        <v>13194</v>
      </c>
      <c r="G8" s="92">
        <f t="shared" ca="1" si="1"/>
        <v>174081636</v>
      </c>
      <c r="H8" s="84"/>
      <c r="I8" s="87"/>
      <c r="J8" s="84"/>
      <c r="K8" s="84"/>
      <c r="L8" s="84"/>
      <c r="M8" s="90">
        <f ca="1">+'Hoja de cronometraje'!N9</f>
        <v>100</v>
      </c>
      <c r="N8" s="102">
        <f ca="1">+'Hoja de cronometraje'!O9</f>
        <v>28060</v>
      </c>
      <c r="O8" s="92">
        <f t="shared" ca="1" si="2"/>
        <v>28060</v>
      </c>
      <c r="P8" s="92">
        <f t="shared" ca="1" si="3"/>
        <v>787363600</v>
      </c>
      <c r="Q8" s="84"/>
      <c r="R8" s="1"/>
    </row>
    <row r="9" spans="2:19" ht="15.6" x14ac:dyDescent="0.3">
      <c r="D9" s="90">
        <f ca="1">+'Hoja de cronometraje'!K10</f>
        <v>95</v>
      </c>
      <c r="E9" s="102">
        <f ca="1">+'Hoja de cronometraje'!L10</f>
        <v>13138</v>
      </c>
      <c r="F9" s="102">
        <f t="shared" ca="1" si="0"/>
        <v>12481.1</v>
      </c>
      <c r="G9" s="92">
        <f t="shared" ca="1" si="1"/>
        <v>155777857.21000001</v>
      </c>
      <c r="H9" s="84"/>
      <c r="I9" s="87"/>
      <c r="J9" s="84"/>
      <c r="K9" s="84"/>
      <c r="L9" s="84"/>
      <c r="M9" s="90">
        <f ca="1">+'Hoja de cronometraje'!N10</f>
        <v>100</v>
      </c>
      <c r="N9" s="102">
        <f ca="1">+'Hoja de cronometraje'!O10</f>
        <v>27620</v>
      </c>
      <c r="O9" s="92">
        <f t="shared" ca="1" si="2"/>
        <v>27620</v>
      </c>
      <c r="P9" s="92">
        <f t="shared" ca="1" si="3"/>
        <v>762864400</v>
      </c>
      <c r="Q9" s="84"/>
      <c r="R9" s="1"/>
    </row>
    <row r="10" spans="2:19" ht="15.6" x14ac:dyDescent="0.3">
      <c r="D10" s="90">
        <f ca="1">+'Hoja de cronometraje'!K11</f>
        <v>85</v>
      </c>
      <c r="E10" s="102">
        <f ca="1">+'Hoja de cronometraje'!L11</f>
        <v>14560</v>
      </c>
      <c r="F10" s="102">
        <f t="shared" ca="1" si="0"/>
        <v>12376</v>
      </c>
      <c r="G10" s="92">
        <f t="shared" ca="1" si="1"/>
        <v>153165376</v>
      </c>
      <c r="H10" s="84"/>
      <c r="I10" s="84"/>
      <c r="J10" s="84"/>
      <c r="K10" s="84"/>
      <c r="L10" s="84"/>
      <c r="M10" s="90">
        <f ca="1">+'Hoja de cronometraje'!N11</f>
        <v>90</v>
      </c>
      <c r="N10" s="102">
        <f ca="1">+'Hoja de cronometraje'!O11</f>
        <v>27755</v>
      </c>
      <c r="O10" s="92">
        <f t="shared" ca="1" si="2"/>
        <v>24979.5</v>
      </c>
      <c r="P10" s="92">
        <f t="shared" ca="1" si="3"/>
        <v>623975420.25</v>
      </c>
      <c r="Q10" s="84"/>
    </row>
    <row r="11" spans="2:19" ht="15.6" x14ac:dyDescent="0.3">
      <c r="D11" s="90">
        <f ca="1">+'Hoja de cronometraje'!K12</f>
        <v>95</v>
      </c>
      <c r="E11" s="102">
        <f ca="1">+'Hoja de cronometraje'!L12</f>
        <v>13858</v>
      </c>
      <c r="F11" s="102">
        <f t="shared" ca="1" si="0"/>
        <v>13165.1</v>
      </c>
      <c r="G11" s="92">
        <f t="shared" ca="1" si="1"/>
        <v>173319858.01000002</v>
      </c>
      <c r="H11" s="84"/>
      <c r="I11" s="84"/>
      <c r="J11" s="84"/>
      <c r="K11" s="84"/>
      <c r="L11" s="84"/>
      <c r="M11" s="90">
        <f ca="1">+'Hoja de cronometraje'!N12</f>
        <v>90</v>
      </c>
      <c r="N11" s="102">
        <f ca="1">+'Hoja de cronometraje'!O12</f>
        <v>28438</v>
      </c>
      <c r="O11" s="92">
        <f t="shared" ca="1" si="2"/>
        <v>25594.2</v>
      </c>
      <c r="P11" s="92">
        <f t="shared" ca="1" si="3"/>
        <v>655063073.63999999</v>
      </c>
      <c r="Q11" s="84"/>
    </row>
    <row r="12" spans="2:19" ht="15.6" x14ac:dyDescent="0.3">
      <c r="D12" s="90">
        <f ca="1">+'Hoja de cronometraje'!K13</f>
        <v>90</v>
      </c>
      <c r="E12" s="102">
        <f ca="1">+'Hoja de cronometraje'!L13</f>
        <v>14538</v>
      </c>
      <c r="F12" s="102">
        <f t="shared" ca="1" si="0"/>
        <v>13084.2</v>
      </c>
      <c r="G12" s="92">
        <f t="shared" ca="1" si="1"/>
        <v>171196289.64000002</v>
      </c>
      <c r="H12" s="84"/>
      <c r="I12" s="85" t="s">
        <v>22</v>
      </c>
      <c r="J12" s="86">
        <f ca="1">ROUNDUP(POWER(((40*SQRT((J7*G26)-POWER(F26,2)))/F26),2),0)</f>
        <v>7</v>
      </c>
      <c r="K12" s="84"/>
      <c r="L12" s="84"/>
      <c r="M12" s="90">
        <f ca="1">+'Hoja de cronometraje'!N13</f>
        <v>90</v>
      </c>
      <c r="N12" s="102">
        <f ca="1">+'Hoja de cronometraje'!O13</f>
        <v>27393</v>
      </c>
      <c r="O12" s="92">
        <f t="shared" ca="1" si="2"/>
        <v>24653.7</v>
      </c>
      <c r="P12" s="92">
        <f t="shared" ca="1" si="3"/>
        <v>607804923.69000006</v>
      </c>
      <c r="Q12" s="84"/>
      <c r="R12" s="15" t="s">
        <v>22</v>
      </c>
      <c r="S12" s="3">
        <f ca="1">ROUNDUP(POWER(((40*SQRT((S7*P26)-POWER(O26,2)))/O26),2),0)</f>
        <v>6</v>
      </c>
    </row>
    <row r="13" spans="2:19" ht="15.6" x14ac:dyDescent="0.3">
      <c r="D13" s="90">
        <f ca="1">+'Hoja de cronometraje'!K14</f>
        <v>85</v>
      </c>
      <c r="E13" s="102">
        <f ca="1">+'Hoja de cronometraje'!L14</f>
        <v>14455</v>
      </c>
      <c r="F13" s="102">
        <f t="shared" ca="1" si="0"/>
        <v>12286.75</v>
      </c>
      <c r="G13" s="92">
        <f t="shared" ca="1" si="1"/>
        <v>150964225.5625</v>
      </c>
      <c r="H13" s="84"/>
      <c r="I13" s="84"/>
      <c r="J13" s="84"/>
      <c r="K13" s="84"/>
      <c r="L13" s="84"/>
      <c r="M13" s="90">
        <f ca="1">+'Hoja de cronometraje'!N14</f>
        <v>85</v>
      </c>
      <c r="N13" s="102">
        <f ca="1">+'Hoja de cronometraje'!O14</f>
        <v>28807</v>
      </c>
      <c r="O13" s="92">
        <f t="shared" ca="1" si="2"/>
        <v>24485.95</v>
      </c>
      <c r="P13" s="92">
        <f t="shared" ca="1" si="3"/>
        <v>599561747.40250003</v>
      </c>
      <c r="Q13" s="84"/>
    </row>
    <row r="14" spans="2:19" ht="15.6" x14ac:dyDescent="0.3">
      <c r="D14" s="90">
        <f ca="1">+'Hoja de cronometraje'!K15</f>
        <v>100</v>
      </c>
      <c r="E14" s="102">
        <f ca="1">+'Hoja de cronometraje'!L15</f>
        <v>13731</v>
      </c>
      <c r="F14" s="102">
        <f t="shared" ca="1" si="0"/>
        <v>13731</v>
      </c>
      <c r="G14" s="92">
        <f t="shared" ca="1" si="1"/>
        <v>188540361</v>
      </c>
      <c r="H14" s="84"/>
      <c r="I14" s="84"/>
      <c r="J14" s="84"/>
      <c r="K14" s="84"/>
      <c r="L14" s="84"/>
      <c r="M14" s="90">
        <f ca="1">+'Hoja de cronometraje'!N15</f>
        <v>90</v>
      </c>
      <c r="N14" s="102">
        <f ca="1">+'Hoja de cronometraje'!O15</f>
        <v>28828</v>
      </c>
      <c r="O14" s="92">
        <f t="shared" ca="1" si="2"/>
        <v>25945.200000000001</v>
      </c>
      <c r="P14" s="92">
        <f t="shared" ca="1" si="3"/>
        <v>673153403.04000008</v>
      </c>
      <c r="Q14" s="84"/>
    </row>
    <row r="15" spans="2:19" ht="15.6" x14ac:dyDescent="0.3">
      <c r="D15" s="90">
        <f ca="1">+'Hoja de cronometraje'!K16</f>
        <v>95</v>
      </c>
      <c r="E15" s="102">
        <f ca="1">+'Hoja de cronometraje'!L16</f>
        <v>13457</v>
      </c>
      <c r="F15" s="102">
        <f t="shared" ca="1" si="0"/>
        <v>12784.15</v>
      </c>
      <c r="G15" s="92">
        <f t="shared" ca="1" si="1"/>
        <v>163434491.2225</v>
      </c>
      <c r="H15" s="84"/>
      <c r="I15" s="84"/>
      <c r="J15" s="84"/>
      <c r="K15" s="84"/>
      <c r="L15" s="84"/>
      <c r="M15" s="90">
        <f ca="1">+'Hoja de cronometraje'!N16</f>
        <v>95</v>
      </c>
      <c r="N15" s="102">
        <f ca="1">+'Hoja de cronometraje'!O16</f>
        <v>28607</v>
      </c>
      <c r="O15" s="92">
        <f t="shared" ca="1" si="2"/>
        <v>27176.65</v>
      </c>
      <c r="P15" s="92">
        <f t="shared" ca="1" si="3"/>
        <v>738570305.22250009</v>
      </c>
      <c r="Q15" s="84"/>
    </row>
    <row r="16" spans="2:19" ht="15.6" x14ac:dyDescent="0.3">
      <c r="D16" s="90">
        <f ca="1">+'Hoja de cronometraje'!K17</f>
        <v>95</v>
      </c>
      <c r="E16" s="102">
        <f ca="1">+'Hoja de cronometraje'!L17</f>
        <v>13182</v>
      </c>
      <c r="F16" s="102">
        <f t="shared" ca="1" si="0"/>
        <v>12522.9</v>
      </c>
      <c r="G16" s="92">
        <f t="shared" ca="1" si="1"/>
        <v>156823024.41</v>
      </c>
      <c r="H16" s="84"/>
      <c r="I16" s="84"/>
      <c r="J16" s="84"/>
      <c r="K16" s="84"/>
      <c r="L16" s="84"/>
      <c r="M16" s="90">
        <f ca="1">+'Hoja de cronometraje'!N17</f>
        <v>90</v>
      </c>
      <c r="N16" s="102">
        <f ca="1">+'Hoja de cronometraje'!O17</f>
        <v>28852</v>
      </c>
      <c r="O16" s="92">
        <f t="shared" ca="1" si="2"/>
        <v>25966.799999999999</v>
      </c>
      <c r="P16" s="92">
        <f t="shared" ca="1" si="3"/>
        <v>674274702.24000001</v>
      </c>
      <c r="Q16" s="84"/>
    </row>
    <row r="17" spans="4:17" ht="15.6" x14ac:dyDescent="0.3">
      <c r="D17" s="90">
        <f ca="1">+'Hoja de cronometraje'!K18</f>
        <v>90</v>
      </c>
      <c r="E17" s="102">
        <f ca="1">+'Hoja de cronometraje'!L18</f>
        <v>13894</v>
      </c>
      <c r="F17" s="102">
        <f t="shared" ca="1" si="0"/>
        <v>12504.6</v>
      </c>
      <c r="G17" s="92">
        <f t="shared" ca="1" si="1"/>
        <v>156365021.16</v>
      </c>
      <c r="H17" s="84"/>
      <c r="I17" s="84"/>
      <c r="J17" s="84"/>
      <c r="K17" s="84"/>
      <c r="L17" s="84"/>
      <c r="M17" s="90">
        <f ca="1">+'Hoja de cronometraje'!N18</f>
        <v>105</v>
      </c>
      <c r="N17" s="102">
        <f ca="1">+'Hoja de cronometraje'!O18</f>
        <v>28571</v>
      </c>
      <c r="O17" s="92">
        <f t="shared" ca="1" si="2"/>
        <v>29999.55</v>
      </c>
      <c r="P17" s="92">
        <f t="shared" ca="1" si="3"/>
        <v>899973000.20249999</v>
      </c>
      <c r="Q17" s="84"/>
    </row>
    <row r="18" spans="4:17" ht="15.6" x14ac:dyDescent="0.3">
      <c r="D18" s="90">
        <f ca="1">+'Hoja de cronometraje'!K19</f>
        <v>90</v>
      </c>
      <c r="E18" s="102">
        <f ca="1">+'Hoja de cronometraje'!L19</f>
        <v>13503</v>
      </c>
      <c r="F18" s="102">
        <f t="shared" ca="1" si="0"/>
        <v>12152.7</v>
      </c>
      <c r="G18" s="92">
        <f t="shared" ca="1" si="1"/>
        <v>147688117.29000002</v>
      </c>
      <c r="H18" s="84"/>
      <c r="I18" s="84"/>
      <c r="J18" s="84"/>
      <c r="K18" s="84"/>
      <c r="L18" s="84"/>
      <c r="M18" s="90">
        <f ca="1">+'Hoja de cronometraje'!N19</f>
        <v>85</v>
      </c>
      <c r="N18" s="102">
        <f ca="1">+'Hoja de cronometraje'!O19</f>
        <v>27714</v>
      </c>
      <c r="O18" s="92">
        <f t="shared" ca="1" si="2"/>
        <v>23556.9</v>
      </c>
      <c r="P18" s="92">
        <f t="shared" ca="1" si="3"/>
        <v>554927537.61000001</v>
      </c>
      <c r="Q18" s="84"/>
    </row>
    <row r="19" spans="4:17" ht="15.6" x14ac:dyDescent="0.3">
      <c r="D19" s="90">
        <f ca="1">+'Hoja de cronometraje'!K20</f>
        <v>90</v>
      </c>
      <c r="E19" s="102">
        <f ca="1">+'Hoja de cronometraje'!L20</f>
        <v>14503</v>
      </c>
      <c r="F19" s="102">
        <f t="shared" ca="1" si="0"/>
        <v>13052.7</v>
      </c>
      <c r="G19" s="92">
        <f t="shared" ca="1" si="1"/>
        <v>170372977.29000002</v>
      </c>
      <c r="H19" s="84"/>
      <c r="I19" s="84"/>
      <c r="J19" s="84"/>
      <c r="K19" s="84"/>
      <c r="L19" s="84"/>
      <c r="M19" s="90">
        <f ca="1">+'Hoja de cronometraje'!N20</f>
        <v>90</v>
      </c>
      <c r="N19" s="102">
        <f ca="1">+'Hoja de cronometraje'!O20</f>
        <v>28982</v>
      </c>
      <c r="O19" s="92">
        <f t="shared" ca="1" si="2"/>
        <v>26083.8</v>
      </c>
      <c r="P19" s="92">
        <f t="shared" ca="1" si="3"/>
        <v>680364622.43999994</v>
      </c>
      <c r="Q19" s="84"/>
    </row>
    <row r="20" spans="4:17" ht="15.6" x14ac:dyDescent="0.3">
      <c r="D20" s="90">
        <f ca="1">+'Hoja de cronometraje'!K21</f>
        <v>95</v>
      </c>
      <c r="E20" s="102">
        <f ca="1">+'Hoja de cronometraje'!L21</f>
        <v>13534</v>
      </c>
      <c r="F20" s="102">
        <f t="shared" ca="1" si="0"/>
        <v>12857.3</v>
      </c>
      <c r="G20" s="92">
        <f t="shared" ca="1" si="1"/>
        <v>165310163.28999999</v>
      </c>
      <c r="H20" s="84"/>
      <c r="I20" s="84"/>
      <c r="J20" s="84"/>
      <c r="K20" s="84"/>
      <c r="L20" s="84"/>
      <c r="M20" s="90">
        <f ca="1">+'Hoja de cronometraje'!N21</f>
        <v>95</v>
      </c>
      <c r="N20" s="102">
        <f ca="1">+'Hoja de cronometraje'!O21</f>
        <v>28915</v>
      </c>
      <c r="O20" s="92">
        <f t="shared" ca="1" si="2"/>
        <v>27469.25</v>
      </c>
      <c r="P20" s="92">
        <f t="shared" ca="1" si="3"/>
        <v>754559695.5625</v>
      </c>
      <c r="Q20" s="84"/>
    </row>
    <row r="21" spans="4:17" ht="15.6" x14ac:dyDescent="0.3">
      <c r="D21" s="90">
        <f ca="1">+'Hoja de cronometraje'!K22</f>
        <v>85</v>
      </c>
      <c r="E21" s="102">
        <f ca="1">+'Hoja de cronometraje'!L22</f>
        <v>14533</v>
      </c>
      <c r="F21" s="102">
        <f t="shared" ca="1" si="0"/>
        <v>12353.05</v>
      </c>
      <c r="G21" s="92">
        <f t="shared" ca="1" si="1"/>
        <v>152597844.30249998</v>
      </c>
      <c r="H21" s="84"/>
      <c r="I21" s="84"/>
      <c r="J21" s="84"/>
      <c r="K21" s="84"/>
      <c r="L21" s="84"/>
      <c r="M21" s="90">
        <f ca="1">+'Hoja de cronometraje'!N22</f>
        <v>90</v>
      </c>
      <c r="N21" s="102">
        <f ca="1">+'Hoja de cronometraje'!O22</f>
        <v>27667</v>
      </c>
      <c r="O21" s="92">
        <f t="shared" ca="1" si="2"/>
        <v>24900.3</v>
      </c>
      <c r="P21" s="92">
        <f t="shared" ca="1" si="3"/>
        <v>620024940.08999991</v>
      </c>
      <c r="Q21" s="84"/>
    </row>
    <row r="22" spans="4:17" ht="15.6" x14ac:dyDescent="0.3">
      <c r="D22" s="90">
        <f ca="1">+'Hoja de cronometraje'!K23</f>
        <v>105</v>
      </c>
      <c r="E22" s="102">
        <f ca="1">+'Hoja de cronometraje'!L23</f>
        <v>14340</v>
      </c>
      <c r="F22" s="102">
        <f t="shared" ca="1" si="0"/>
        <v>15057</v>
      </c>
      <c r="G22" s="92">
        <f t="shared" ca="1" si="1"/>
        <v>226713249</v>
      </c>
      <c r="H22" s="84"/>
      <c r="I22" s="84"/>
      <c r="J22" s="84"/>
      <c r="K22" s="84"/>
      <c r="L22" s="84"/>
      <c r="M22" s="90">
        <f ca="1">+'Hoja de cronometraje'!N23</f>
        <v>85</v>
      </c>
      <c r="N22" s="102">
        <f ca="1">+'Hoja de cronometraje'!O23</f>
        <v>28561</v>
      </c>
      <c r="O22" s="92">
        <f t="shared" ca="1" si="2"/>
        <v>24276.85</v>
      </c>
      <c r="P22" s="92">
        <f t="shared" ca="1" si="3"/>
        <v>589365445.9224999</v>
      </c>
      <c r="Q22" s="84"/>
    </row>
    <row r="23" spans="4:17" ht="15.6" x14ac:dyDescent="0.3">
      <c r="D23" s="90">
        <f ca="1">+'Hoja de cronometraje'!K24</f>
        <v>85</v>
      </c>
      <c r="E23" s="102">
        <f ca="1">+'Hoja de cronometraje'!L24</f>
        <v>14345</v>
      </c>
      <c r="F23" s="102">
        <f t="shared" ca="1" si="0"/>
        <v>12193.25</v>
      </c>
      <c r="G23" s="92">
        <f t="shared" ca="1" si="1"/>
        <v>148675345.5625</v>
      </c>
      <c r="H23" s="84"/>
      <c r="I23" s="84"/>
      <c r="J23" s="84"/>
      <c r="K23" s="84"/>
      <c r="L23" s="84"/>
      <c r="M23" s="90">
        <f ca="1">+'Hoja de cronometraje'!N24</f>
        <v>90</v>
      </c>
      <c r="N23" s="102">
        <f ca="1">+'Hoja de cronometraje'!O24</f>
        <v>27827</v>
      </c>
      <c r="O23" s="92">
        <f t="shared" ca="1" si="2"/>
        <v>25044.3</v>
      </c>
      <c r="P23" s="92">
        <f t="shared" ca="1" si="3"/>
        <v>627216962.49000001</v>
      </c>
      <c r="Q23" s="84"/>
    </row>
    <row r="24" spans="4:17" ht="15.6" x14ac:dyDescent="0.3">
      <c r="D24" s="90">
        <f ca="1">+'Hoja de cronometraje'!K25</f>
        <v>95</v>
      </c>
      <c r="E24" s="102">
        <f ca="1">+'Hoja de cronometraje'!L25</f>
        <v>13519</v>
      </c>
      <c r="F24" s="102">
        <f t="shared" ca="1" si="0"/>
        <v>12843.05</v>
      </c>
      <c r="G24" s="92">
        <f t="shared" ca="1" si="1"/>
        <v>164943933.30249998</v>
      </c>
      <c r="H24" s="84"/>
      <c r="I24" s="84"/>
      <c r="J24" s="84"/>
      <c r="K24" s="84"/>
      <c r="L24" s="84"/>
      <c r="M24" s="90">
        <f ca="1">+'Hoja de cronometraje'!N25</f>
        <v>90</v>
      </c>
      <c r="N24" s="102">
        <f ca="1">+'Hoja de cronometraje'!O25</f>
        <v>28697</v>
      </c>
      <c r="O24" s="92">
        <f t="shared" ca="1" si="2"/>
        <v>25827.3</v>
      </c>
      <c r="P24" s="92">
        <f t="shared" ca="1" si="3"/>
        <v>667049425.28999996</v>
      </c>
      <c r="Q24" s="84"/>
    </row>
    <row r="25" spans="4:17" ht="15.6" x14ac:dyDescent="0.3">
      <c r="D25" s="93">
        <f ca="1">+'Hoja de cronometraje'!K26</f>
        <v>100</v>
      </c>
      <c r="E25" s="103">
        <f ca="1">+'Hoja de cronometraje'!L26</f>
        <v>14185</v>
      </c>
      <c r="F25" s="103">
        <f t="shared" ca="1" si="0"/>
        <v>14185</v>
      </c>
      <c r="G25" s="94">
        <f t="shared" ca="1" si="1"/>
        <v>201214225</v>
      </c>
      <c r="H25" s="84"/>
      <c r="I25" s="84"/>
      <c r="J25" s="84"/>
      <c r="K25" s="84"/>
      <c r="L25" s="84"/>
      <c r="M25" s="93">
        <f ca="1">+'Hoja de cronometraje'!N26</f>
        <v>105</v>
      </c>
      <c r="N25" s="103">
        <f ca="1">+'Hoja de cronometraje'!O26</f>
        <v>27025</v>
      </c>
      <c r="O25" s="94">
        <f t="shared" ca="1" si="2"/>
        <v>28376.25</v>
      </c>
      <c r="P25" s="94">
        <f t="shared" ca="1" si="3"/>
        <v>805211564.0625</v>
      </c>
      <c r="Q25" s="84"/>
    </row>
    <row r="26" spans="4:17" ht="15.6" x14ac:dyDescent="0.3">
      <c r="D26" s="95" t="s">
        <v>98</v>
      </c>
      <c r="E26" s="80"/>
      <c r="F26" s="81">
        <f ca="1">SUM(F6:F25)</f>
        <v>261732.55</v>
      </c>
      <c r="G26" s="89">
        <f ca="1">SUM(G6:G25)</f>
        <v>3439751729.7424998</v>
      </c>
      <c r="H26" s="84"/>
      <c r="I26" s="84"/>
      <c r="J26" s="84"/>
      <c r="K26" s="84"/>
      <c r="L26" s="84"/>
      <c r="M26" s="120" t="s">
        <v>98</v>
      </c>
      <c r="N26" s="121"/>
      <c r="O26" s="79">
        <f ca="1">SUM(O6:O25)</f>
        <v>522590.85</v>
      </c>
      <c r="P26" s="89">
        <f ca="1">SUM(P6:P25)</f>
        <v>13706195610.077499</v>
      </c>
      <c r="Q26" s="84"/>
    </row>
    <row r="27" spans="4:17" ht="15.6" x14ac:dyDescent="0.3">
      <c r="D27" s="96" t="s">
        <v>100</v>
      </c>
      <c r="E27" s="88"/>
      <c r="F27" s="81">
        <f ca="1">+J12</f>
        <v>7</v>
      </c>
      <c r="G27" s="97" t="s">
        <v>151</v>
      </c>
      <c r="H27" s="84"/>
      <c r="I27" s="84"/>
      <c r="J27" s="84"/>
      <c r="K27" s="84"/>
      <c r="L27" s="84"/>
      <c r="M27" s="96" t="s">
        <v>100</v>
      </c>
      <c r="N27" s="88"/>
      <c r="O27" s="81">
        <f ca="1">+S12</f>
        <v>6</v>
      </c>
      <c r="P27" s="97" t="s">
        <v>151</v>
      </c>
      <c r="Q27" s="84"/>
    </row>
    <row r="28" spans="4:17" ht="15.6" x14ac:dyDescent="0.3"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</row>
    <row r="29" spans="4:17" ht="15.6" x14ac:dyDescent="0.3"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</row>
    <row r="30" spans="4:17" ht="15.6" x14ac:dyDescent="0.3">
      <c r="D30" s="84"/>
      <c r="E30" s="84"/>
      <c r="F30" s="84"/>
      <c r="G30" s="82" t="str">
        <f>+'Hoja de cronometraje'!K29</f>
        <v>Elemento P</v>
      </c>
      <c r="H30" s="83"/>
      <c r="I30" s="84"/>
      <c r="J30" s="84"/>
      <c r="K30" s="84"/>
      <c r="L30" s="84"/>
      <c r="M30" s="84"/>
      <c r="N30" s="84"/>
      <c r="O30" s="84"/>
      <c r="P30" s="82" t="str">
        <f>+'Hoja de cronometraje'!N29</f>
        <v>Elemento T</v>
      </c>
      <c r="Q30" s="83"/>
    </row>
    <row r="31" spans="4:17" ht="15.6" x14ac:dyDescent="0.3"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</row>
    <row r="32" spans="4:17" ht="15.6" x14ac:dyDescent="0.3"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</row>
    <row r="33" spans="4:19" ht="15.6" x14ac:dyDescent="0.3">
      <c r="D33" s="105" t="s">
        <v>18</v>
      </c>
      <c r="E33" s="106" t="s">
        <v>19</v>
      </c>
      <c r="F33" s="106" t="s">
        <v>20</v>
      </c>
      <c r="G33" s="107" t="s">
        <v>21</v>
      </c>
      <c r="H33" s="84"/>
      <c r="I33" s="84"/>
      <c r="J33" s="84"/>
      <c r="K33" s="84"/>
      <c r="L33" s="84"/>
      <c r="M33" s="105" t="s">
        <v>18</v>
      </c>
      <c r="N33" s="106" t="s">
        <v>19</v>
      </c>
      <c r="O33" s="106" t="s">
        <v>20</v>
      </c>
      <c r="P33" s="107" t="s">
        <v>21</v>
      </c>
      <c r="Q33" s="84"/>
    </row>
    <row r="34" spans="4:19" ht="15.6" x14ac:dyDescent="0.3">
      <c r="D34" s="90">
        <f ca="1">+'Hoja de cronometraje'!K32</f>
        <v>90</v>
      </c>
      <c r="E34" s="102">
        <f ca="1">+'Hoja de cronometraje'!L32</f>
        <v>9343</v>
      </c>
      <c r="F34" s="102">
        <f ca="1">(D34*E34)/100</f>
        <v>8408.7000000000007</v>
      </c>
      <c r="G34" s="92">
        <f ca="1">POWER(F34,2)</f>
        <v>70706235.690000013</v>
      </c>
      <c r="H34" s="84"/>
      <c r="I34" s="84"/>
      <c r="J34" s="84"/>
      <c r="K34" s="84"/>
      <c r="L34" s="84"/>
      <c r="M34" s="90">
        <f ca="1">+'Hoja de cronometraje'!N32</f>
        <v>85</v>
      </c>
      <c r="N34" s="102">
        <f ca="1">+'Hoja de cronometraje'!O32</f>
        <v>19774</v>
      </c>
      <c r="O34" s="102">
        <f ca="1">(M34*N34)/100</f>
        <v>16807.900000000001</v>
      </c>
      <c r="P34" s="92">
        <f ca="1">POWER(O34,2)</f>
        <v>282505502.41000003</v>
      </c>
      <c r="Q34" s="84"/>
    </row>
    <row r="35" spans="4:19" ht="15.6" x14ac:dyDescent="0.3">
      <c r="D35" s="90">
        <f ca="1">+'Hoja de cronometraje'!K33</f>
        <v>85</v>
      </c>
      <c r="E35" s="102">
        <f ca="1">+'Hoja de cronometraje'!L33</f>
        <v>9358</v>
      </c>
      <c r="F35" s="102">
        <f t="shared" ref="F35:F53" ca="1" si="4">(D35*E35)/100</f>
        <v>7954.3</v>
      </c>
      <c r="G35" s="92">
        <f t="shared" ref="G35:G53" ca="1" si="5">POWER(F35,2)</f>
        <v>63270888.490000002</v>
      </c>
      <c r="H35" s="84"/>
      <c r="I35" s="85" t="s">
        <v>23</v>
      </c>
      <c r="J35" s="86">
        <f ca="1">COUNTA(E34:E53)</f>
        <v>20</v>
      </c>
      <c r="K35" s="84"/>
      <c r="L35" s="84"/>
      <c r="M35" s="90">
        <f ca="1">+'Hoja de cronometraje'!N33</f>
        <v>85</v>
      </c>
      <c r="N35" s="102">
        <f ca="1">+'Hoja de cronometraje'!O33</f>
        <v>20426</v>
      </c>
      <c r="O35" s="102">
        <f t="shared" ref="O35:O53" ca="1" si="6">(M35*N35)/100</f>
        <v>17362.099999999999</v>
      </c>
      <c r="P35" s="92">
        <f t="shared" ref="P35:P53" ca="1" si="7">POWER(O35,2)</f>
        <v>301442516.40999997</v>
      </c>
      <c r="Q35" s="84"/>
      <c r="R35" s="15" t="s">
        <v>23</v>
      </c>
      <c r="S35" s="3">
        <f ca="1">COUNTA(N34:N53)</f>
        <v>20</v>
      </c>
    </row>
    <row r="36" spans="4:19" ht="15.6" x14ac:dyDescent="0.3">
      <c r="D36" s="90">
        <f ca="1">+'Hoja de cronometraje'!K34</f>
        <v>90</v>
      </c>
      <c r="E36" s="102">
        <f ca="1">+'Hoja de cronometraje'!L34</f>
        <v>9075</v>
      </c>
      <c r="F36" s="102">
        <f t="shared" ca="1" si="4"/>
        <v>8167.5</v>
      </c>
      <c r="G36" s="92">
        <f t="shared" ca="1" si="5"/>
        <v>66708056.25</v>
      </c>
      <c r="H36" s="84"/>
      <c r="I36" s="87"/>
      <c r="J36" s="84"/>
      <c r="K36" s="84"/>
      <c r="L36" s="84"/>
      <c r="M36" s="90">
        <f ca="1">+'Hoja de cronometraje'!N34</f>
        <v>85</v>
      </c>
      <c r="N36" s="102">
        <f ca="1">+'Hoja de cronometraje'!O34</f>
        <v>19528</v>
      </c>
      <c r="O36" s="102">
        <f t="shared" ca="1" si="6"/>
        <v>16598.8</v>
      </c>
      <c r="P36" s="92">
        <f t="shared" ca="1" si="7"/>
        <v>275520161.44</v>
      </c>
      <c r="Q36" s="84"/>
      <c r="R36" s="1"/>
    </row>
    <row r="37" spans="4:19" ht="15.6" x14ac:dyDescent="0.3">
      <c r="D37" s="90">
        <f ca="1">+'Hoja de cronometraje'!K35</f>
        <v>90</v>
      </c>
      <c r="E37" s="102">
        <f ca="1">+'Hoja de cronometraje'!L35</f>
        <v>9421</v>
      </c>
      <c r="F37" s="102">
        <f t="shared" ca="1" si="4"/>
        <v>8478.9</v>
      </c>
      <c r="G37" s="92">
        <f t="shared" ca="1" si="5"/>
        <v>71891745.209999993</v>
      </c>
      <c r="H37" s="84"/>
      <c r="I37" s="87"/>
      <c r="J37" s="84"/>
      <c r="K37" s="84"/>
      <c r="L37" s="84"/>
      <c r="M37" s="90">
        <f ca="1">+'Hoja de cronometraje'!N35</f>
        <v>95</v>
      </c>
      <c r="N37" s="102">
        <f ca="1">+'Hoja de cronometraje'!O35</f>
        <v>19814</v>
      </c>
      <c r="O37" s="102">
        <f t="shared" ca="1" si="6"/>
        <v>18823.3</v>
      </c>
      <c r="P37" s="92">
        <f t="shared" ca="1" si="7"/>
        <v>354316622.88999999</v>
      </c>
      <c r="Q37" s="84"/>
      <c r="R37" s="1"/>
    </row>
    <row r="38" spans="4:19" ht="15.6" x14ac:dyDescent="0.3">
      <c r="D38" s="90">
        <f ca="1">+'Hoja de cronometraje'!K36</f>
        <v>105</v>
      </c>
      <c r="E38" s="102">
        <f ca="1">+'Hoja de cronometraje'!L36</f>
        <v>8736</v>
      </c>
      <c r="F38" s="102">
        <f t="shared" ca="1" si="4"/>
        <v>9172.7999999999993</v>
      </c>
      <c r="G38" s="92">
        <f t="shared" ca="1" si="5"/>
        <v>84140259.839999989</v>
      </c>
      <c r="H38" s="84"/>
      <c r="I38" s="84"/>
      <c r="J38" s="84"/>
      <c r="K38" s="84"/>
      <c r="L38" s="84"/>
      <c r="M38" s="90">
        <f ca="1">+'Hoja de cronometraje'!N36</f>
        <v>90</v>
      </c>
      <c r="N38" s="102">
        <f ca="1">+'Hoja de cronometraje'!O36</f>
        <v>19094</v>
      </c>
      <c r="O38" s="102">
        <f t="shared" ca="1" si="6"/>
        <v>17184.599999999999</v>
      </c>
      <c r="P38" s="92">
        <f t="shared" ca="1" si="7"/>
        <v>295310477.15999997</v>
      </c>
      <c r="Q38" s="84"/>
    </row>
    <row r="39" spans="4:19" ht="15.6" x14ac:dyDescent="0.3">
      <c r="D39" s="90">
        <f ca="1">+'Hoja de cronometraje'!K37</f>
        <v>95</v>
      </c>
      <c r="E39" s="102">
        <f ca="1">+'Hoja de cronometraje'!L37</f>
        <v>9058</v>
      </c>
      <c r="F39" s="102">
        <f t="shared" ca="1" si="4"/>
        <v>8605.1</v>
      </c>
      <c r="G39" s="92">
        <f t="shared" ca="1" si="5"/>
        <v>74047746.010000005</v>
      </c>
      <c r="H39" s="84"/>
      <c r="I39" s="84"/>
      <c r="J39" s="84"/>
      <c r="K39" s="84"/>
      <c r="L39" s="84"/>
      <c r="M39" s="90">
        <f ca="1">+'Hoja de cronometraje'!N37</f>
        <v>95</v>
      </c>
      <c r="N39" s="102">
        <f ca="1">+'Hoja de cronometraje'!O37</f>
        <v>19343</v>
      </c>
      <c r="O39" s="102">
        <f t="shared" ca="1" si="6"/>
        <v>18375.849999999999</v>
      </c>
      <c r="P39" s="92">
        <f t="shared" ca="1" si="7"/>
        <v>337671863.22249997</v>
      </c>
      <c r="Q39" s="84"/>
    </row>
    <row r="40" spans="4:19" ht="15.6" x14ac:dyDescent="0.3">
      <c r="D40" s="90">
        <f ca="1">+'Hoja de cronometraje'!K38</f>
        <v>95</v>
      </c>
      <c r="E40" s="102">
        <f ca="1">+'Hoja de cronometraje'!L38</f>
        <v>9167</v>
      </c>
      <c r="F40" s="102">
        <f t="shared" ca="1" si="4"/>
        <v>8708.65</v>
      </c>
      <c r="G40" s="92">
        <f t="shared" ca="1" si="5"/>
        <v>75840584.82249999</v>
      </c>
      <c r="H40" s="84"/>
      <c r="I40" s="85" t="s">
        <v>22</v>
      </c>
      <c r="J40" s="86">
        <f ca="1">ROUNDUP(POWER(((40*SQRT((J35*G54)-POWER(F54,2)))/F54),2),0)</f>
        <v>6</v>
      </c>
      <c r="K40" s="84"/>
      <c r="L40" s="84"/>
      <c r="M40" s="90">
        <f ca="1">+'Hoja de cronometraje'!N38</f>
        <v>85</v>
      </c>
      <c r="N40" s="102">
        <f ca="1">+'Hoja de cronometraje'!O38</f>
        <v>20185</v>
      </c>
      <c r="O40" s="102">
        <f t="shared" ca="1" si="6"/>
        <v>17157.25</v>
      </c>
      <c r="P40" s="92">
        <f t="shared" ca="1" si="7"/>
        <v>294371227.5625</v>
      </c>
      <c r="Q40" s="84"/>
      <c r="R40" s="15" t="s">
        <v>22</v>
      </c>
      <c r="S40" s="3">
        <f ca="1">ROUNDUP(POWER(((40*SQRT((S35*P54)-POWER(O54,2)))/O54),2),0)</f>
        <v>4</v>
      </c>
    </row>
    <row r="41" spans="4:19" ht="15.6" x14ac:dyDescent="0.3">
      <c r="D41" s="90">
        <f ca="1">+'Hoja de cronometraje'!K39</f>
        <v>95</v>
      </c>
      <c r="E41" s="102">
        <f ca="1">+'Hoja de cronometraje'!L39</f>
        <v>9343</v>
      </c>
      <c r="F41" s="102">
        <f t="shared" ca="1" si="4"/>
        <v>8875.85</v>
      </c>
      <c r="G41" s="92">
        <f t="shared" ca="1" si="5"/>
        <v>78780713.222500011</v>
      </c>
      <c r="H41" s="84"/>
      <c r="I41" s="84"/>
      <c r="J41" s="84"/>
      <c r="K41" s="84"/>
      <c r="L41" s="84"/>
      <c r="M41" s="90">
        <f ca="1">+'Hoja de cronometraje'!N39</f>
        <v>100</v>
      </c>
      <c r="N41" s="102">
        <f ca="1">+'Hoja de cronometraje'!O39</f>
        <v>19057</v>
      </c>
      <c r="O41" s="102">
        <f t="shared" ca="1" si="6"/>
        <v>19057</v>
      </c>
      <c r="P41" s="92">
        <f t="shared" ca="1" si="7"/>
        <v>363169249</v>
      </c>
      <c r="Q41" s="84"/>
    </row>
    <row r="42" spans="4:19" ht="15.6" x14ac:dyDescent="0.3">
      <c r="D42" s="90">
        <f ca="1">+'Hoja de cronometraje'!K40</f>
        <v>100</v>
      </c>
      <c r="E42" s="102">
        <f ca="1">+'Hoja de cronometraje'!L40</f>
        <v>9132</v>
      </c>
      <c r="F42" s="102">
        <f t="shared" ca="1" si="4"/>
        <v>9132</v>
      </c>
      <c r="G42" s="92">
        <f t="shared" ca="1" si="5"/>
        <v>83393424</v>
      </c>
      <c r="H42" s="84"/>
      <c r="I42" s="84"/>
      <c r="J42" s="84"/>
      <c r="K42" s="84"/>
      <c r="L42" s="84"/>
      <c r="M42" s="90">
        <f ca="1">+'Hoja de cronometraje'!N40</f>
        <v>85</v>
      </c>
      <c r="N42" s="102">
        <f ca="1">+'Hoja de cronometraje'!O40</f>
        <v>20062</v>
      </c>
      <c r="O42" s="102">
        <f t="shared" ca="1" si="6"/>
        <v>17052.7</v>
      </c>
      <c r="P42" s="92">
        <f t="shared" ca="1" si="7"/>
        <v>290794577.29000002</v>
      </c>
      <c r="Q42" s="84"/>
    </row>
    <row r="43" spans="4:19" ht="15.6" x14ac:dyDescent="0.3">
      <c r="D43" s="90">
        <f ca="1">+'Hoja de cronometraje'!K41</f>
        <v>95</v>
      </c>
      <c r="E43" s="102">
        <f ca="1">+'Hoja de cronometraje'!L41</f>
        <v>9478</v>
      </c>
      <c r="F43" s="102">
        <f t="shared" ca="1" si="4"/>
        <v>9004.1</v>
      </c>
      <c r="G43" s="92">
        <f t="shared" ca="1" si="5"/>
        <v>81073816.810000002</v>
      </c>
      <c r="H43" s="84"/>
      <c r="I43" s="84"/>
      <c r="J43" s="84"/>
      <c r="K43" s="84"/>
      <c r="L43" s="84"/>
      <c r="M43" s="90">
        <f ca="1">+'Hoja de cronometraje'!N41</f>
        <v>90</v>
      </c>
      <c r="N43" s="102">
        <f ca="1">+'Hoja de cronometraje'!O41</f>
        <v>20125</v>
      </c>
      <c r="O43" s="102">
        <f t="shared" ca="1" si="6"/>
        <v>18112.5</v>
      </c>
      <c r="P43" s="92">
        <f t="shared" ca="1" si="7"/>
        <v>328062656.25</v>
      </c>
      <c r="Q43" s="84"/>
    </row>
    <row r="44" spans="4:19" ht="15.6" x14ac:dyDescent="0.3">
      <c r="D44" s="90">
        <f ca="1">+'Hoja de cronometraje'!K42</f>
        <v>100</v>
      </c>
      <c r="E44" s="102">
        <f ca="1">+'Hoja de cronometraje'!L42</f>
        <v>9250</v>
      </c>
      <c r="F44" s="102">
        <f t="shared" ca="1" si="4"/>
        <v>9250</v>
      </c>
      <c r="G44" s="92">
        <f t="shared" ca="1" si="5"/>
        <v>85562500</v>
      </c>
      <c r="H44" s="84"/>
      <c r="I44" s="84"/>
      <c r="J44" s="84"/>
      <c r="K44" s="84"/>
      <c r="L44" s="84"/>
      <c r="M44" s="90">
        <f ca="1">+'Hoja de cronometraje'!N42</f>
        <v>90</v>
      </c>
      <c r="N44" s="102">
        <f ca="1">+'Hoja de cronometraje'!O42</f>
        <v>19381</v>
      </c>
      <c r="O44" s="102">
        <f t="shared" ca="1" si="6"/>
        <v>17442.900000000001</v>
      </c>
      <c r="P44" s="92">
        <f t="shared" ca="1" si="7"/>
        <v>304254760.41000003</v>
      </c>
      <c r="Q44" s="84"/>
    </row>
    <row r="45" spans="4:19" ht="15.6" x14ac:dyDescent="0.3">
      <c r="D45" s="90">
        <f ca="1">+'Hoja de cronometraje'!K43</f>
        <v>100</v>
      </c>
      <c r="E45" s="102">
        <f ca="1">+'Hoja de cronometraje'!L43</f>
        <v>8865</v>
      </c>
      <c r="F45" s="102">
        <f t="shared" ca="1" si="4"/>
        <v>8865</v>
      </c>
      <c r="G45" s="92">
        <f t="shared" ca="1" si="5"/>
        <v>78588225</v>
      </c>
      <c r="H45" s="84"/>
      <c r="I45" s="84"/>
      <c r="J45" s="84"/>
      <c r="K45" s="84"/>
      <c r="L45" s="84"/>
      <c r="M45" s="90">
        <f ca="1">+'Hoja de cronometraje'!N43</f>
        <v>100</v>
      </c>
      <c r="N45" s="102">
        <f ca="1">+'Hoja de cronometraje'!O43</f>
        <v>18684</v>
      </c>
      <c r="O45" s="102">
        <f t="shared" ca="1" si="6"/>
        <v>18684</v>
      </c>
      <c r="P45" s="92">
        <f t="shared" ca="1" si="7"/>
        <v>349091856</v>
      </c>
      <c r="Q45" s="84"/>
    </row>
    <row r="46" spans="4:19" ht="15.6" x14ac:dyDescent="0.3">
      <c r="D46" s="90">
        <f ca="1">+'Hoja de cronometraje'!K44</f>
        <v>95</v>
      </c>
      <c r="E46" s="102">
        <f ca="1">+'Hoja de cronometraje'!L44</f>
        <v>9341</v>
      </c>
      <c r="F46" s="102">
        <f t="shared" ca="1" si="4"/>
        <v>8873.9500000000007</v>
      </c>
      <c r="G46" s="92">
        <f t="shared" ca="1" si="5"/>
        <v>78746988.602500007</v>
      </c>
      <c r="H46" s="84"/>
      <c r="I46" s="84"/>
      <c r="J46" s="84"/>
      <c r="K46" s="84"/>
      <c r="L46" s="84"/>
      <c r="M46" s="90">
        <f ca="1">+'Hoja de cronometraje'!N44</f>
        <v>85</v>
      </c>
      <c r="N46" s="102">
        <f ca="1">+'Hoja de cronometraje'!O44</f>
        <v>20374</v>
      </c>
      <c r="O46" s="102">
        <f t="shared" ca="1" si="6"/>
        <v>17317.900000000001</v>
      </c>
      <c r="P46" s="92">
        <f t="shared" ca="1" si="7"/>
        <v>299909660.41000003</v>
      </c>
      <c r="Q46" s="84"/>
    </row>
    <row r="47" spans="4:19" ht="15.6" x14ac:dyDescent="0.3">
      <c r="D47" s="90">
        <f ca="1">+'Hoja de cronometraje'!K45</f>
        <v>100</v>
      </c>
      <c r="E47" s="102">
        <f ca="1">+'Hoja de cronometraje'!L45</f>
        <v>8674</v>
      </c>
      <c r="F47" s="102">
        <f t="shared" ca="1" si="4"/>
        <v>8674</v>
      </c>
      <c r="G47" s="92">
        <f t="shared" ca="1" si="5"/>
        <v>75238276</v>
      </c>
      <c r="H47" s="84"/>
      <c r="I47" s="84"/>
      <c r="J47" s="84"/>
      <c r="K47" s="84"/>
      <c r="L47" s="84"/>
      <c r="M47" s="90">
        <f ca="1">+'Hoja de cronometraje'!N45</f>
        <v>85</v>
      </c>
      <c r="N47" s="102">
        <f ca="1">+'Hoja de cronometraje'!O45</f>
        <v>18633</v>
      </c>
      <c r="O47" s="102">
        <f t="shared" ca="1" si="6"/>
        <v>15838.05</v>
      </c>
      <c r="P47" s="92">
        <f t="shared" ca="1" si="7"/>
        <v>250843827.80249998</v>
      </c>
      <c r="Q47" s="84"/>
    </row>
    <row r="48" spans="4:19" ht="15.6" x14ac:dyDescent="0.3">
      <c r="D48" s="90">
        <f ca="1">+'Hoja de cronometraje'!K46</f>
        <v>100</v>
      </c>
      <c r="E48" s="102">
        <f ca="1">+'Hoja de cronometraje'!L46</f>
        <v>8810</v>
      </c>
      <c r="F48" s="102">
        <f t="shared" ca="1" si="4"/>
        <v>8810</v>
      </c>
      <c r="G48" s="92">
        <f t="shared" ca="1" si="5"/>
        <v>77616100</v>
      </c>
      <c r="H48" s="84"/>
      <c r="I48" s="84"/>
      <c r="J48" s="84"/>
      <c r="K48" s="84"/>
      <c r="L48" s="84"/>
      <c r="M48" s="90">
        <f ca="1">+'Hoja de cronometraje'!N46</f>
        <v>90</v>
      </c>
      <c r="N48" s="102">
        <f ca="1">+'Hoja de cronometraje'!O46</f>
        <v>19939</v>
      </c>
      <c r="O48" s="102">
        <f t="shared" ca="1" si="6"/>
        <v>17945.099999999999</v>
      </c>
      <c r="P48" s="92">
        <f t="shared" ca="1" si="7"/>
        <v>322026614.00999993</v>
      </c>
      <c r="Q48" s="84"/>
    </row>
    <row r="49" spans="4:17" ht="15.6" x14ac:dyDescent="0.3">
      <c r="D49" s="90">
        <f ca="1">+'Hoja de cronometraje'!K47</f>
        <v>85</v>
      </c>
      <c r="E49" s="102">
        <f ca="1">+'Hoja de cronometraje'!L47</f>
        <v>9312</v>
      </c>
      <c r="F49" s="102">
        <f t="shared" ca="1" si="4"/>
        <v>7915.2</v>
      </c>
      <c r="G49" s="92">
        <f t="shared" ca="1" si="5"/>
        <v>62650391.039999999</v>
      </c>
      <c r="H49" s="84"/>
      <c r="I49" s="84"/>
      <c r="J49" s="84"/>
      <c r="K49" s="84"/>
      <c r="L49" s="84"/>
      <c r="M49" s="90">
        <f ca="1">+'Hoja de cronometraje'!N47</f>
        <v>85</v>
      </c>
      <c r="N49" s="102">
        <f ca="1">+'Hoja de cronometraje'!O47</f>
        <v>19817</v>
      </c>
      <c r="O49" s="102">
        <f t="shared" ca="1" si="6"/>
        <v>16844.45</v>
      </c>
      <c r="P49" s="92">
        <f t="shared" ca="1" si="7"/>
        <v>283735495.80250001</v>
      </c>
      <c r="Q49" s="84"/>
    </row>
    <row r="50" spans="4:17" ht="15.6" x14ac:dyDescent="0.3">
      <c r="D50" s="90">
        <f ca="1">+'Hoja de cronometraje'!K48</f>
        <v>105</v>
      </c>
      <c r="E50" s="102">
        <f ca="1">+'Hoja de cronometraje'!L48</f>
        <v>8998</v>
      </c>
      <c r="F50" s="102">
        <f t="shared" ca="1" si="4"/>
        <v>9447.9</v>
      </c>
      <c r="G50" s="92">
        <f t="shared" ca="1" si="5"/>
        <v>89262814.409999996</v>
      </c>
      <c r="H50" s="84"/>
      <c r="I50" s="84"/>
      <c r="J50" s="84"/>
      <c r="K50" s="84"/>
      <c r="L50" s="84"/>
      <c r="M50" s="90">
        <f ca="1">+'Hoja de cronometraje'!N48</f>
        <v>100</v>
      </c>
      <c r="N50" s="102">
        <f ca="1">+'Hoja de cronometraje'!O48</f>
        <v>19149</v>
      </c>
      <c r="O50" s="102">
        <f t="shared" ca="1" si="6"/>
        <v>19149</v>
      </c>
      <c r="P50" s="92">
        <f t="shared" ca="1" si="7"/>
        <v>366684201</v>
      </c>
      <c r="Q50" s="84"/>
    </row>
    <row r="51" spans="4:17" ht="15.6" x14ac:dyDescent="0.3">
      <c r="D51" s="90">
        <f ca="1">+'Hoja de cronometraje'!K49</f>
        <v>85</v>
      </c>
      <c r="E51" s="102">
        <f ca="1">+'Hoja de cronometraje'!L49</f>
        <v>8838</v>
      </c>
      <c r="F51" s="102">
        <f t="shared" ca="1" si="4"/>
        <v>7512.3</v>
      </c>
      <c r="G51" s="92">
        <f t="shared" ca="1" si="5"/>
        <v>56434651.289999999</v>
      </c>
      <c r="H51" s="84"/>
      <c r="I51" s="84"/>
      <c r="J51" s="84"/>
      <c r="K51" s="84"/>
      <c r="L51" s="84"/>
      <c r="M51" s="90">
        <f ca="1">+'Hoja de cronometraje'!N49</f>
        <v>90</v>
      </c>
      <c r="N51" s="102">
        <f ca="1">+'Hoja de cronometraje'!O49</f>
        <v>19440</v>
      </c>
      <c r="O51" s="102">
        <f t="shared" ca="1" si="6"/>
        <v>17496</v>
      </c>
      <c r="P51" s="92">
        <f t="shared" ca="1" si="7"/>
        <v>306110016</v>
      </c>
      <c r="Q51" s="84"/>
    </row>
    <row r="52" spans="4:17" ht="15.6" x14ac:dyDescent="0.3">
      <c r="D52" s="90">
        <f ca="1">+'Hoja de cronometraje'!K50</f>
        <v>90</v>
      </c>
      <c r="E52" s="102">
        <f ca="1">+'Hoja de cronometraje'!L50</f>
        <v>8618</v>
      </c>
      <c r="F52" s="102">
        <f t="shared" ca="1" si="4"/>
        <v>7756.2</v>
      </c>
      <c r="G52" s="92">
        <f t="shared" ca="1" si="5"/>
        <v>60158638.439999998</v>
      </c>
      <c r="H52" s="84"/>
      <c r="I52" s="84"/>
      <c r="J52" s="84"/>
      <c r="K52" s="84"/>
      <c r="L52" s="84"/>
      <c r="M52" s="90">
        <f ca="1">+'Hoja de cronometraje'!N50</f>
        <v>90</v>
      </c>
      <c r="N52" s="102">
        <f ca="1">+'Hoja de cronometraje'!O50</f>
        <v>18740</v>
      </c>
      <c r="O52" s="102">
        <f t="shared" ca="1" si="6"/>
        <v>16866</v>
      </c>
      <c r="P52" s="92">
        <f t="shared" ca="1" si="7"/>
        <v>284461956</v>
      </c>
      <c r="Q52" s="84"/>
    </row>
    <row r="53" spans="4:17" ht="15.6" x14ac:dyDescent="0.3">
      <c r="D53" s="93">
        <f ca="1">+'Hoja de cronometraje'!K51</f>
        <v>95</v>
      </c>
      <c r="E53" s="103">
        <f ca="1">+'Hoja de cronometraje'!L51</f>
        <v>9157</v>
      </c>
      <c r="F53" s="103">
        <f t="shared" ca="1" si="4"/>
        <v>8699.15</v>
      </c>
      <c r="G53" s="94">
        <f t="shared" ca="1" si="5"/>
        <v>75675210.722499996</v>
      </c>
      <c r="H53" s="84"/>
      <c r="I53" s="84"/>
      <c r="J53" s="84"/>
      <c r="K53" s="84"/>
      <c r="L53" s="84"/>
      <c r="M53" s="93">
        <f ca="1">+'Hoja de cronometraje'!N51</f>
        <v>85</v>
      </c>
      <c r="N53" s="103">
        <f ca="1">+'Hoja de cronometraje'!O51</f>
        <v>20371</v>
      </c>
      <c r="O53" s="103">
        <f t="shared" ca="1" si="6"/>
        <v>17315.349999999999</v>
      </c>
      <c r="P53" s="94">
        <f t="shared" ca="1" si="7"/>
        <v>299821345.62249994</v>
      </c>
      <c r="Q53" s="84"/>
    </row>
    <row r="54" spans="4:17" ht="15.6" x14ac:dyDescent="0.3">
      <c r="D54" s="95" t="s">
        <v>98</v>
      </c>
      <c r="E54" s="80"/>
      <c r="F54" s="81">
        <f ca="1">SUM(F34:F53)</f>
        <v>172311.6</v>
      </c>
      <c r="G54" s="89">
        <f ca="1">SUM(G34:G53)</f>
        <v>1489787265.8500001</v>
      </c>
      <c r="H54" s="84"/>
      <c r="I54" s="84"/>
      <c r="J54" s="84"/>
      <c r="K54" s="84"/>
      <c r="L54" s="84"/>
      <c r="M54" s="95" t="s">
        <v>98</v>
      </c>
      <c r="N54" s="80"/>
      <c r="O54" s="81">
        <f ca="1">SUM(O34:O53)</f>
        <v>351430.75</v>
      </c>
      <c r="P54" s="89">
        <f ca="1">SUM(P34:P53)</f>
        <v>6190104586.6924992</v>
      </c>
      <c r="Q54" s="84"/>
    </row>
    <row r="55" spans="4:17" ht="15.6" x14ac:dyDescent="0.3">
      <c r="D55" s="96" t="s">
        <v>100</v>
      </c>
      <c r="E55" s="88"/>
      <c r="F55" s="81">
        <f ca="1">+J40</f>
        <v>6</v>
      </c>
      <c r="G55" s="97" t="s">
        <v>99</v>
      </c>
      <c r="H55" s="84"/>
      <c r="I55" s="84"/>
      <c r="J55" s="84"/>
      <c r="K55" s="84"/>
      <c r="L55" s="84"/>
      <c r="M55" s="96" t="s">
        <v>100</v>
      </c>
      <c r="N55" s="88"/>
      <c r="O55" s="81">
        <f ca="1">+S40</f>
        <v>4</v>
      </c>
      <c r="P55" s="97" t="s">
        <v>99</v>
      </c>
      <c r="Q55" s="84"/>
    </row>
    <row r="56" spans="4:17" ht="15.6" x14ac:dyDescent="0.3"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</row>
    <row r="57" spans="4:17" ht="15.6" x14ac:dyDescent="0.3"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</row>
    <row r="58" spans="4:17" ht="15.6" x14ac:dyDescent="0.3"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</row>
  </sheetData>
  <mergeCells count="12">
    <mergeCell ref="D26:E26"/>
    <mergeCell ref="D27:E27"/>
    <mergeCell ref="D54:E54"/>
    <mergeCell ref="D55:E55"/>
    <mergeCell ref="P2:Q2"/>
    <mergeCell ref="P30:Q30"/>
    <mergeCell ref="M26:N26"/>
    <mergeCell ref="M27:N27"/>
    <mergeCell ref="M54:N54"/>
    <mergeCell ref="M55:N55"/>
    <mergeCell ref="G2:H2"/>
    <mergeCell ref="G30:H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R162"/>
  <sheetViews>
    <sheetView topLeftCell="A134" zoomScaleNormal="100" workbookViewId="0">
      <selection activeCell="N154" sqref="N154"/>
    </sheetView>
  </sheetViews>
  <sheetFormatPr baseColWidth="10" defaultRowHeight="14.4" x14ac:dyDescent="0.3"/>
  <cols>
    <col min="4" max="4" width="13.44140625" bestFit="1" customWidth="1"/>
  </cols>
  <sheetData>
    <row r="1" spans="1:16" x14ac:dyDescent="0.3">
      <c r="C1" s="16"/>
      <c r="D1" s="16"/>
      <c r="E1" s="16"/>
      <c r="F1" s="16"/>
      <c r="G1" s="16"/>
    </row>
    <row r="2" spans="1:16" x14ac:dyDescent="0.3">
      <c r="C2" s="16"/>
      <c r="D2" s="16"/>
      <c r="E2" s="16"/>
      <c r="F2" s="16"/>
      <c r="G2" s="16"/>
    </row>
    <row r="3" spans="1:16" x14ac:dyDescent="0.3">
      <c r="C3" s="16"/>
      <c r="D3" s="16"/>
      <c r="E3" s="52" t="str">
        <f>+'N° de Obs.'!G2</f>
        <v>Elemento D</v>
      </c>
      <c r="F3" s="53"/>
      <c r="G3" s="16"/>
    </row>
    <row r="4" spans="1:16" ht="15.6" x14ac:dyDescent="0.3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</row>
    <row r="5" spans="1:16" ht="15.6" x14ac:dyDescent="0.3">
      <c r="A5" s="78"/>
      <c r="B5" s="79"/>
      <c r="C5" s="79"/>
      <c r="D5" s="79"/>
      <c r="E5" s="79"/>
      <c r="F5" s="79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ht="15.6" x14ac:dyDescent="0.3">
      <c r="A6" s="78"/>
      <c r="B6" s="105" t="s">
        <v>26</v>
      </c>
      <c r="C6" s="106" t="s">
        <v>101</v>
      </c>
      <c r="D6" s="112" t="s">
        <v>102</v>
      </c>
      <c r="E6" s="106" t="s">
        <v>27</v>
      </c>
      <c r="F6" s="107" t="s">
        <v>103</v>
      </c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 ht="15.6" x14ac:dyDescent="0.3">
      <c r="A7" s="78"/>
      <c r="B7" s="90">
        <f ca="1">+'N° de Obs.'!D6</f>
        <v>100</v>
      </c>
      <c r="C7" s="102">
        <f ca="1">+'N° de Obs.'!E6</f>
        <v>13858</v>
      </c>
      <c r="D7" s="91">
        <f ca="1">+ROUND($B$29*$C$29/C7,2)</f>
        <v>94.44</v>
      </c>
      <c r="E7" s="102">
        <f ca="1">+J7</f>
        <v>95</v>
      </c>
      <c r="F7" s="92">
        <f ca="1">+B7-E7</f>
        <v>5</v>
      </c>
      <c r="G7" s="78"/>
      <c r="H7" s="78">
        <f ca="1">+ROUND(D7,1)</f>
        <v>94.4</v>
      </c>
      <c r="I7" s="111" t="str">
        <f ca="1">+RIGHT(H7*10,2)</f>
        <v>44</v>
      </c>
      <c r="J7" s="78" cm="1">
        <f t="array" aca="1" ref="J7" ca="1">+_xlfn.IFS(AND(I7&gt;="0",I7&lt;"25"),H7-(I7/10),AND(I7&gt;="25",I7&lt;"50"),H7+(5-(I7/10)),AND(I7&gt;="50",I7&lt;"75"),H7-((I7-50)/10),I7&gt;="75",H7+(10-(I7/10)))</f>
        <v>95</v>
      </c>
      <c r="K7" s="78">
        <f ca="1">+ABS(F7)</f>
        <v>5</v>
      </c>
      <c r="L7" s="78"/>
      <c r="M7" s="78"/>
      <c r="N7" s="78"/>
      <c r="O7" s="78"/>
      <c r="P7" s="78"/>
    </row>
    <row r="8" spans="1:16" ht="15.6" x14ac:dyDescent="0.3">
      <c r="A8" s="78"/>
      <c r="B8" s="90">
        <f ca="1">+'N° de Obs.'!D7</f>
        <v>105</v>
      </c>
      <c r="C8" s="102">
        <f ca="1">+'N° de Obs.'!E7</f>
        <v>14334</v>
      </c>
      <c r="D8" s="91">
        <f t="shared" ref="D8:D26" ca="1" si="0">+ROUND($B$29*$C$29/C8,2)</f>
        <v>91.3</v>
      </c>
      <c r="E8" s="102">
        <f t="shared" ref="E8:E26" ca="1" si="1">+J8</f>
        <v>90</v>
      </c>
      <c r="F8" s="92">
        <f t="shared" ref="F8:F26" ca="1" si="2">+B8-E8</f>
        <v>15</v>
      </c>
      <c r="G8" s="78"/>
      <c r="H8" s="78">
        <f t="shared" ref="H8:H26" ca="1" si="3">+ROUND(D8,1)</f>
        <v>91.3</v>
      </c>
      <c r="I8" s="111" t="str">
        <f t="shared" ref="I8:I26" ca="1" si="4">+RIGHT(H8*10,2)</f>
        <v>13</v>
      </c>
      <c r="J8" s="78" cm="1">
        <f t="array" aca="1" ref="J8" ca="1">+_xlfn.IFS(AND(I8&gt;="0",I8&lt;"25"),H8-(I8/10),AND(I8&gt;="25",I8&lt;"50"),H8+(5-(I8/10)),AND(I8&gt;="50",I8&lt;"75"),H8-((I8-50)/10),I8&gt;="75",H8+(10-(I8/10)))</f>
        <v>90</v>
      </c>
      <c r="K8" s="78">
        <f t="shared" ref="K8:K26" ca="1" si="5">+ABS(F8)</f>
        <v>15</v>
      </c>
      <c r="L8" s="78"/>
      <c r="M8" s="78"/>
      <c r="N8" s="78"/>
      <c r="O8" s="78"/>
      <c r="P8" s="78"/>
    </row>
    <row r="9" spans="1:16" ht="15.6" x14ac:dyDescent="0.3">
      <c r="A9" s="78"/>
      <c r="B9" s="90">
        <f ca="1">+'N° de Obs.'!D8</f>
        <v>100</v>
      </c>
      <c r="C9" s="102">
        <f ca="1">+'N° de Obs.'!E8</f>
        <v>13194</v>
      </c>
      <c r="D9" s="91">
        <f t="shared" ca="1" si="0"/>
        <v>99.19</v>
      </c>
      <c r="E9" s="102">
        <f t="shared" ca="1" si="1"/>
        <v>100</v>
      </c>
      <c r="F9" s="92">
        <f t="shared" ca="1" si="2"/>
        <v>0</v>
      </c>
      <c r="G9" s="78"/>
      <c r="H9" s="78">
        <f t="shared" ca="1" si="3"/>
        <v>99.2</v>
      </c>
      <c r="I9" s="111" t="str">
        <f t="shared" ca="1" si="4"/>
        <v>92</v>
      </c>
      <c r="J9" s="78" cm="1">
        <f t="array" aca="1" ref="J9" ca="1">+_xlfn.IFS(AND(I9&gt;="0",I9&lt;"25"),H9-(I9/10),AND(I9&gt;="25",I9&lt;"50"),H9+(5-(I9/10)),AND(I9&gt;="50",I9&lt;"75"),H9-((I9-50)/10),I9&gt;="75",H9+(10-(I9/10)))</f>
        <v>100</v>
      </c>
      <c r="K9" s="78">
        <f t="shared" ca="1" si="5"/>
        <v>0</v>
      </c>
      <c r="L9" s="78"/>
      <c r="M9" s="78"/>
      <c r="N9" s="78"/>
      <c r="O9" s="78"/>
      <c r="P9" s="78"/>
    </row>
    <row r="10" spans="1:16" ht="15.6" x14ac:dyDescent="0.3">
      <c r="A10" s="78"/>
      <c r="B10" s="90">
        <f ca="1">+'N° de Obs.'!D9</f>
        <v>95</v>
      </c>
      <c r="C10" s="102">
        <f ca="1">+'N° de Obs.'!E9</f>
        <v>13138</v>
      </c>
      <c r="D10" s="91">
        <f t="shared" ca="1" si="0"/>
        <v>99.61</v>
      </c>
      <c r="E10" s="102">
        <f t="shared" ca="1" si="1"/>
        <v>100</v>
      </c>
      <c r="F10" s="92">
        <f t="shared" ca="1" si="2"/>
        <v>-5</v>
      </c>
      <c r="G10" s="78"/>
      <c r="H10" s="78">
        <f t="shared" ca="1" si="3"/>
        <v>99.6</v>
      </c>
      <c r="I10" s="111" t="str">
        <f t="shared" ca="1" si="4"/>
        <v>96</v>
      </c>
      <c r="J10" s="78" cm="1">
        <f t="array" aca="1" ref="J10" ca="1">+_xlfn.IFS(AND(I10&gt;="0",I10&lt;"25"),H10-(I10/10),AND(I10&gt;="25",I10&lt;"50"),H10+(5-(I10/10)),AND(I10&gt;="50",I10&lt;"75"),H10-((I10-50)/10),I10&gt;="75",H10+(10-(I10/10)))</f>
        <v>100</v>
      </c>
      <c r="K10" s="78">
        <f t="shared" ca="1" si="5"/>
        <v>5</v>
      </c>
      <c r="L10" s="78"/>
      <c r="M10" s="78"/>
      <c r="N10" s="78"/>
      <c r="O10" s="78"/>
      <c r="P10" s="78"/>
    </row>
    <row r="11" spans="1:16" ht="15.6" x14ac:dyDescent="0.3">
      <c r="A11" s="78"/>
      <c r="B11" s="90">
        <f ca="1">+'N° de Obs.'!D10</f>
        <v>85</v>
      </c>
      <c r="C11" s="102">
        <f ca="1">+'N° de Obs.'!E10</f>
        <v>14560</v>
      </c>
      <c r="D11" s="91">
        <f t="shared" ca="1" si="0"/>
        <v>89.88</v>
      </c>
      <c r="E11" s="102">
        <f t="shared" ca="1" si="1"/>
        <v>90</v>
      </c>
      <c r="F11" s="92">
        <f t="shared" ca="1" si="2"/>
        <v>-5</v>
      </c>
      <c r="G11" s="78"/>
      <c r="H11" s="78">
        <f t="shared" ca="1" si="3"/>
        <v>89.9</v>
      </c>
      <c r="I11" s="111" t="str">
        <f t="shared" ca="1" si="4"/>
        <v>99</v>
      </c>
      <c r="J11" s="78" cm="1">
        <f t="array" aca="1" ref="J11" ca="1">+_xlfn.IFS(AND(I11&gt;="0",I11&lt;"25"),H11-(I11/10),AND(I11&gt;="25",I11&lt;"50"),H11+(5-(I11/10)),AND(I11&gt;="50",I11&lt;"75"),H11-((I11-50)/10),I11&gt;="75",H11+(10-(I11/10)))</f>
        <v>90</v>
      </c>
      <c r="K11" s="78">
        <f t="shared" ca="1" si="5"/>
        <v>5</v>
      </c>
      <c r="L11" s="78"/>
      <c r="M11" s="78"/>
      <c r="N11" s="78"/>
      <c r="O11" s="78"/>
      <c r="P11" s="78"/>
    </row>
    <row r="12" spans="1:16" ht="15.6" x14ac:dyDescent="0.3">
      <c r="A12" s="78"/>
      <c r="B12" s="90">
        <f ca="1">+'N° de Obs.'!D11</f>
        <v>95</v>
      </c>
      <c r="C12" s="102">
        <f ca="1">+'N° de Obs.'!E11</f>
        <v>13858</v>
      </c>
      <c r="D12" s="91">
        <f t="shared" ca="1" si="0"/>
        <v>94.44</v>
      </c>
      <c r="E12" s="102">
        <f t="shared" ca="1" si="1"/>
        <v>95</v>
      </c>
      <c r="F12" s="92">
        <f t="shared" ca="1" si="2"/>
        <v>0</v>
      </c>
      <c r="G12" s="78"/>
      <c r="H12" s="78">
        <f t="shared" ca="1" si="3"/>
        <v>94.4</v>
      </c>
      <c r="I12" s="111" t="str">
        <f t="shared" ca="1" si="4"/>
        <v>44</v>
      </c>
      <c r="J12" s="78" cm="1">
        <f t="array" aca="1" ref="J12" ca="1">+_xlfn.IFS(AND(I12&gt;="0",I12&lt;"25"),H12-(I12/10),AND(I12&gt;="25",I12&lt;"50"),H12+(5-(I12/10)),AND(I12&gt;="50",I12&lt;"75"),H12-((I12-50)/10),I12&gt;="75",H12+(10-(I12/10)))</f>
        <v>95</v>
      </c>
      <c r="K12" s="78">
        <f t="shared" ca="1" si="5"/>
        <v>0</v>
      </c>
      <c r="L12" s="78"/>
      <c r="M12" s="78"/>
      <c r="N12" s="78"/>
      <c r="O12" s="78"/>
      <c r="P12" s="78"/>
    </row>
    <row r="13" spans="1:16" ht="15.6" x14ac:dyDescent="0.3">
      <c r="A13" s="78"/>
      <c r="B13" s="90">
        <f ca="1">+'N° de Obs.'!D12</f>
        <v>90</v>
      </c>
      <c r="C13" s="102">
        <f ca="1">+'N° de Obs.'!E12</f>
        <v>14538</v>
      </c>
      <c r="D13" s="91">
        <f t="shared" ca="1" si="0"/>
        <v>90.02</v>
      </c>
      <c r="E13" s="102">
        <f t="shared" ca="1" si="1"/>
        <v>90</v>
      </c>
      <c r="F13" s="92">
        <f t="shared" ca="1" si="2"/>
        <v>0</v>
      </c>
      <c r="G13" s="78"/>
      <c r="H13" s="78">
        <f t="shared" ca="1" si="3"/>
        <v>90</v>
      </c>
      <c r="I13" s="111" t="str">
        <f t="shared" ca="1" si="4"/>
        <v>00</v>
      </c>
      <c r="J13" s="78" cm="1">
        <f t="array" aca="1" ref="J13" ca="1">+_xlfn.IFS(AND(I13&gt;="0",I13&lt;"25"),H13-(I13/10),AND(I13&gt;="25",I13&lt;"50"),H13+(5-(I13/10)),AND(I13&gt;="50",I13&lt;"75"),H13-((I13-50)/10),I13&gt;="75",H13+(10-(I13/10)))</f>
        <v>90</v>
      </c>
      <c r="K13" s="78">
        <f t="shared" ca="1" si="5"/>
        <v>0</v>
      </c>
      <c r="L13" s="78"/>
      <c r="M13" s="78"/>
      <c r="N13" s="78"/>
      <c r="O13" s="78"/>
      <c r="P13" s="78"/>
    </row>
    <row r="14" spans="1:16" ht="15.6" x14ac:dyDescent="0.3">
      <c r="A14" s="78"/>
      <c r="B14" s="90">
        <f ca="1">+'N° de Obs.'!D13</f>
        <v>85</v>
      </c>
      <c r="C14" s="102">
        <f ca="1">+'N° de Obs.'!E13</f>
        <v>14455</v>
      </c>
      <c r="D14" s="91">
        <f t="shared" ca="1" si="0"/>
        <v>90.54</v>
      </c>
      <c r="E14" s="102">
        <f t="shared" ca="1" si="1"/>
        <v>90</v>
      </c>
      <c r="F14" s="92">
        <f t="shared" ca="1" si="2"/>
        <v>-5</v>
      </c>
      <c r="G14" s="78"/>
      <c r="H14" s="78">
        <f t="shared" ca="1" si="3"/>
        <v>90.5</v>
      </c>
      <c r="I14" s="111" t="str">
        <f t="shared" ca="1" si="4"/>
        <v>05</v>
      </c>
      <c r="J14" s="78" cm="1">
        <f t="array" aca="1" ref="J14" ca="1">+_xlfn.IFS(AND(I14&gt;="0",I14&lt;"25"),H14-(I14/10),AND(I14&gt;="25",I14&lt;"50"),H14+(5-(I14/10)),AND(I14&gt;="50",I14&lt;"75"),H14-((I14-50)/10),I14&gt;="75",H14+(10-(I14/10)))</f>
        <v>90</v>
      </c>
      <c r="K14" s="78">
        <f t="shared" ca="1" si="5"/>
        <v>5</v>
      </c>
      <c r="L14" s="78"/>
      <c r="M14" s="78"/>
      <c r="N14" s="78"/>
      <c r="O14" s="78"/>
      <c r="P14" s="78"/>
    </row>
    <row r="15" spans="1:16" ht="15.6" x14ac:dyDescent="0.3">
      <c r="A15" s="78"/>
      <c r="B15" s="90">
        <f ca="1">+'N° de Obs.'!D14</f>
        <v>100</v>
      </c>
      <c r="C15" s="102">
        <f ca="1">+'N° de Obs.'!E14</f>
        <v>13731</v>
      </c>
      <c r="D15" s="91">
        <f t="shared" ca="1" si="0"/>
        <v>95.31</v>
      </c>
      <c r="E15" s="102">
        <f t="shared" ca="1" si="1"/>
        <v>95</v>
      </c>
      <c r="F15" s="92">
        <f t="shared" ca="1" si="2"/>
        <v>5</v>
      </c>
      <c r="G15" s="78"/>
      <c r="H15" s="78">
        <f t="shared" ca="1" si="3"/>
        <v>95.3</v>
      </c>
      <c r="I15" s="111" t="str">
        <f t="shared" ca="1" si="4"/>
        <v>53</v>
      </c>
      <c r="J15" s="78" cm="1">
        <f t="array" aca="1" ref="J15" ca="1">+_xlfn.IFS(AND(I15&gt;="0",I15&lt;"25"),H15-(I15/10),AND(I15&gt;="25",I15&lt;"50"),H15+(5-(I15/10)),AND(I15&gt;="50",I15&lt;"75"),H15-((I15-50)/10),I15&gt;="75",H15+(10-(I15/10)))</f>
        <v>95</v>
      </c>
      <c r="K15" s="78">
        <f t="shared" ca="1" si="5"/>
        <v>5</v>
      </c>
      <c r="L15" s="78"/>
      <c r="M15" s="78"/>
      <c r="N15" s="78"/>
      <c r="O15" s="78"/>
      <c r="P15" s="78"/>
    </row>
    <row r="16" spans="1:16" ht="15.6" x14ac:dyDescent="0.3">
      <c r="A16" s="78"/>
      <c r="B16" s="90">
        <f ca="1">+'N° de Obs.'!D15</f>
        <v>95</v>
      </c>
      <c r="C16" s="102">
        <f ca="1">+'N° de Obs.'!E15</f>
        <v>13457</v>
      </c>
      <c r="D16" s="91">
        <f t="shared" ca="1" si="0"/>
        <v>97.25</v>
      </c>
      <c r="E16" s="102">
        <f t="shared" ca="1" si="1"/>
        <v>95</v>
      </c>
      <c r="F16" s="92">
        <f t="shared" ca="1" si="2"/>
        <v>0</v>
      </c>
      <c r="G16" s="78"/>
      <c r="H16" s="78">
        <f t="shared" ca="1" si="3"/>
        <v>97.3</v>
      </c>
      <c r="I16" s="111" t="str">
        <f t="shared" ca="1" si="4"/>
        <v>73</v>
      </c>
      <c r="J16" s="78" cm="1">
        <f t="array" aca="1" ref="J16" ca="1">+_xlfn.IFS(AND(I16&gt;="0",I16&lt;"25"),H16-(I16/10),AND(I16&gt;="25",I16&lt;"50"),H16+(5-(I16/10)),AND(I16&gt;="50",I16&lt;"75"),H16-((I16-50)/10),I16&gt;="75",H16+(10-(I16/10)))</f>
        <v>95</v>
      </c>
      <c r="K16" s="78">
        <f t="shared" ca="1" si="5"/>
        <v>0</v>
      </c>
      <c r="L16" s="78"/>
      <c r="M16" s="78"/>
      <c r="N16" s="78"/>
      <c r="O16" s="78"/>
      <c r="P16" s="78"/>
    </row>
    <row r="17" spans="1:16" ht="15.6" x14ac:dyDescent="0.3">
      <c r="A17" s="78"/>
      <c r="B17" s="90">
        <f ca="1">+'N° de Obs.'!D16</f>
        <v>95</v>
      </c>
      <c r="C17" s="102">
        <f ca="1">+'N° de Obs.'!E16</f>
        <v>13182</v>
      </c>
      <c r="D17" s="91">
        <f t="shared" ca="1" si="0"/>
        <v>99.28</v>
      </c>
      <c r="E17" s="102">
        <f t="shared" ca="1" si="1"/>
        <v>100</v>
      </c>
      <c r="F17" s="92">
        <f t="shared" ca="1" si="2"/>
        <v>-5</v>
      </c>
      <c r="G17" s="78"/>
      <c r="H17" s="78">
        <f t="shared" ca="1" si="3"/>
        <v>99.3</v>
      </c>
      <c r="I17" s="111" t="str">
        <f t="shared" ca="1" si="4"/>
        <v>93</v>
      </c>
      <c r="J17" s="78" cm="1">
        <f t="array" aca="1" ref="J17" ca="1">+_xlfn.IFS(AND(I17&gt;="0",I17&lt;"25"),H17-(I17/10),AND(I17&gt;="25",I17&lt;"50"),H17+(5-(I17/10)),AND(I17&gt;="50",I17&lt;"75"),H17-((I17-50)/10),I17&gt;="75",H17+(10-(I17/10)))</f>
        <v>100</v>
      </c>
      <c r="K17" s="78">
        <f t="shared" ca="1" si="5"/>
        <v>5</v>
      </c>
      <c r="L17" s="78"/>
      <c r="M17" s="78"/>
      <c r="N17" s="78"/>
      <c r="O17" s="78"/>
      <c r="P17" s="78"/>
    </row>
    <row r="18" spans="1:16" ht="15.6" x14ac:dyDescent="0.3">
      <c r="A18" s="78"/>
      <c r="B18" s="90">
        <f ca="1">+'N° de Obs.'!D17</f>
        <v>90</v>
      </c>
      <c r="C18" s="102">
        <f ca="1">+'N° de Obs.'!E17</f>
        <v>13894</v>
      </c>
      <c r="D18" s="91">
        <f t="shared" ca="1" si="0"/>
        <v>94.19</v>
      </c>
      <c r="E18" s="102">
        <f t="shared" ca="1" si="1"/>
        <v>95</v>
      </c>
      <c r="F18" s="92">
        <f t="shared" ca="1" si="2"/>
        <v>-5</v>
      </c>
      <c r="G18" s="78"/>
      <c r="H18" s="78">
        <f t="shared" ca="1" si="3"/>
        <v>94.2</v>
      </c>
      <c r="I18" s="111" t="str">
        <f t="shared" ca="1" si="4"/>
        <v>42</v>
      </c>
      <c r="J18" s="78" cm="1">
        <f t="array" aca="1" ref="J18" ca="1">+_xlfn.IFS(AND(I18&gt;="0",I18&lt;"25"),H18-(I18/10),AND(I18&gt;="25",I18&lt;"50"),H18+(5-(I18/10)),AND(I18&gt;="50",I18&lt;"75"),H18-((I18-50)/10),I18&gt;="75",H18+(10-(I18/10)))</f>
        <v>95</v>
      </c>
      <c r="K18" s="78">
        <f t="shared" ca="1" si="5"/>
        <v>5</v>
      </c>
      <c r="L18" s="78"/>
      <c r="M18" s="78"/>
      <c r="N18" s="78"/>
      <c r="O18" s="78"/>
      <c r="P18" s="78"/>
    </row>
    <row r="19" spans="1:16" ht="15.6" x14ac:dyDescent="0.3">
      <c r="A19" s="78"/>
      <c r="B19" s="90">
        <f ca="1">+'N° de Obs.'!D18</f>
        <v>90</v>
      </c>
      <c r="C19" s="102">
        <f ca="1">+'N° de Obs.'!E18</f>
        <v>13503</v>
      </c>
      <c r="D19" s="91">
        <f t="shared" ca="1" si="0"/>
        <v>96.92</v>
      </c>
      <c r="E19" s="102">
        <f t="shared" ca="1" si="1"/>
        <v>95</v>
      </c>
      <c r="F19" s="92">
        <f t="shared" ca="1" si="2"/>
        <v>-5</v>
      </c>
      <c r="G19" s="78"/>
      <c r="H19" s="78">
        <f t="shared" ca="1" si="3"/>
        <v>96.9</v>
      </c>
      <c r="I19" s="111" t="str">
        <f t="shared" ca="1" si="4"/>
        <v>69</v>
      </c>
      <c r="J19" s="78" cm="1">
        <f t="array" aca="1" ref="J19" ca="1">+_xlfn.IFS(AND(I19&gt;="0",I19&lt;"25"),H19-(I19/10),AND(I19&gt;="25",I19&lt;"50"),H19+(5-(I19/10)),AND(I19&gt;="50",I19&lt;"75"),H19-((I19-50)/10),I19&gt;="75",H19+(10-(I19/10)))</f>
        <v>95</v>
      </c>
      <c r="K19" s="78">
        <f t="shared" ca="1" si="5"/>
        <v>5</v>
      </c>
      <c r="L19" s="78"/>
      <c r="M19" s="78"/>
      <c r="N19" s="78"/>
      <c r="O19" s="78"/>
      <c r="P19" s="78"/>
    </row>
    <row r="20" spans="1:16" ht="15.6" x14ac:dyDescent="0.3">
      <c r="A20" s="78"/>
      <c r="B20" s="90">
        <f ca="1">+'N° de Obs.'!D19</f>
        <v>90</v>
      </c>
      <c r="C20" s="102">
        <f ca="1">+'N° de Obs.'!E19</f>
        <v>14503</v>
      </c>
      <c r="D20" s="91">
        <f t="shared" ca="1" si="0"/>
        <v>90.24</v>
      </c>
      <c r="E20" s="102">
        <f t="shared" ca="1" si="1"/>
        <v>90</v>
      </c>
      <c r="F20" s="92">
        <f t="shared" ca="1" si="2"/>
        <v>0</v>
      </c>
      <c r="G20" s="78"/>
      <c r="H20" s="78">
        <f t="shared" ca="1" si="3"/>
        <v>90.2</v>
      </c>
      <c r="I20" s="111" t="str">
        <f t="shared" ca="1" si="4"/>
        <v>02</v>
      </c>
      <c r="J20" s="78" cm="1">
        <f t="array" aca="1" ref="J20" ca="1">+_xlfn.IFS(AND(I20&gt;="0",I20&lt;"25"),H20-(I20/10),AND(I20&gt;="25",I20&lt;"50"),H20+(5-(I20/10)),AND(I20&gt;="50",I20&lt;"75"),H20-((I20-50)/10),I20&gt;="75",H20+(10-(I20/10)))</f>
        <v>90</v>
      </c>
      <c r="K20" s="78">
        <f t="shared" ca="1" si="5"/>
        <v>0</v>
      </c>
      <c r="L20" s="78"/>
      <c r="M20" s="78"/>
      <c r="N20" s="78"/>
      <c r="O20" s="78"/>
      <c r="P20" s="78"/>
    </row>
    <row r="21" spans="1:16" ht="15.6" x14ac:dyDescent="0.3">
      <c r="A21" s="78"/>
      <c r="B21" s="90">
        <f ca="1">+'N° de Obs.'!D20</f>
        <v>95</v>
      </c>
      <c r="C21" s="102">
        <f ca="1">+'N° de Obs.'!E20</f>
        <v>13534</v>
      </c>
      <c r="D21" s="91">
        <f t="shared" ca="1" si="0"/>
        <v>96.7</v>
      </c>
      <c r="E21" s="102">
        <f t="shared" ca="1" si="1"/>
        <v>95</v>
      </c>
      <c r="F21" s="92">
        <f t="shared" ca="1" si="2"/>
        <v>0</v>
      </c>
      <c r="G21" s="78"/>
      <c r="H21" s="78">
        <f t="shared" ca="1" si="3"/>
        <v>96.7</v>
      </c>
      <c r="I21" s="111" t="str">
        <f t="shared" ca="1" si="4"/>
        <v>67</v>
      </c>
      <c r="J21" s="78" cm="1">
        <f t="array" aca="1" ref="J21" ca="1">+_xlfn.IFS(AND(I21&gt;="0",I21&lt;"25"),H21-(I21/10),AND(I21&gt;="25",I21&lt;"50"),H21+(5-(I21/10)),AND(I21&gt;="50",I21&lt;"75"),H21-((I21-50)/10),I21&gt;="75",H21+(10-(I21/10)))</f>
        <v>95</v>
      </c>
      <c r="K21" s="78">
        <f t="shared" ca="1" si="5"/>
        <v>0</v>
      </c>
      <c r="L21" s="78"/>
      <c r="M21" s="78"/>
      <c r="N21" s="78"/>
      <c r="O21" s="78"/>
      <c r="P21" s="78"/>
    </row>
    <row r="22" spans="1:16" ht="15.6" x14ac:dyDescent="0.3">
      <c r="A22" s="78"/>
      <c r="B22" s="90">
        <f ca="1">+'N° de Obs.'!D21</f>
        <v>85</v>
      </c>
      <c r="C22" s="102">
        <f ca="1">+'N° de Obs.'!E21</f>
        <v>14533</v>
      </c>
      <c r="D22" s="91">
        <f t="shared" ca="1" si="0"/>
        <v>90.05</v>
      </c>
      <c r="E22" s="102">
        <f t="shared" ca="1" si="1"/>
        <v>90</v>
      </c>
      <c r="F22" s="92">
        <f t="shared" ca="1" si="2"/>
        <v>-5</v>
      </c>
      <c r="G22" s="78"/>
      <c r="H22" s="78">
        <f t="shared" ca="1" si="3"/>
        <v>90.1</v>
      </c>
      <c r="I22" s="111" t="str">
        <f t="shared" ca="1" si="4"/>
        <v>01</v>
      </c>
      <c r="J22" s="78" cm="1">
        <f t="array" aca="1" ref="J22" ca="1">+_xlfn.IFS(AND(I22&gt;="0",I22&lt;"25"),H22-(I22/10),AND(I22&gt;="25",I22&lt;"50"),H22+(5-(I22/10)),AND(I22&gt;="50",I22&lt;"75"),H22-((I22-50)/10),I22&gt;="75",H22+(10-(I22/10)))</f>
        <v>90</v>
      </c>
      <c r="K22" s="78">
        <f t="shared" ca="1" si="5"/>
        <v>5</v>
      </c>
      <c r="L22" s="78"/>
      <c r="M22" s="78"/>
      <c r="N22" s="78"/>
      <c r="O22" s="78"/>
      <c r="P22" s="78"/>
    </row>
    <row r="23" spans="1:16" ht="15.6" x14ac:dyDescent="0.3">
      <c r="A23" s="78"/>
      <c r="B23" s="90">
        <f ca="1">+'N° de Obs.'!D22</f>
        <v>105</v>
      </c>
      <c r="C23" s="102">
        <f ca="1">+'N° de Obs.'!E22</f>
        <v>14340</v>
      </c>
      <c r="D23" s="91">
        <f t="shared" ca="1" si="0"/>
        <v>91.26</v>
      </c>
      <c r="E23" s="102">
        <f t="shared" ca="1" si="1"/>
        <v>90</v>
      </c>
      <c r="F23" s="92">
        <f t="shared" ca="1" si="2"/>
        <v>15</v>
      </c>
      <c r="G23" s="78"/>
      <c r="H23" s="78">
        <f t="shared" ca="1" si="3"/>
        <v>91.3</v>
      </c>
      <c r="I23" s="111" t="str">
        <f t="shared" ca="1" si="4"/>
        <v>13</v>
      </c>
      <c r="J23" s="78" cm="1">
        <f t="array" aca="1" ref="J23" ca="1">+_xlfn.IFS(AND(I23&gt;="0",I23&lt;"25"),H23-(I23/10),AND(I23&gt;="25",I23&lt;"50"),H23+(5-(I23/10)),AND(I23&gt;="50",I23&lt;"75"),H23-((I23-50)/10),I23&gt;="75",H23+(10-(I23/10)))</f>
        <v>90</v>
      </c>
      <c r="K23" s="78">
        <f t="shared" ca="1" si="5"/>
        <v>15</v>
      </c>
      <c r="L23" s="78"/>
      <c r="M23" s="78"/>
      <c r="N23" s="78"/>
      <c r="O23" s="78"/>
      <c r="P23" s="78"/>
    </row>
    <row r="24" spans="1:16" ht="15.6" x14ac:dyDescent="0.3">
      <c r="A24" s="78"/>
      <c r="B24" s="90">
        <f ca="1">+'N° de Obs.'!D23</f>
        <v>85</v>
      </c>
      <c r="C24" s="102">
        <f ca="1">+'N° de Obs.'!E23</f>
        <v>14345</v>
      </c>
      <c r="D24" s="91">
        <f t="shared" ca="1" si="0"/>
        <v>91.23</v>
      </c>
      <c r="E24" s="102">
        <f t="shared" ca="1" si="1"/>
        <v>90</v>
      </c>
      <c r="F24" s="92">
        <f t="shared" ca="1" si="2"/>
        <v>-5</v>
      </c>
      <c r="G24" s="78"/>
      <c r="H24" s="78">
        <f t="shared" ca="1" si="3"/>
        <v>91.2</v>
      </c>
      <c r="I24" s="111" t="str">
        <f t="shared" ca="1" si="4"/>
        <v>12</v>
      </c>
      <c r="J24" s="78" cm="1">
        <f t="array" aca="1" ref="J24" ca="1">+_xlfn.IFS(AND(I24&gt;="0",I24&lt;"25"),H24-(I24/10),AND(I24&gt;="25",I24&lt;"50"),H24+(5-(I24/10)),AND(I24&gt;="50",I24&lt;"75"),H24-((I24-50)/10),I24&gt;="75",H24+(10-(I24/10)))</f>
        <v>90</v>
      </c>
      <c r="K24" s="78">
        <f t="shared" ca="1" si="5"/>
        <v>5</v>
      </c>
      <c r="L24" s="78"/>
      <c r="M24" s="78"/>
      <c r="N24" s="78"/>
      <c r="O24" s="78"/>
      <c r="P24" s="78"/>
    </row>
    <row r="25" spans="1:16" ht="15.6" x14ac:dyDescent="0.3">
      <c r="A25" s="78"/>
      <c r="B25" s="90">
        <f ca="1">+'N° de Obs.'!D24</f>
        <v>95</v>
      </c>
      <c r="C25" s="102">
        <f ca="1">+'N° de Obs.'!E24</f>
        <v>13519</v>
      </c>
      <c r="D25" s="91">
        <f t="shared" ca="1" si="0"/>
        <v>96.8</v>
      </c>
      <c r="E25" s="102">
        <f t="shared" ca="1" si="1"/>
        <v>95</v>
      </c>
      <c r="F25" s="92">
        <f t="shared" ca="1" si="2"/>
        <v>0</v>
      </c>
      <c r="G25" s="78"/>
      <c r="H25" s="78">
        <f t="shared" ca="1" si="3"/>
        <v>96.8</v>
      </c>
      <c r="I25" s="111" t="str">
        <f t="shared" ca="1" si="4"/>
        <v>68</v>
      </c>
      <c r="J25" s="78" cm="1">
        <f t="array" aca="1" ref="J25" ca="1">+_xlfn.IFS(AND(I25&gt;="0",I25&lt;"25"),H25-(I25/10),AND(I25&gt;="25",I25&lt;"50"),H25+(5-(I25/10)),AND(I25&gt;="50",I25&lt;"75"),H25-((I25-50)/10),I25&gt;="75",H25+(10-(I25/10)))</f>
        <v>95</v>
      </c>
      <c r="K25" s="78">
        <f t="shared" ca="1" si="5"/>
        <v>0</v>
      </c>
      <c r="L25" s="78"/>
      <c r="M25" s="78"/>
      <c r="N25" s="78"/>
      <c r="O25" s="78"/>
      <c r="P25" s="78"/>
    </row>
    <row r="26" spans="1:16" ht="15.6" x14ac:dyDescent="0.3">
      <c r="A26" s="78"/>
      <c r="B26" s="90">
        <f ca="1">+'N° de Obs.'!D25</f>
        <v>100</v>
      </c>
      <c r="C26" s="103">
        <f ca="1">+'N° de Obs.'!E25</f>
        <v>14185</v>
      </c>
      <c r="D26" s="79">
        <f t="shared" ca="1" si="0"/>
        <v>92.26</v>
      </c>
      <c r="E26" s="103">
        <f t="shared" ca="1" si="1"/>
        <v>90</v>
      </c>
      <c r="F26" s="94">
        <f t="shared" ca="1" si="2"/>
        <v>10</v>
      </c>
      <c r="G26" s="78"/>
      <c r="H26" s="78">
        <f t="shared" ca="1" si="3"/>
        <v>92.3</v>
      </c>
      <c r="I26" s="111" t="str">
        <f t="shared" ca="1" si="4"/>
        <v>23</v>
      </c>
      <c r="J26" s="78" cm="1">
        <f t="array" aca="1" ref="J26" ca="1">+_xlfn.IFS(AND(I26&gt;="0",I26&lt;"25"),H26-(I26/10),AND(I26&gt;="25",I26&lt;"50"),H26+(5-(I26/10)),AND(I26&gt;="50",I26&lt;"75"),H26-((I26-50)/10),I26&gt;="75",H26+(10-(I26/10)))</f>
        <v>90</v>
      </c>
      <c r="K26" s="78">
        <f t="shared" ca="1" si="5"/>
        <v>10</v>
      </c>
      <c r="L26" s="78"/>
      <c r="M26" s="78"/>
      <c r="N26" s="78"/>
      <c r="O26" s="78"/>
      <c r="P26" s="78"/>
    </row>
    <row r="27" spans="1:16" ht="15.6" x14ac:dyDescent="0.3">
      <c r="A27" s="78"/>
      <c r="B27" s="95" t="s">
        <v>98</v>
      </c>
      <c r="C27" s="80"/>
      <c r="D27" s="80"/>
      <c r="E27" s="80"/>
      <c r="F27" s="89">
        <f ca="1">+SUMIF(K7:K26,"&lt;=10",F7:F26)</f>
        <v>-20</v>
      </c>
      <c r="G27" s="78"/>
      <c r="H27" s="78"/>
      <c r="I27" s="78"/>
      <c r="J27" s="78"/>
      <c r="K27" s="78">
        <f ca="1">+COUNTIF(K7:K26,"&lt;=10")</f>
        <v>18</v>
      </c>
      <c r="L27" s="78"/>
      <c r="M27" s="78"/>
      <c r="N27" s="78"/>
      <c r="O27" s="78"/>
      <c r="P27" s="78"/>
    </row>
    <row r="28" spans="1:16" ht="15.6" x14ac:dyDescent="0.3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</row>
    <row r="29" spans="1:16" ht="15.6" x14ac:dyDescent="0.3">
      <c r="A29" s="78"/>
      <c r="B29" s="110">
        <v>100</v>
      </c>
      <c r="C29" s="78">
        <f ca="1">+ROUND(AVERAGE('N° de Obs.'!F6:F25),0)</f>
        <v>13087</v>
      </c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1:16" ht="15.6" x14ac:dyDescent="0.3">
      <c r="A30" s="78"/>
      <c r="B30" s="78"/>
      <c r="C30" s="78"/>
      <c r="D30" s="79"/>
      <c r="E30" s="79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</row>
    <row r="31" spans="1:16" ht="15.6" x14ac:dyDescent="0.3">
      <c r="A31" s="78"/>
      <c r="B31" s="78"/>
      <c r="C31" s="78"/>
      <c r="D31" s="105" t="s">
        <v>92</v>
      </c>
      <c r="E31" s="106" t="s">
        <v>93</v>
      </c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</row>
    <row r="32" spans="1:16" ht="15.6" x14ac:dyDescent="0.3">
      <c r="A32" s="78"/>
      <c r="B32" s="78"/>
      <c r="C32" s="78"/>
      <c r="D32" s="90" t="s">
        <v>95</v>
      </c>
      <c r="E32" s="102" t="s">
        <v>25</v>
      </c>
      <c r="F32" s="78"/>
      <c r="G32" s="78"/>
      <c r="H32" s="78"/>
      <c r="I32" s="78"/>
      <c r="J32" s="78"/>
      <c r="K32" s="109" t="s">
        <v>107</v>
      </c>
      <c r="L32" s="109"/>
      <c r="M32" s="109"/>
      <c r="N32" s="78"/>
      <c r="O32" s="78"/>
      <c r="P32" s="78"/>
    </row>
    <row r="33" spans="1:18" ht="15.6" x14ac:dyDescent="0.3">
      <c r="A33" s="78"/>
      <c r="B33" s="78"/>
      <c r="C33" s="78"/>
      <c r="D33" s="90" t="s">
        <v>104</v>
      </c>
      <c r="E33" s="116">
        <f>+B29</f>
        <v>100</v>
      </c>
      <c r="F33" s="78"/>
      <c r="G33" s="78"/>
      <c r="H33" s="78"/>
      <c r="I33" s="78"/>
      <c r="J33" s="78"/>
      <c r="K33" s="109"/>
      <c r="L33" s="109"/>
      <c r="M33" s="109"/>
      <c r="N33" s="78"/>
      <c r="O33" s="78"/>
      <c r="P33" s="78"/>
    </row>
    <row r="34" spans="1:18" ht="15.6" x14ac:dyDescent="0.3">
      <c r="A34" s="78"/>
      <c r="B34" s="78"/>
      <c r="C34" s="78"/>
      <c r="D34" s="90" t="s">
        <v>20</v>
      </c>
      <c r="E34" s="102">
        <f ca="1">+C29</f>
        <v>13087</v>
      </c>
      <c r="F34" s="78"/>
      <c r="G34" s="78"/>
      <c r="H34" s="78"/>
      <c r="I34" s="78"/>
      <c r="J34" s="78"/>
      <c r="K34" s="109"/>
      <c r="L34" s="109"/>
      <c r="M34" s="109"/>
      <c r="N34" s="78"/>
      <c r="O34" s="78"/>
      <c r="P34" s="78"/>
    </row>
    <row r="35" spans="1:18" ht="31.2" x14ac:dyDescent="0.3">
      <c r="A35" s="78"/>
      <c r="B35" s="78"/>
      <c r="C35" s="78"/>
      <c r="D35" s="113" t="s">
        <v>106</v>
      </c>
      <c r="E35" s="102">
        <f ca="1">+K27</f>
        <v>18</v>
      </c>
      <c r="F35" s="78"/>
      <c r="G35" s="78"/>
      <c r="H35" s="78"/>
      <c r="I35" s="78"/>
      <c r="J35" s="78"/>
      <c r="K35" s="109"/>
      <c r="L35" s="109"/>
      <c r="M35" s="109"/>
      <c r="N35" s="78"/>
      <c r="O35" s="78"/>
      <c r="P35" s="78"/>
    </row>
    <row r="36" spans="1:18" ht="15.6" x14ac:dyDescent="0.3">
      <c r="A36" s="78"/>
      <c r="B36" s="78"/>
      <c r="C36" s="78"/>
      <c r="D36" s="114" t="s">
        <v>103</v>
      </c>
      <c r="E36" s="103">
        <f ca="1">+F27</f>
        <v>-20</v>
      </c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</row>
    <row r="37" spans="1:18" ht="31.2" x14ac:dyDescent="0.3">
      <c r="A37" s="78"/>
      <c r="B37" s="78"/>
      <c r="C37" s="78"/>
      <c r="D37" s="115" t="s">
        <v>105</v>
      </c>
      <c r="E37" s="101" t="str">
        <f ca="1">+CONCATENATE(ROUND((F27/K27*5)/5,2)," %")</f>
        <v>-1.11 %</v>
      </c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</row>
    <row r="38" spans="1:18" ht="15.6" x14ac:dyDescent="0.3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</row>
    <row r="39" spans="1:18" x14ac:dyDescent="0.3">
      <c r="D39" s="16"/>
      <c r="E39" s="16"/>
    </row>
    <row r="40" spans="1:18" x14ac:dyDescent="0.3">
      <c r="B40" s="25"/>
      <c r="D40" s="16"/>
      <c r="E40" s="16"/>
    </row>
    <row r="41" spans="1:18" x14ac:dyDescent="0.3">
      <c r="D41" s="16"/>
      <c r="E41" s="16"/>
    </row>
    <row r="45" spans="1:18" x14ac:dyDescent="0.3">
      <c r="C45" s="16"/>
      <c r="D45" s="16"/>
      <c r="E45" s="52" t="str">
        <f>+'N° de Obs.'!P2</f>
        <v>Elemento E</v>
      </c>
      <c r="F45" s="53"/>
      <c r="G45" s="16"/>
    </row>
    <row r="46" spans="1:18" ht="15.6" x14ac:dyDescent="0.3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</row>
    <row r="47" spans="1:18" ht="15.6" x14ac:dyDescent="0.3">
      <c r="A47" s="78"/>
      <c r="B47" s="79"/>
      <c r="C47" s="79"/>
      <c r="D47" s="79"/>
      <c r="E47" s="79"/>
      <c r="F47" s="79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</row>
    <row r="48" spans="1:18" ht="15.6" x14ac:dyDescent="0.3">
      <c r="A48" s="78"/>
      <c r="B48" s="105" t="s">
        <v>26</v>
      </c>
      <c r="C48" s="106" t="s">
        <v>101</v>
      </c>
      <c r="D48" s="112" t="s">
        <v>102</v>
      </c>
      <c r="E48" s="106" t="s">
        <v>27</v>
      </c>
      <c r="F48" s="107" t="s">
        <v>103</v>
      </c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</row>
    <row r="49" spans="1:18" ht="15.6" x14ac:dyDescent="0.3">
      <c r="A49" s="78"/>
      <c r="B49" s="90">
        <f ca="1">+'N° de Obs.'!M6</f>
        <v>90</v>
      </c>
      <c r="C49" s="102">
        <f ca="1">+'N° de Obs.'!N6</f>
        <v>27884</v>
      </c>
      <c r="D49" s="91">
        <f ca="1">+ROUND($B$71*$C$71/C49,2)</f>
        <v>93.71</v>
      </c>
      <c r="E49" s="102">
        <f ca="1">+J49</f>
        <v>95</v>
      </c>
      <c r="F49" s="92">
        <f ca="1">+B49-E49</f>
        <v>-5</v>
      </c>
      <c r="G49" s="78"/>
      <c r="H49" s="78">
        <f ca="1">+ROUND(D49,1)</f>
        <v>93.7</v>
      </c>
      <c r="I49" s="111" t="str">
        <f ca="1">+RIGHT(H49*10,2)</f>
        <v>37</v>
      </c>
      <c r="J49" s="78" cm="1">
        <f t="array" aca="1" ref="J49" ca="1">+_xlfn.IFS(AND(I49&gt;="0",I49&lt;"25"),H49-(I49/10),AND(I49&gt;="25",I49&lt;"50"),H49+(5-(I49/10)),AND(I49&gt;="50",I49&lt;"75"),H49-((I49-50)/10),I49&gt;="75",H49+(10-(I49/10)))</f>
        <v>95</v>
      </c>
      <c r="K49" s="78">
        <f ca="1">+ABS(F49)</f>
        <v>5</v>
      </c>
      <c r="L49" s="78"/>
      <c r="M49" s="78"/>
      <c r="N49" s="78"/>
      <c r="O49" s="78"/>
      <c r="P49" s="78"/>
      <c r="Q49" s="78"/>
      <c r="R49" s="78"/>
    </row>
    <row r="50" spans="1:18" ht="15.6" x14ac:dyDescent="0.3">
      <c r="A50" s="78"/>
      <c r="B50" s="90">
        <f ca="1">+'N° de Obs.'!M7</f>
        <v>95</v>
      </c>
      <c r="C50" s="102">
        <f ca="1">+'N° de Obs.'!N7</f>
        <v>28925</v>
      </c>
      <c r="D50" s="91">
        <f t="shared" ref="D50:D68" ca="1" si="6">+ROUND($B$71*$C$71/C50,2)</f>
        <v>90.34</v>
      </c>
      <c r="E50" s="102">
        <f t="shared" ref="E50:E68" ca="1" si="7">+J50</f>
        <v>90</v>
      </c>
      <c r="F50" s="92">
        <f t="shared" ref="F50:F68" ca="1" si="8">+B50-E50</f>
        <v>5</v>
      </c>
      <c r="G50" s="78"/>
      <c r="H50" s="78">
        <f t="shared" ref="H50:H68" ca="1" si="9">+ROUND(D50,1)</f>
        <v>90.3</v>
      </c>
      <c r="I50" s="111" t="str">
        <f t="shared" ref="I50:I68" ca="1" si="10">+RIGHT(H50*10,2)</f>
        <v>03</v>
      </c>
      <c r="J50" s="78" cm="1">
        <f t="array" aca="1" ref="J50" ca="1">+_xlfn.IFS(AND(I50&gt;="0",I50&lt;"25"),H50-(I50/10),AND(I50&gt;="25",I50&lt;"50"),H50+(5-(I50/10)),AND(I50&gt;="50",I50&lt;"75"),H50-((I50-50)/10),I50&gt;="75",H50+(10-(I50/10)))</f>
        <v>90</v>
      </c>
      <c r="K50" s="78">
        <f t="shared" ref="K50:K68" ca="1" si="11">+ABS(F50)</f>
        <v>5</v>
      </c>
      <c r="L50" s="78"/>
      <c r="M50" s="78"/>
      <c r="N50" s="78"/>
      <c r="O50" s="78"/>
      <c r="P50" s="78"/>
      <c r="Q50" s="78"/>
      <c r="R50" s="78"/>
    </row>
    <row r="51" spans="1:18" ht="15.6" x14ac:dyDescent="0.3">
      <c r="A51" s="78"/>
      <c r="B51" s="90">
        <f ca="1">+'N° de Obs.'!M8</f>
        <v>100</v>
      </c>
      <c r="C51" s="102">
        <f ca="1">+'N° de Obs.'!N8</f>
        <v>28060</v>
      </c>
      <c r="D51" s="91">
        <f t="shared" ca="1" si="6"/>
        <v>93.12</v>
      </c>
      <c r="E51" s="102">
        <f t="shared" ca="1" si="7"/>
        <v>95</v>
      </c>
      <c r="F51" s="92">
        <f t="shared" ca="1" si="8"/>
        <v>5</v>
      </c>
      <c r="G51" s="78"/>
      <c r="H51" s="78">
        <f t="shared" ca="1" si="9"/>
        <v>93.1</v>
      </c>
      <c r="I51" s="111" t="str">
        <f t="shared" ca="1" si="10"/>
        <v>31</v>
      </c>
      <c r="J51" s="78" cm="1">
        <f t="array" aca="1" ref="J51" ca="1">+_xlfn.IFS(AND(I51&gt;="0",I51&lt;"25"),H51-(I51/10),AND(I51&gt;="25",I51&lt;"50"),H51+(5-(I51/10)),AND(I51&gt;="50",I51&lt;"75"),H51-((I51-50)/10),I51&gt;="75",H51+(10-(I51/10)))</f>
        <v>95</v>
      </c>
      <c r="K51" s="78">
        <f t="shared" ca="1" si="11"/>
        <v>5</v>
      </c>
      <c r="L51" s="78"/>
      <c r="M51" s="78"/>
      <c r="N51" s="78"/>
      <c r="O51" s="78"/>
      <c r="P51" s="78"/>
      <c r="Q51" s="78"/>
      <c r="R51" s="78"/>
    </row>
    <row r="52" spans="1:18" ht="15.6" x14ac:dyDescent="0.3">
      <c r="A52" s="78"/>
      <c r="B52" s="90">
        <f ca="1">+'N° de Obs.'!M9</f>
        <v>100</v>
      </c>
      <c r="C52" s="102">
        <f ca="1">+'N° de Obs.'!N9</f>
        <v>27620</v>
      </c>
      <c r="D52" s="91">
        <f t="shared" ca="1" si="6"/>
        <v>94.61</v>
      </c>
      <c r="E52" s="102">
        <f t="shared" ca="1" si="7"/>
        <v>95</v>
      </c>
      <c r="F52" s="92">
        <f t="shared" ca="1" si="8"/>
        <v>5</v>
      </c>
      <c r="G52" s="78"/>
      <c r="H52" s="78">
        <f t="shared" ca="1" si="9"/>
        <v>94.6</v>
      </c>
      <c r="I52" s="111" t="str">
        <f t="shared" ca="1" si="10"/>
        <v>46</v>
      </c>
      <c r="J52" s="78" cm="1">
        <f t="array" aca="1" ref="J52" ca="1">+_xlfn.IFS(AND(I52&gt;="0",I52&lt;"25"),H52-(I52/10),AND(I52&gt;="25",I52&lt;"50"),H52+(5-(I52/10)),AND(I52&gt;="50",I52&lt;"75"),H52-((I52-50)/10),I52&gt;="75",H52+(10-(I52/10)))</f>
        <v>95</v>
      </c>
      <c r="K52" s="78">
        <f t="shared" ca="1" si="11"/>
        <v>5</v>
      </c>
      <c r="L52" s="78"/>
      <c r="M52" s="78"/>
      <c r="N52" s="78"/>
      <c r="O52" s="78"/>
      <c r="P52" s="78"/>
      <c r="Q52" s="78"/>
      <c r="R52" s="78"/>
    </row>
    <row r="53" spans="1:18" ht="15.6" x14ac:dyDescent="0.3">
      <c r="A53" s="78"/>
      <c r="B53" s="90">
        <f ca="1">+'N° de Obs.'!M10</f>
        <v>90</v>
      </c>
      <c r="C53" s="102">
        <f ca="1">+'N° de Obs.'!N10</f>
        <v>27755</v>
      </c>
      <c r="D53" s="91">
        <f t="shared" ca="1" si="6"/>
        <v>94.15</v>
      </c>
      <c r="E53" s="102">
        <f t="shared" ca="1" si="7"/>
        <v>95</v>
      </c>
      <c r="F53" s="92">
        <f t="shared" ca="1" si="8"/>
        <v>-5</v>
      </c>
      <c r="G53" s="78"/>
      <c r="H53" s="78">
        <f t="shared" ca="1" si="9"/>
        <v>94.2</v>
      </c>
      <c r="I53" s="111" t="str">
        <f t="shared" ca="1" si="10"/>
        <v>42</v>
      </c>
      <c r="J53" s="78" cm="1">
        <f t="array" aca="1" ref="J53" ca="1">+_xlfn.IFS(AND(I53&gt;="0",I53&lt;"25"),H53-(I53/10),AND(I53&gt;="25",I53&lt;"50"),H53+(5-(I53/10)),AND(I53&gt;="50",I53&lt;"75"),H53-((I53-50)/10),I53&gt;="75",H53+(10-(I53/10)))</f>
        <v>95</v>
      </c>
      <c r="K53" s="78">
        <f t="shared" ca="1" si="11"/>
        <v>5</v>
      </c>
      <c r="L53" s="78"/>
      <c r="M53" s="78"/>
      <c r="N53" s="78"/>
      <c r="O53" s="78"/>
      <c r="P53" s="78"/>
      <c r="Q53" s="78"/>
      <c r="R53" s="78"/>
    </row>
    <row r="54" spans="1:18" ht="15.6" x14ac:dyDescent="0.3">
      <c r="A54" s="78"/>
      <c r="B54" s="90">
        <f ca="1">+'N° de Obs.'!M11</f>
        <v>90</v>
      </c>
      <c r="C54" s="102">
        <f ca="1">+'N° de Obs.'!N11</f>
        <v>28438</v>
      </c>
      <c r="D54" s="91">
        <f t="shared" ca="1" si="6"/>
        <v>91.88</v>
      </c>
      <c r="E54" s="102">
        <f t="shared" ca="1" si="7"/>
        <v>90</v>
      </c>
      <c r="F54" s="92">
        <f t="shared" ca="1" si="8"/>
        <v>0</v>
      </c>
      <c r="G54" s="78"/>
      <c r="H54" s="78">
        <f t="shared" ca="1" si="9"/>
        <v>91.9</v>
      </c>
      <c r="I54" s="111" t="str">
        <f t="shared" ca="1" si="10"/>
        <v>19</v>
      </c>
      <c r="J54" s="78" cm="1">
        <f t="array" aca="1" ref="J54" ca="1">+_xlfn.IFS(AND(I54&gt;="0",I54&lt;"25"),H54-(I54/10),AND(I54&gt;="25",I54&lt;"50"),H54+(5-(I54/10)),AND(I54&gt;="50",I54&lt;"75"),H54-((I54-50)/10),I54&gt;="75",H54+(10-(I54/10)))</f>
        <v>90</v>
      </c>
      <c r="K54" s="78">
        <f t="shared" ca="1" si="11"/>
        <v>0</v>
      </c>
      <c r="L54" s="78"/>
      <c r="M54" s="78"/>
      <c r="N54" s="78"/>
      <c r="O54" s="78"/>
      <c r="P54" s="78"/>
      <c r="Q54" s="78"/>
      <c r="R54" s="78"/>
    </row>
    <row r="55" spans="1:18" ht="15.6" x14ac:dyDescent="0.3">
      <c r="A55" s="78"/>
      <c r="B55" s="90">
        <f ca="1">+'N° de Obs.'!M12</f>
        <v>90</v>
      </c>
      <c r="C55" s="102">
        <f ca="1">+'N° de Obs.'!N12</f>
        <v>27393</v>
      </c>
      <c r="D55" s="91">
        <f t="shared" ca="1" si="6"/>
        <v>95.39</v>
      </c>
      <c r="E55" s="102">
        <f t="shared" ca="1" si="7"/>
        <v>95</v>
      </c>
      <c r="F55" s="92">
        <f t="shared" ca="1" si="8"/>
        <v>-5</v>
      </c>
      <c r="G55" s="78"/>
      <c r="H55" s="78">
        <f t="shared" ca="1" si="9"/>
        <v>95.4</v>
      </c>
      <c r="I55" s="111" t="str">
        <f t="shared" ca="1" si="10"/>
        <v>54</v>
      </c>
      <c r="J55" s="78" cm="1">
        <f t="array" aca="1" ref="J55" ca="1">+_xlfn.IFS(AND(I55&gt;="0",I55&lt;"25"),H55-(I55/10),AND(I55&gt;="25",I55&lt;"50"),H55+(5-(I55/10)),AND(I55&gt;="50",I55&lt;"75"),H55-((I55-50)/10),I55&gt;="75",H55+(10-(I55/10)))</f>
        <v>95</v>
      </c>
      <c r="K55" s="78">
        <f t="shared" ca="1" si="11"/>
        <v>5</v>
      </c>
      <c r="L55" s="78"/>
      <c r="M55" s="78"/>
      <c r="N55" s="78"/>
      <c r="O55" s="78"/>
      <c r="P55" s="78"/>
      <c r="Q55" s="78"/>
      <c r="R55" s="78"/>
    </row>
    <row r="56" spans="1:18" ht="15.6" x14ac:dyDescent="0.3">
      <c r="A56" s="78"/>
      <c r="B56" s="90">
        <f ca="1">+'N° de Obs.'!M13</f>
        <v>85</v>
      </c>
      <c r="C56" s="102">
        <f ca="1">+'N° de Obs.'!N13</f>
        <v>28807</v>
      </c>
      <c r="D56" s="91">
        <f t="shared" ca="1" si="6"/>
        <v>90.71</v>
      </c>
      <c r="E56" s="102">
        <f t="shared" ca="1" si="7"/>
        <v>90</v>
      </c>
      <c r="F56" s="92">
        <f t="shared" ca="1" si="8"/>
        <v>-5</v>
      </c>
      <c r="G56" s="78"/>
      <c r="H56" s="78">
        <f t="shared" ca="1" si="9"/>
        <v>90.7</v>
      </c>
      <c r="I56" s="111" t="str">
        <f t="shared" ca="1" si="10"/>
        <v>07</v>
      </c>
      <c r="J56" s="78" cm="1">
        <f t="array" aca="1" ref="J56" ca="1">+_xlfn.IFS(AND(I56&gt;="0",I56&lt;"25"),H56-(I56/10),AND(I56&gt;="25",I56&lt;"50"),H56+(5-(I56/10)),AND(I56&gt;="50",I56&lt;"75"),H56-((I56-50)/10),I56&gt;="75",H56+(10-(I56/10)))</f>
        <v>90</v>
      </c>
      <c r="K56" s="78">
        <f t="shared" ca="1" si="11"/>
        <v>5</v>
      </c>
      <c r="L56" s="78"/>
      <c r="M56" s="78"/>
      <c r="N56" s="78"/>
      <c r="O56" s="78"/>
      <c r="P56" s="78"/>
      <c r="Q56" s="78"/>
      <c r="R56" s="78"/>
    </row>
    <row r="57" spans="1:18" ht="15.6" x14ac:dyDescent="0.3">
      <c r="A57" s="78"/>
      <c r="B57" s="90">
        <f ca="1">+'N° de Obs.'!M14</f>
        <v>90</v>
      </c>
      <c r="C57" s="102">
        <f ca="1">+'N° de Obs.'!N14</f>
        <v>28828</v>
      </c>
      <c r="D57" s="91">
        <f t="shared" ca="1" si="6"/>
        <v>90.64</v>
      </c>
      <c r="E57" s="102">
        <f t="shared" ca="1" si="7"/>
        <v>90</v>
      </c>
      <c r="F57" s="92">
        <f t="shared" ca="1" si="8"/>
        <v>0</v>
      </c>
      <c r="G57" s="78"/>
      <c r="H57" s="78">
        <f t="shared" ca="1" si="9"/>
        <v>90.6</v>
      </c>
      <c r="I57" s="111" t="str">
        <f t="shared" ca="1" si="10"/>
        <v>06</v>
      </c>
      <c r="J57" s="78" cm="1">
        <f t="array" aca="1" ref="J57" ca="1">+_xlfn.IFS(AND(I57&gt;="0",I57&lt;"25"),H57-(I57/10),AND(I57&gt;="25",I57&lt;"50"),H57+(5-(I57/10)),AND(I57&gt;="50",I57&lt;"75"),H57-((I57-50)/10),I57&gt;="75",H57+(10-(I57/10)))</f>
        <v>90</v>
      </c>
      <c r="K57" s="78">
        <f t="shared" ca="1" si="11"/>
        <v>0</v>
      </c>
      <c r="L57" s="78"/>
      <c r="M57" s="78"/>
      <c r="N57" s="78"/>
      <c r="O57" s="78"/>
      <c r="P57" s="78"/>
      <c r="Q57" s="78"/>
      <c r="R57" s="78"/>
    </row>
    <row r="58" spans="1:18" ht="15.6" x14ac:dyDescent="0.3">
      <c r="A58" s="78"/>
      <c r="B58" s="90">
        <f ca="1">+'N° de Obs.'!M15</f>
        <v>95</v>
      </c>
      <c r="C58" s="102">
        <f ca="1">+'N° de Obs.'!N15</f>
        <v>28607</v>
      </c>
      <c r="D58" s="91">
        <f t="shared" ca="1" si="6"/>
        <v>91.34</v>
      </c>
      <c r="E58" s="102">
        <f t="shared" ca="1" si="7"/>
        <v>90</v>
      </c>
      <c r="F58" s="92">
        <f t="shared" ca="1" si="8"/>
        <v>5</v>
      </c>
      <c r="G58" s="78"/>
      <c r="H58" s="78">
        <f t="shared" ca="1" si="9"/>
        <v>91.3</v>
      </c>
      <c r="I58" s="111" t="str">
        <f t="shared" ca="1" si="10"/>
        <v>13</v>
      </c>
      <c r="J58" s="78" cm="1">
        <f t="array" aca="1" ref="J58" ca="1">+_xlfn.IFS(AND(I58&gt;="0",I58&lt;"25"),H58-(I58/10),AND(I58&gt;="25",I58&lt;"50"),H58+(5-(I58/10)),AND(I58&gt;="50",I58&lt;"75"),H58-((I58-50)/10),I58&gt;="75",H58+(10-(I58/10)))</f>
        <v>90</v>
      </c>
      <c r="K58" s="78">
        <f t="shared" ca="1" si="11"/>
        <v>5</v>
      </c>
      <c r="L58" s="78"/>
      <c r="M58" s="78"/>
      <c r="N58" s="78"/>
      <c r="O58" s="78"/>
      <c r="P58" s="78"/>
      <c r="Q58" s="78"/>
      <c r="R58" s="78"/>
    </row>
    <row r="59" spans="1:18" ht="15.6" x14ac:dyDescent="0.3">
      <c r="A59" s="78"/>
      <c r="B59" s="90">
        <f ca="1">+'N° de Obs.'!M16</f>
        <v>90</v>
      </c>
      <c r="C59" s="102">
        <f ca="1">+'N° de Obs.'!N16</f>
        <v>28852</v>
      </c>
      <c r="D59" s="91">
        <f t="shared" ca="1" si="6"/>
        <v>90.57</v>
      </c>
      <c r="E59" s="102">
        <f t="shared" ca="1" si="7"/>
        <v>90</v>
      </c>
      <c r="F59" s="92">
        <f t="shared" ca="1" si="8"/>
        <v>0</v>
      </c>
      <c r="G59" s="78"/>
      <c r="H59" s="78">
        <f t="shared" ca="1" si="9"/>
        <v>90.6</v>
      </c>
      <c r="I59" s="111" t="str">
        <f t="shared" ca="1" si="10"/>
        <v>06</v>
      </c>
      <c r="J59" s="78" cm="1">
        <f t="array" aca="1" ref="J59" ca="1">+_xlfn.IFS(AND(I59&gt;="0",I59&lt;"25"),H59-(I59/10),AND(I59&gt;="25",I59&lt;"50"),H59+(5-(I59/10)),AND(I59&gt;="50",I59&lt;"75"),H59-((I59-50)/10),I59&gt;="75",H59+(10-(I59/10)))</f>
        <v>90</v>
      </c>
      <c r="K59" s="78">
        <f t="shared" ca="1" si="11"/>
        <v>0</v>
      </c>
      <c r="L59" s="78"/>
      <c r="M59" s="78"/>
      <c r="N59" s="78"/>
      <c r="O59" s="78"/>
      <c r="P59" s="78"/>
      <c r="Q59" s="78"/>
      <c r="R59" s="78"/>
    </row>
    <row r="60" spans="1:18" ht="15.6" x14ac:dyDescent="0.3">
      <c r="A60" s="78"/>
      <c r="B60" s="90">
        <f ca="1">+'N° de Obs.'!M17</f>
        <v>105</v>
      </c>
      <c r="C60" s="102">
        <f ca="1">+'N° de Obs.'!N17</f>
        <v>28571</v>
      </c>
      <c r="D60" s="91">
        <f t="shared" ca="1" si="6"/>
        <v>91.46</v>
      </c>
      <c r="E60" s="102">
        <f t="shared" ca="1" si="7"/>
        <v>90</v>
      </c>
      <c r="F60" s="92">
        <f t="shared" ca="1" si="8"/>
        <v>15</v>
      </c>
      <c r="G60" s="78"/>
      <c r="H60" s="78">
        <f t="shared" ca="1" si="9"/>
        <v>91.5</v>
      </c>
      <c r="I60" s="111" t="str">
        <f t="shared" ca="1" si="10"/>
        <v>15</v>
      </c>
      <c r="J60" s="78" cm="1">
        <f t="array" aca="1" ref="J60" ca="1">+_xlfn.IFS(AND(I60&gt;="0",I60&lt;"25"),H60-(I60/10),AND(I60&gt;="25",I60&lt;"50"),H60+(5-(I60/10)),AND(I60&gt;="50",I60&lt;"75"),H60-((I60-50)/10),I60&gt;="75",H60+(10-(I60/10)))</f>
        <v>90</v>
      </c>
      <c r="K60" s="78">
        <f t="shared" ca="1" si="11"/>
        <v>15</v>
      </c>
      <c r="L60" s="78"/>
      <c r="M60" s="78"/>
      <c r="N60" s="78"/>
      <c r="O60" s="78"/>
      <c r="P60" s="78"/>
      <c r="Q60" s="78"/>
      <c r="R60" s="78"/>
    </row>
    <row r="61" spans="1:18" ht="15.6" x14ac:dyDescent="0.3">
      <c r="A61" s="78"/>
      <c r="B61" s="90">
        <f ca="1">+'N° de Obs.'!M18</f>
        <v>85</v>
      </c>
      <c r="C61" s="102">
        <f ca="1">+'N° de Obs.'!N18</f>
        <v>27714</v>
      </c>
      <c r="D61" s="117">
        <f t="shared" ca="1" si="6"/>
        <v>94.28</v>
      </c>
      <c r="E61" s="102">
        <f t="shared" ca="1" si="7"/>
        <v>95</v>
      </c>
      <c r="F61" s="92">
        <f t="shared" ca="1" si="8"/>
        <v>-10</v>
      </c>
      <c r="G61" s="78"/>
      <c r="H61" s="78">
        <f t="shared" ca="1" si="9"/>
        <v>94.3</v>
      </c>
      <c r="I61" s="111" t="str">
        <f t="shared" ca="1" si="10"/>
        <v>43</v>
      </c>
      <c r="J61" s="78" cm="1">
        <f t="array" aca="1" ref="J61" ca="1">+_xlfn.IFS(AND(I61&gt;="0",I61&lt;"25"),H61-(I61/10),AND(I61&gt;="25",I61&lt;"50"),H61+(5-(I61/10)),AND(I61&gt;="50",I61&lt;"75"),H61-((I61-50)/10),I61&gt;="75",H61+(10-(I61/10)))</f>
        <v>95</v>
      </c>
      <c r="K61" s="78">
        <f t="shared" ca="1" si="11"/>
        <v>10</v>
      </c>
      <c r="L61" s="78"/>
      <c r="M61" s="78"/>
      <c r="N61" s="78"/>
      <c r="O61" s="78"/>
      <c r="P61" s="78"/>
      <c r="Q61" s="78"/>
      <c r="R61" s="78"/>
    </row>
    <row r="62" spans="1:18" ht="15.6" x14ac:dyDescent="0.3">
      <c r="A62" s="78"/>
      <c r="B62" s="90">
        <f ca="1">+'N° de Obs.'!M19</f>
        <v>90</v>
      </c>
      <c r="C62" s="102">
        <f ca="1">+'N° de Obs.'!N19</f>
        <v>28982</v>
      </c>
      <c r="D62" s="91">
        <f t="shared" ca="1" si="6"/>
        <v>90.16</v>
      </c>
      <c r="E62" s="102">
        <f t="shared" ca="1" si="7"/>
        <v>90</v>
      </c>
      <c r="F62" s="92">
        <f t="shared" ca="1" si="8"/>
        <v>0</v>
      </c>
      <c r="G62" s="78"/>
      <c r="H62" s="78">
        <f t="shared" ca="1" si="9"/>
        <v>90.2</v>
      </c>
      <c r="I62" s="111" t="str">
        <f t="shared" ca="1" si="10"/>
        <v>02</v>
      </c>
      <c r="J62" s="78" cm="1">
        <f t="array" aca="1" ref="J62" ca="1">+_xlfn.IFS(AND(I62&gt;="0",I62&lt;"25"),H62-(I62/10),AND(I62&gt;="25",I62&lt;"50"),H62+(5-(I62/10)),AND(I62&gt;="50",I62&lt;"75"),H62-((I62-50)/10),I62&gt;="75",H62+(10-(I62/10)))</f>
        <v>90</v>
      </c>
      <c r="K62" s="78">
        <f t="shared" ca="1" si="11"/>
        <v>0</v>
      </c>
      <c r="L62" s="78"/>
      <c r="M62" s="78"/>
      <c r="N62" s="78"/>
      <c r="O62" s="78"/>
      <c r="P62" s="78"/>
      <c r="Q62" s="78"/>
      <c r="R62" s="78"/>
    </row>
    <row r="63" spans="1:18" ht="15.6" x14ac:dyDescent="0.3">
      <c r="A63" s="78"/>
      <c r="B63" s="90">
        <f ca="1">+'N° de Obs.'!M20</f>
        <v>95</v>
      </c>
      <c r="C63" s="102">
        <f ca="1">+'N° de Obs.'!N20</f>
        <v>28915</v>
      </c>
      <c r="D63" s="91">
        <f t="shared" ca="1" si="6"/>
        <v>90.37</v>
      </c>
      <c r="E63" s="102">
        <f t="shared" ca="1" si="7"/>
        <v>90</v>
      </c>
      <c r="F63" s="92">
        <f t="shared" ca="1" si="8"/>
        <v>5</v>
      </c>
      <c r="G63" s="78"/>
      <c r="H63" s="78">
        <f t="shared" ca="1" si="9"/>
        <v>90.4</v>
      </c>
      <c r="I63" s="111" t="str">
        <f t="shared" ca="1" si="10"/>
        <v>04</v>
      </c>
      <c r="J63" s="78" cm="1">
        <f t="array" aca="1" ref="J63" ca="1">+_xlfn.IFS(AND(I63&gt;="0",I63&lt;"25"),H63-(I63/10),AND(I63&gt;="25",I63&lt;"50"),H63+(5-(I63/10)),AND(I63&gt;="50",I63&lt;"75"),H63-((I63-50)/10),I63&gt;="75",H63+(10-(I63/10)))</f>
        <v>90</v>
      </c>
      <c r="K63" s="78">
        <f t="shared" ca="1" si="11"/>
        <v>5</v>
      </c>
      <c r="L63" s="78"/>
      <c r="M63" s="78"/>
      <c r="N63" s="78"/>
      <c r="O63" s="78"/>
      <c r="P63" s="78"/>
      <c r="Q63" s="78"/>
      <c r="R63" s="78"/>
    </row>
    <row r="64" spans="1:18" ht="15.6" x14ac:dyDescent="0.3">
      <c r="A64" s="78"/>
      <c r="B64" s="90">
        <f ca="1">+'N° de Obs.'!M21</f>
        <v>90</v>
      </c>
      <c r="C64" s="102">
        <f ca="1">+'N° de Obs.'!N21</f>
        <v>27667</v>
      </c>
      <c r="D64" s="91">
        <f t="shared" ca="1" si="6"/>
        <v>94.44</v>
      </c>
      <c r="E64" s="102">
        <f t="shared" ca="1" si="7"/>
        <v>95</v>
      </c>
      <c r="F64" s="92">
        <f t="shared" ca="1" si="8"/>
        <v>-5</v>
      </c>
      <c r="G64" s="78"/>
      <c r="H64" s="78">
        <f t="shared" ca="1" si="9"/>
        <v>94.4</v>
      </c>
      <c r="I64" s="111" t="str">
        <f t="shared" ca="1" si="10"/>
        <v>44</v>
      </c>
      <c r="J64" s="78" cm="1">
        <f t="array" aca="1" ref="J64" ca="1">+_xlfn.IFS(AND(I64&gt;="0",I64&lt;"25"),H64-(I64/10),AND(I64&gt;="25",I64&lt;"50"),H64+(5-(I64/10)),AND(I64&gt;="50",I64&lt;"75"),H64-((I64-50)/10),I64&gt;="75",H64+(10-(I64/10)))</f>
        <v>95</v>
      </c>
      <c r="K64" s="78">
        <f t="shared" ca="1" si="11"/>
        <v>5</v>
      </c>
      <c r="L64" s="78"/>
      <c r="M64" s="78"/>
      <c r="N64" s="78"/>
      <c r="O64" s="78"/>
      <c r="P64" s="78"/>
      <c r="Q64" s="78"/>
      <c r="R64" s="78"/>
    </row>
    <row r="65" spans="1:18" ht="15.6" x14ac:dyDescent="0.3">
      <c r="A65" s="78"/>
      <c r="B65" s="90">
        <f ca="1">+'N° de Obs.'!M22</f>
        <v>85</v>
      </c>
      <c r="C65" s="102">
        <f ca="1">+'N° de Obs.'!N22</f>
        <v>28561</v>
      </c>
      <c r="D65" s="91">
        <f t="shared" ca="1" si="6"/>
        <v>91.49</v>
      </c>
      <c r="E65" s="102">
        <f t="shared" ca="1" si="7"/>
        <v>90</v>
      </c>
      <c r="F65" s="92">
        <f t="shared" ca="1" si="8"/>
        <v>-5</v>
      </c>
      <c r="G65" s="78"/>
      <c r="H65" s="78">
        <f t="shared" ca="1" si="9"/>
        <v>91.5</v>
      </c>
      <c r="I65" s="111" t="str">
        <f t="shared" ca="1" si="10"/>
        <v>15</v>
      </c>
      <c r="J65" s="78" cm="1">
        <f t="array" aca="1" ref="J65" ca="1">+_xlfn.IFS(AND(I65&gt;="0",I65&lt;"25"),H65-(I65/10),AND(I65&gt;="25",I65&lt;"50"),H65+(5-(I65/10)),AND(I65&gt;="50",I65&lt;"75"),H65-((I65-50)/10),I65&gt;="75",H65+(10-(I65/10)))</f>
        <v>90</v>
      </c>
      <c r="K65" s="78">
        <f t="shared" ca="1" si="11"/>
        <v>5</v>
      </c>
      <c r="L65" s="78"/>
      <c r="M65" s="78"/>
      <c r="N65" s="78"/>
      <c r="O65" s="78"/>
      <c r="P65" s="78"/>
      <c r="Q65" s="78"/>
      <c r="R65" s="78"/>
    </row>
    <row r="66" spans="1:18" ht="15.6" x14ac:dyDescent="0.3">
      <c r="A66" s="78"/>
      <c r="B66" s="90">
        <f ca="1">+'N° de Obs.'!M23</f>
        <v>90</v>
      </c>
      <c r="C66" s="102">
        <f ca="1">+'N° de Obs.'!N23</f>
        <v>27827</v>
      </c>
      <c r="D66" s="91">
        <f t="shared" ca="1" si="6"/>
        <v>93.9</v>
      </c>
      <c r="E66" s="102">
        <f t="shared" ca="1" si="7"/>
        <v>95</v>
      </c>
      <c r="F66" s="92">
        <f t="shared" ca="1" si="8"/>
        <v>-5</v>
      </c>
      <c r="G66" s="78"/>
      <c r="H66" s="78">
        <f t="shared" ca="1" si="9"/>
        <v>93.9</v>
      </c>
      <c r="I66" s="111" t="str">
        <f t="shared" ca="1" si="10"/>
        <v>39</v>
      </c>
      <c r="J66" s="78" cm="1">
        <f t="array" aca="1" ref="J66" ca="1">+_xlfn.IFS(AND(I66&gt;="0",I66&lt;"25"),H66-(I66/10),AND(I66&gt;="25",I66&lt;"50"),H66+(5-(I66/10)),AND(I66&gt;="50",I66&lt;"75"),H66-((I66-50)/10),I66&gt;="75",H66+(10-(I66/10)))</f>
        <v>95</v>
      </c>
      <c r="K66" s="78">
        <f t="shared" ca="1" si="11"/>
        <v>5</v>
      </c>
      <c r="L66" s="78"/>
      <c r="M66" s="78"/>
      <c r="N66" s="78"/>
      <c r="O66" s="78"/>
      <c r="P66" s="78"/>
      <c r="Q66" s="78"/>
      <c r="R66" s="78"/>
    </row>
    <row r="67" spans="1:18" ht="15.6" x14ac:dyDescent="0.3">
      <c r="A67" s="78"/>
      <c r="B67" s="90">
        <f ca="1">+'N° de Obs.'!M24</f>
        <v>90</v>
      </c>
      <c r="C67" s="102">
        <f ca="1">+'N° de Obs.'!N24</f>
        <v>28697</v>
      </c>
      <c r="D67" s="91">
        <f t="shared" ca="1" si="6"/>
        <v>91.05</v>
      </c>
      <c r="E67" s="102">
        <f t="shared" ca="1" si="7"/>
        <v>90</v>
      </c>
      <c r="F67" s="92">
        <f t="shared" ca="1" si="8"/>
        <v>0</v>
      </c>
      <c r="G67" s="78"/>
      <c r="H67" s="78">
        <f t="shared" ca="1" si="9"/>
        <v>91.1</v>
      </c>
      <c r="I67" s="111" t="str">
        <f t="shared" ca="1" si="10"/>
        <v>11</v>
      </c>
      <c r="J67" s="78" cm="1">
        <f t="array" aca="1" ref="J67" ca="1">+_xlfn.IFS(AND(I67&gt;="0",I67&lt;"25"),H67-(I67/10),AND(I67&gt;="25",I67&lt;"50"),H67+(5-(I67/10)),AND(I67&gt;="50",I67&lt;"75"),H67-((I67-50)/10),I67&gt;="75",H67+(10-(I67/10)))</f>
        <v>90</v>
      </c>
      <c r="K67" s="78">
        <f t="shared" ca="1" si="11"/>
        <v>0</v>
      </c>
      <c r="L67" s="78"/>
      <c r="M67" s="78"/>
      <c r="N67" s="78"/>
      <c r="O67" s="78"/>
      <c r="P67" s="78"/>
      <c r="Q67" s="78"/>
      <c r="R67" s="78"/>
    </row>
    <row r="68" spans="1:18" ht="15.6" x14ac:dyDescent="0.3">
      <c r="A68" s="78"/>
      <c r="B68" s="90">
        <f ca="1">+'N° de Obs.'!M25</f>
        <v>105</v>
      </c>
      <c r="C68" s="103">
        <f ca="1">+'N° de Obs.'!N25</f>
        <v>27025</v>
      </c>
      <c r="D68" s="91">
        <f t="shared" ca="1" si="6"/>
        <v>96.69</v>
      </c>
      <c r="E68" s="103">
        <f t="shared" ca="1" si="7"/>
        <v>95</v>
      </c>
      <c r="F68" s="94">
        <f t="shared" ca="1" si="8"/>
        <v>10</v>
      </c>
      <c r="G68" s="78"/>
      <c r="H68" s="78">
        <f t="shared" ca="1" si="9"/>
        <v>96.7</v>
      </c>
      <c r="I68" s="111" t="str">
        <f t="shared" ca="1" si="10"/>
        <v>67</v>
      </c>
      <c r="J68" s="78" cm="1">
        <f t="array" aca="1" ref="J68" ca="1">+_xlfn.IFS(AND(I68&gt;="0",I68&lt;"25"),H68-(I68/10),AND(I68&gt;="25",I68&lt;"50"),H68+(5-(I68/10)),AND(I68&gt;="50",I68&lt;"75"),H68-((I68-50)/10),I68&gt;="75",H68+(10-(I68/10)))</f>
        <v>95</v>
      </c>
      <c r="K68" s="78">
        <f t="shared" ca="1" si="11"/>
        <v>10</v>
      </c>
      <c r="L68" s="78"/>
      <c r="M68" s="78"/>
      <c r="N68" s="78"/>
      <c r="O68" s="78"/>
      <c r="P68" s="78"/>
      <c r="Q68" s="78"/>
      <c r="R68" s="78"/>
    </row>
    <row r="69" spans="1:18" ht="15.6" x14ac:dyDescent="0.3">
      <c r="A69" s="78"/>
      <c r="B69" s="95" t="s">
        <v>98</v>
      </c>
      <c r="C69" s="80"/>
      <c r="D69" s="80"/>
      <c r="E69" s="80"/>
      <c r="F69" s="89">
        <f ca="1">+SUMIF(K49:K68,"&lt;=10",F49:F68)</f>
        <v>-10</v>
      </c>
      <c r="G69" s="78"/>
      <c r="H69" s="78"/>
      <c r="I69" s="78"/>
      <c r="J69" s="78"/>
      <c r="K69" s="78">
        <f ca="1">+COUNTIF(K49:K68,"&lt;=10")</f>
        <v>19</v>
      </c>
      <c r="L69" s="78"/>
      <c r="M69" s="78"/>
      <c r="N69" s="78"/>
      <c r="O69" s="78"/>
      <c r="P69" s="78"/>
      <c r="Q69" s="78"/>
      <c r="R69" s="78"/>
    </row>
    <row r="70" spans="1:18" ht="15.6" x14ac:dyDescent="0.3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</row>
    <row r="71" spans="1:18" ht="15.6" x14ac:dyDescent="0.3">
      <c r="A71" s="78"/>
      <c r="B71" s="78">
        <v>100</v>
      </c>
      <c r="C71" s="78">
        <f ca="1">+ROUND(AVERAGE('N° de Obs.'!O6:O25),0)</f>
        <v>26130</v>
      </c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</row>
    <row r="72" spans="1:18" ht="15.6" x14ac:dyDescent="0.3">
      <c r="A72" s="78"/>
      <c r="B72" s="78"/>
      <c r="C72" s="78"/>
      <c r="D72" s="79"/>
      <c r="E72" s="79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</row>
    <row r="73" spans="1:18" ht="15.6" x14ac:dyDescent="0.3">
      <c r="A73" s="78"/>
      <c r="B73" s="78"/>
      <c r="C73" s="78"/>
      <c r="D73" s="105" t="s">
        <v>92</v>
      </c>
      <c r="E73" s="106" t="s">
        <v>93</v>
      </c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</row>
    <row r="74" spans="1:18" ht="15.6" x14ac:dyDescent="0.3">
      <c r="A74" s="78"/>
      <c r="B74" s="78"/>
      <c r="C74" s="78"/>
      <c r="D74" s="90" t="s">
        <v>95</v>
      </c>
      <c r="E74" s="102" t="s">
        <v>25</v>
      </c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</row>
    <row r="75" spans="1:18" ht="15.6" x14ac:dyDescent="0.3">
      <c r="A75" s="78"/>
      <c r="B75" s="78"/>
      <c r="C75" s="78"/>
      <c r="D75" s="90" t="s">
        <v>104</v>
      </c>
      <c r="E75" s="102">
        <v>100</v>
      </c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</row>
    <row r="76" spans="1:18" ht="15.6" x14ac:dyDescent="0.3">
      <c r="A76" s="78"/>
      <c r="B76" s="78"/>
      <c r="C76" s="78"/>
      <c r="D76" s="90" t="s">
        <v>20</v>
      </c>
      <c r="E76" s="102">
        <f ca="1">+C71</f>
        <v>26130</v>
      </c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</row>
    <row r="77" spans="1:18" ht="31.2" x14ac:dyDescent="0.3">
      <c r="A77" s="78"/>
      <c r="B77" s="78"/>
      <c r="C77" s="78"/>
      <c r="D77" s="113" t="s">
        <v>106</v>
      </c>
      <c r="E77" s="102">
        <f ca="1">+K69</f>
        <v>19</v>
      </c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</row>
    <row r="78" spans="1:18" ht="15.6" x14ac:dyDescent="0.3">
      <c r="A78" s="78"/>
      <c r="B78" s="78"/>
      <c r="C78" s="78"/>
      <c r="D78" s="114" t="s">
        <v>103</v>
      </c>
      <c r="E78" s="103">
        <f ca="1">+F69</f>
        <v>-10</v>
      </c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</row>
    <row r="79" spans="1:18" ht="31.2" x14ac:dyDescent="0.3">
      <c r="A79" s="78"/>
      <c r="B79" s="78"/>
      <c r="C79" s="78"/>
      <c r="D79" s="115" t="s">
        <v>105</v>
      </c>
      <c r="E79" s="101" t="str">
        <f ca="1">+CONCATENATE(ROUND((F69/K69*5)/5,2)," %")</f>
        <v>-0.53 %</v>
      </c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</row>
    <row r="80" spans="1:18" ht="15.6" x14ac:dyDescent="0.3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</row>
    <row r="81" spans="1:18" ht="15.6" x14ac:dyDescent="0.3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</row>
    <row r="82" spans="1:18" ht="15.6" x14ac:dyDescent="0.3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</row>
    <row r="83" spans="1:18" ht="15.6" x14ac:dyDescent="0.3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</row>
    <row r="84" spans="1:18" ht="15.6" x14ac:dyDescent="0.3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</row>
    <row r="85" spans="1:18" ht="15.6" x14ac:dyDescent="0.3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</row>
    <row r="87" spans="1:18" x14ac:dyDescent="0.3">
      <c r="C87" s="16"/>
      <c r="D87" s="16"/>
      <c r="E87" s="52" t="str">
        <f>+'N° de Obs.'!G30</f>
        <v>Elemento P</v>
      </c>
      <c r="F87" s="53"/>
      <c r="G87" s="16"/>
    </row>
    <row r="88" spans="1:18" x14ac:dyDescent="0.3">
      <c r="C88" s="16"/>
      <c r="D88" s="16"/>
      <c r="E88" s="16"/>
      <c r="F88" s="16"/>
      <c r="G88" s="16"/>
    </row>
    <row r="89" spans="1:18" ht="15.6" x14ac:dyDescent="0.3">
      <c r="A89" s="78"/>
      <c r="B89" s="79"/>
      <c r="C89" s="79"/>
      <c r="D89" s="79"/>
      <c r="E89" s="79"/>
      <c r="F89" s="79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</row>
    <row r="90" spans="1:18" ht="15.6" x14ac:dyDescent="0.3">
      <c r="A90" s="78"/>
      <c r="B90" s="105" t="s">
        <v>26</v>
      </c>
      <c r="C90" s="106" t="s">
        <v>101</v>
      </c>
      <c r="D90" s="112" t="s">
        <v>102</v>
      </c>
      <c r="E90" s="106" t="s">
        <v>27</v>
      </c>
      <c r="F90" s="107" t="s">
        <v>103</v>
      </c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</row>
    <row r="91" spans="1:18" ht="15.6" x14ac:dyDescent="0.3">
      <c r="A91" s="78"/>
      <c r="B91" s="90">
        <f ca="1">+'N° de Obs.'!D34</f>
        <v>90</v>
      </c>
      <c r="C91" s="102">
        <f ca="1">+'N° de Obs.'!E34</f>
        <v>9343</v>
      </c>
      <c r="D91" s="91">
        <f ca="1">+ROUND($B$113*$C$113/C91,2)</f>
        <v>92.22</v>
      </c>
      <c r="E91" s="102">
        <f ca="1">+J91</f>
        <v>90</v>
      </c>
      <c r="F91" s="92">
        <f ca="1">+B91-E91</f>
        <v>0</v>
      </c>
      <c r="G91" s="78"/>
      <c r="H91" s="78">
        <f ca="1">+ROUND(D91,1)</f>
        <v>92.2</v>
      </c>
      <c r="I91" s="111" t="str">
        <f ca="1">+RIGHT(H91*10,2)</f>
        <v>22</v>
      </c>
      <c r="J91" s="78" cm="1">
        <f t="array" aca="1" ref="J91" ca="1">+_xlfn.IFS(AND(I91&gt;="0",I91&lt;"25"),H91-(I91/10),AND(I91&gt;="25",I91&lt;"50"),H91+(5-(I91/10)),AND(I91&gt;="50",I91&lt;"75"),H91-((I91-50)/10),I91&gt;="75",H91+(10-(I91/10)))</f>
        <v>90</v>
      </c>
      <c r="K91" s="78">
        <f ca="1">+ABS(F91)</f>
        <v>0</v>
      </c>
      <c r="L91" s="78"/>
      <c r="M91" s="78"/>
      <c r="N91" s="78"/>
      <c r="O91" s="78"/>
      <c r="P91" s="78"/>
      <c r="Q91" s="78"/>
      <c r="R91" s="78"/>
    </row>
    <row r="92" spans="1:18" ht="15.6" x14ac:dyDescent="0.3">
      <c r="A92" s="78"/>
      <c r="B92" s="90">
        <f ca="1">+'N° de Obs.'!D35</f>
        <v>85</v>
      </c>
      <c r="C92" s="102">
        <f ca="1">+'N° de Obs.'!E35</f>
        <v>9358</v>
      </c>
      <c r="D92" s="91">
        <f t="shared" ref="D92:D110" ca="1" si="12">+ROUND($B$113*$C$113/C92,2)</f>
        <v>92.07</v>
      </c>
      <c r="E92" s="102">
        <f t="shared" ref="E92:E110" ca="1" si="13">+J92</f>
        <v>90</v>
      </c>
      <c r="F92" s="92">
        <f t="shared" ref="F92:F110" ca="1" si="14">+B92-E92</f>
        <v>-5</v>
      </c>
      <c r="G92" s="78"/>
      <c r="H92" s="78">
        <f t="shared" ref="H92:H110" ca="1" si="15">+ROUND(D92,1)</f>
        <v>92.1</v>
      </c>
      <c r="I92" s="111" t="str">
        <f t="shared" ref="I92:I110" ca="1" si="16">+RIGHT(H92*10,2)</f>
        <v>21</v>
      </c>
      <c r="J92" s="78" cm="1">
        <f t="array" aca="1" ref="J92" ca="1">+_xlfn.IFS(AND(I92&gt;="0",I92&lt;"25"),H92-(I92/10),AND(I92&gt;="25",I92&lt;"50"),H92+(5-(I92/10)),AND(I92&gt;="50",I92&lt;"75"),H92-((I92-50)/10),I92&gt;="75",H92+(10-(I92/10)))</f>
        <v>90</v>
      </c>
      <c r="K92" s="78">
        <f t="shared" ref="K92:K110" ca="1" si="17">+ABS(F92)</f>
        <v>5</v>
      </c>
      <c r="L92" s="78"/>
      <c r="M92" s="78"/>
      <c r="N92" s="78"/>
      <c r="O92" s="78"/>
      <c r="P92" s="78"/>
      <c r="Q92" s="78"/>
      <c r="R92" s="78"/>
    </row>
    <row r="93" spans="1:18" ht="15.6" x14ac:dyDescent="0.3">
      <c r="A93" s="78"/>
      <c r="B93" s="90">
        <f ca="1">+'N° de Obs.'!D36</f>
        <v>90</v>
      </c>
      <c r="C93" s="102">
        <f ca="1">+'N° de Obs.'!E36</f>
        <v>9075</v>
      </c>
      <c r="D93" s="91">
        <f t="shared" ca="1" si="12"/>
        <v>94.94</v>
      </c>
      <c r="E93" s="102">
        <f t="shared" ca="1" si="13"/>
        <v>95</v>
      </c>
      <c r="F93" s="92">
        <f t="shared" ca="1" si="14"/>
        <v>-5</v>
      </c>
      <c r="G93" s="78"/>
      <c r="H93" s="78">
        <f t="shared" ca="1" si="15"/>
        <v>94.9</v>
      </c>
      <c r="I93" s="111" t="str">
        <f t="shared" ca="1" si="16"/>
        <v>49</v>
      </c>
      <c r="J93" s="78" cm="1">
        <f t="array" aca="1" ref="J93" ca="1">+_xlfn.IFS(AND(I93&gt;="0",I93&lt;"25"),H93-(I93/10),AND(I93&gt;="25",I93&lt;"50"),H93+(5-(I93/10)),AND(I93&gt;="50",I93&lt;"75"),H93-((I93-50)/10),I93&gt;="75",H93+(10-(I93/10)))</f>
        <v>95</v>
      </c>
      <c r="K93" s="78">
        <f t="shared" ca="1" si="17"/>
        <v>5</v>
      </c>
      <c r="L93" s="78"/>
      <c r="M93" s="78"/>
      <c r="N93" s="78"/>
      <c r="O93" s="78"/>
      <c r="P93" s="78"/>
      <c r="Q93" s="78"/>
      <c r="R93" s="78"/>
    </row>
    <row r="94" spans="1:18" ht="15.6" x14ac:dyDescent="0.3">
      <c r="A94" s="78"/>
      <c r="B94" s="90">
        <f ca="1">+'N° de Obs.'!D37</f>
        <v>90</v>
      </c>
      <c r="C94" s="102">
        <f ca="1">+'N° de Obs.'!E37</f>
        <v>9421</v>
      </c>
      <c r="D94" s="91">
        <f t="shared" ca="1" si="12"/>
        <v>91.46</v>
      </c>
      <c r="E94" s="102">
        <f t="shared" ca="1" si="13"/>
        <v>90</v>
      </c>
      <c r="F94" s="92">
        <f t="shared" ca="1" si="14"/>
        <v>0</v>
      </c>
      <c r="G94" s="78"/>
      <c r="H94" s="78">
        <f t="shared" ca="1" si="15"/>
        <v>91.5</v>
      </c>
      <c r="I94" s="111" t="str">
        <f t="shared" ca="1" si="16"/>
        <v>15</v>
      </c>
      <c r="J94" s="78" cm="1">
        <f t="array" aca="1" ref="J94" ca="1">+_xlfn.IFS(AND(I94&gt;="0",I94&lt;"25"),H94-(I94/10),AND(I94&gt;="25",I94&lt;"50"),H94+(5-(I94/10)),AND(I94&gt;="50",I94&lt;"75"),H94-((I94-50)/10),I94&gt;="75",H94+(10-(I94/10)))</f>
        <v>90</v>
      </c>
      <c r="K94" s="78">
        <f t="shared" ca="1" si="17"/>
        <v>0</v>
      </c>
      <c r="L94" s="78"/>
      <c r="M94" s="78"/>
      <c r="N94" s="78"/>
      <c r="O94" s="78"/>
      <c r="P94" s="78"/>
      <c r="Q94" s="78"/>
      <c r="R94" s="78"/>
    </row>
    <row r="95" spans="1:18" ht="15.6" x14ac:dyDescent="0.3">
      <c r="A95" s="78"/>
      <c r="B95" s="90">
        <f ca="1">+'N° de Obs.'!D38</f>
        <v>105</v>
      </c>
      <c r="C95" s="102">
        <f ca="1">+'N° de Obs.'!E38</f>
        <v>8736</v>
      </c>
      <c r="D95" s="91">
        <f t="shared" ca="1" si="12"/>
        <v>98.63</v>
      </c>
      <c r="E95" s="102">
        <f t="shared" ca="1" si="13"/>
        <v>100</v>
      </c>
      <c r="F95" s="92">
        <f t="shared" ca="1" si="14"/>
        <v>5</v>
      </c>
      <c r="G95" s="78"/>
      <c r="H95" s="78">
        <f t="shared" ca="1" si="15"/>
        <v>98.6</v>
      </c>
      <c r="I95" s="111" t="str">
        <f t="shared" ca="1" si="16"/>
        <v>86</v>
      </c>
      <c r="J95" s="78" cm="1">
        <f t="array" aca="1" ref="J95" ca="1">+_xlfn.IFS(AND(I95&gt;="0",I95&lt;"25"),H95-(I95/10),AND(I95&gt;="25",I95&lt;"50"),H95+(5-(I95/10)),AND(I95&gt;="50",I95&lt;"75"),H95-((I95-50)/10),I95&gt;="75",H95+(10-(I95/10)))</f>
        <v>100</v>
      </c>
      <c r="K95" s="78">
        <f t="shared" ca="1" si="17"/>
        <v>5</v>
      </c>
      <c r="L95" s="78"/>
      <c r="M95" s="78"/>
      <c r="N95" s="78"/>
      <c r="O95" s="78"/>
      <c r="P95" s="78"/>
      <c r="Q95" s="78"/>
      <c r="R95" s="78"/>
    </row>
    <row r="96" spans="1:18" ht="15.6" x14ac:dyDescent="0.3">
      <c r="A96" s="78"/>
      <c r="B96" s="90">
        <f ca="1">+'N° de Obs.'!D39</f>
        <v>95</v>
      </c>
      <c r="C96" s="102">
        <f ca="1">+'N° de Obs.'!E39</f>
        <v>9058</v>
      </c>
      <c r="D96" s="91">
        <f t="shared" ca="1" si="12"/>
        <v>95.12</v>
      </c>
      <c r="E96" s="102">
        <f t="shared" ca="1" si="13"/>
        <v>95</v>
      </c>
      <c r="F96" s="92">
        <f t="shared" ca="1" si="14"/>
        <v>0</v>
      </c>
      <c r="G96" s="78"/>
      <c r="H96" s="78">
        <f t="shared" ca="1" si="15"/>
        <v>95.1</v>
      </c>
      <c r="I96" s="111" t="str">
        <f t="shared" ca="1" si="16"/>
        <v>51</v>
      </c>
      <c r="J96" s="78" cm="1">
        <f t="array" aca="1" ref="J96" ca="1">+_xlfn.IFS(AND(I96&gt;="0",I96&lt;"25"),H96-(I96/10),AND(I96&gt;="25",I96&lt;"50"),H96+(5-(I96/10)),AND(I96&gt;="50",I96&lt;"75"),H96-((I96-50)/10),I96&gt;="75",H96+(10-(I96/10)))</f>
        <v>95</v>
      </c>
      <c r="K96" s="78">
        <f t="shared" ca="1" si="17"/>
        <v>0</v>
      </c>
      <c r="L96" s="78"/>
      <c r="M96" s="78"/>
      <c r="N96" s="78"/>
      <c r="O96" s="78"/>
      <c r="P96" s="78"/>
      <c r="Q96" s="78"/>
      <c r="R96" s="78"/>
    </row>
    <row r="97" spans="1:18" ht="15.6" x14ac:dyDescent="0.3">
      <c r="A97" s="78"/>
      <c r="B97" s="90">
        <f ca="1">+'N° de Obs.'!D40</f>
        <v>95</v>
      </c>
      <c r="C97" s="102">
        <f ca="1">+'N° de Obs.'!E40</f>
        <v>9167</v>
      </c>
      <c r="D97" s="91">
        <f t="shared" ca="1" si="12"/>
        <v>93.99</v>
      </c>
      <c r="E97" s="102">
        <f t="shared" ca="1" si="13"/>
        <v>95</v>
      </c>
      <c r="F97" s="92">
        <f t="shared" ca="1" si="14"/>
        <v>0</v>
      </c>
      <c r="G97" s="78"/>
      <c r="H97" s="78">
        <f t="shared" ca="1" si="15"/>
        <v>94</v>
      </c>
      <c r="I97" s="111" t="str">
        <f t="shared" ca="1" si="16"/>
        <v>40</v>
      </c>
      <c r="J97" s="78" cm="1">
        <f t="array" aca="1" ref="J97" ca="1">+_xlfn.IFS(AND(I97&gt;="0",I97&lt;"25"),H97-(I97/10),AND(I97&gt;="25",I97&lt;"50"),H97+(5-(I97/10)),AND(I97&gt;="50",I97&lt;"75"),H97-((I97-50)/10),I97&gt;="75",H97+(10-(I97/10)))</f>
        <v>95</v>
      </c>
      <c r="K97" s="78">
        <f t="shared" ca="1" si="17"/>
        <v>0</v>
      </c>
      <c r="L97" s="78"/>
      <c r="M97" s="78"/>
      <c r="N97" s="78"/>
      <c r="O97" s="78"/>
      <c r="P97" s="78"/>
      <c r="Q97" s="78"/>
      <c r="R97" s="78"/>
    </row>
    <row r="98" spans="1:18" ht="15.6" x14ac:dyDescent="0.3">
      <c r="A98" s="78"/>
      <c r="B98" s="90">
        <f ca="1">+'N° de Obs.'!D41</f>
        <v>95</v>
      </c>
      <c r="C98" s="102">
        <f ca="1">+'N° de Obs.'!E41</f>
        <v>9343</v>
      </c>
      <c r="D98" s="91">
        <f t="shared" ca="1" si="12"/>
        <v>92.22</v>
      </c>
      <c r="E98" s="102">
        <f t="shared" ca="1" si="13"/>
        <v>90</v>
      </c>
      <c r="F98" s="92">
        <f t="shared" ca="1" si="14"/>
        <v>5</v>
      </c>
      <c r="G98" s="78"/>
      <c r="H98" s="78">
        <f t="shared" ca="1" si="15"/>
        <v>92.2</v>
      </c>
      <c r="I98" s="111" t="str">
        <f t="shared" ca="1" si="16"/>
        <v>22</v>
      </c>
      <c r="J98" s="78" cm="1">
        <f t="array" aca="1" ref="J98" ca="1">+_xlfn.IFS(AND(I98&gt;="0",I98&lt;"25"),H98-(I98/10),AND(I98&gt;="25",I98&lt;"50"),H98+(5-(I98/10)),AND(I98&gt;="50",I98&lt;"75"),H98-((I98-50)/10),I98&gt;="75",H98+(10-(I98/10)))</f>
        <v>90</v>
      </c>
      <c r="K98" s="78">
        <f t="shared" ca="1" si="17"/>
        <v>5</v>
      </c>
      <c r="L98" s="78"/>
      <c r="M98" s="78"/>
      <c r="N98" s="78"/>
      <c r="O98" s="78"/>
      <c r="P98" s="78"/>
      <c r="Q98" s="78"/>
      <c r="R98" s="78"/>
    </row>
    <row r="99" spans="1:18" ht="15.6" x14ac:dyDescent="0.3">
      <c r="A99" s="78"/>
      <c r="B99" s="90">
        <f ca="1">+'N° de Obs.'!D42</f>
        <v>100</v>
      </c>
      <c r="C99" s="102">
        <f ca="1">+'N° de Obs.'!E42</f>
        <v>9132</v>
      </c>
      <c r="D99" s="91">
        <f t="shared" ca="1" si="12"/>
        <v>94.35</v>
      </c>
      <c r="E99" s="102">
        <f t="shared" ca="1" si="13"/>
        <v>95</v>
      </c>
      <c r="F99" s="92">
        <f t="shared" ca="1" si="14"/>
        <v>5</v>
      </c>
      <c r="G99" s="78"/>
      <c r="H99" s="78">
        <f t="shared" ca="1" si="15"/>
        <v>94.4</v>
      </c>
      <c r="I99" s="111" t="str">
        <f t="shared" ca="1" si="16"/>
        <v>44</v>
      </c>
      <c r="J99" s="78" cm="1">
        <f t="array" aca="1" ref="J99" ca="1">+_xlfn.IFS(AND(I99&gt;="0",I99&lt;"25"),H99-(I99/10),AND(I99&gt;="25",I99&lt;"50"),H99+(5-(I99/10)),AND(I99&gt;="50",I99&lt;"75"),H99-((I99-50)/10),I99&gt;="75",H99+(10-(I99/10)))</f>
        <v>95</v>
      </c>
      <c r="K99" s="78">
        <f t="shared" ca="1" si="17"/>
        <v>5</v>
      </c>
      <c r="L99" s="78"/>
      <c r="M99" s="78"/>
      <c r="N99" s="78"/>
      <c r="O99" s="78"/>
      <c r="P99" s="78"/>
      <c r="Q99" s="78"/>
      <c r="R99" s="78"/>
    </row>
    <row r="100" spans="1:18" ht="15.6" x14ac:dyDescent="0.3">
      <c r="A100" s="78"/>
      <c r="B100" s="90">
        <f ca="1">+'N° de Obs.'!D43</f>
        <v>95</v>
      </c>
      <c r="C100" s="102">
        <f ca="1">+'N° de Obs.'!E43</f>
        <v>9478</v>
      </c>
      <c r="D100" s="91">
        <f t="shared" ca="1" si="12"/>
        <v>90.91</v>
      </c>
      <c r="E100" s="102">
        <f t="shared" ca="1" si="13"/>
        <v>90</v>
      </c>
      <c r="F100" s="92">
        <f t="shared" ca="1" si="14"/>
        <v>5</v>
      </c>
      <c r="G100" s="78"/>
      <c r="H100" s="78">
        <f t="shared" ca="1" si="15"/>
        <v>90.9</v>
      </c>
      <c r="I100" s="111" t="str">
        <f t="shared" ca="1" si="16"/>
        <v>09</v>
      </c>
      <c r="J100" s="78" cm="1">
        <f t="array" aca="1" ref="J100" ca="1">+_xlfn.IFS(AND(I100&gt;="0",I100&lt;"25"),H100-(I100/10),AND(I100&gt;="25",I100&lt;"50"),H100+(5-(I100/10)),AND(I100&gt;="50",I100&lt;"75"),H100-((I100-50)/10),I100&gt;="75",H100+(10-(I100/10)))</f>
        <v>90</v>
      </c>
      <c r="K100" s="78">
        <f t="shared" ca="1" si="17"/>
        <v>5</v>
      </c>
      <c r="L100" s="78"/>
      <c r="M100" s="78"/>
      <c r="N100" s="78"/>
      <c r="O100" s="78"/>
      <c r="P100" s="78"/>
      <c r="Q100" s="78"/>
      <c r="R100" s="78"/>
    </row>
    <row r="101" spans="1:18" ht="15.6" x14ac:dyDescent="0.3">
      <c r="A101" s="78"/>
      <c r="B101" s="90">
        <f ca="1">+'N° de Obs.'!D44</f>
        <v>100</v>
      </c>
      <c r="C101" s="102">
        <f ca="1">+'N° de Obs.'!E44</f>
        <v>9250</v>
      </c>
      <c r="D101" s="91">
        <f t="shared" ca="1" si="12"/>
        <v>93.15</v>
      </c>
      <c r="E101" s="102">
        <f t="shared" ca="1" si="13"/>
        <v>95</v>
      </c>
      <c r="F101" s="92">
        <f t="shared" ca="1" si="14"/>
        <v>5</v>
      </c>
      <c r="G101" s="78"/>
      <c r="H101" s="78">
        <f t="shared" ca="1" si="15"/>
        <v>93.2</v>
      </c>
      <c r="I101" s="111" t="str">
        <f t="shared" ca="1" si="16"/>
        <v>32</v>
      </c>
      <c r="J101" s="78" cm="1">
        <f t="array" aca="1" ref="J101" ca="1">+_xlfn.IFS(AND(I101&gt;="0",I101&lt;"25"),H101-(I101/10),AND(I101&gt;="25",I101&lt;"50"),H101+(5-(I101/10)),AND(I101&gt;="50",I101&lt;"75"),H101-((I101-50)/10),I101&gt;="75",H101+(10-(I101/10)))</f>
        <v>95</v>
      </c>
      <c r="K101" s="78">
        <f t="shared" ca="1" si="17"/>
        <v>5</v>
      </c>
      <c r="L101" s="78"/>
      <c r="M101" s="78"/>
      <c r="N101" s="78"/>
      <c r="O101" s="78"/>
      <c r="P101" s="78"/>
      <c r="Q101" s="78"/>
      <c r="R101" s="78"/>
    </row>
    <row r="102" spans="1:18" ht="15.6" x14ac:dyDescent="0.3">
      <c r="A102" s="78"/>
      <c r="B102" s="90">
        <f ca="1">+'N° de Obs.'!D45</f>
        <v>100</v>
      </c>
      <c r="C102" s="102">
        <f ca="1">+'N° de Obs.'!E45</f>
        <v>8865</v>
      </c>
      <c r="D102" s="91">
        <f t="shared" ca="1" si="12"/>
        <v>97.19</v>
      </c>
      <c r="E102" s="102">
        <f t="shared" ca="1" si="13"/>
        <v>95</v>
      </c>
      <c r="F102" s="92">
        <f t="shared" ca="1" si="14"/>
        <v>5</v>
      </c>
      <c r="G102" s="78"/>
      <c r="H102" s="78">
        <f t="shared" ca="1" si="15"/>
        <v>97.2</v>
      </c>
      <c r="I102" s="111" t="str">
        <f t="shared" ca="1" si="16"/>
        <v>72</v>
      </c>
      <c r="J102" s="78" cm="1">
        <f t="array" aca="1" ref="J102" ca="1">+_xlfn.IFS(AND(I102&gt;="0",I102&lt;"25"),H102-(I102/10),AND(I102&gt;="25",I102&lt;"50"),H102+(5-(I102/10)),AND(I102&gt;="50",I102&lt;"75"),H102-((I102-50)/10),I102&gt;="75",H102+(10-(I102/10)))</f>
        <v>95</v>
      </c>
      <c r="K102" s="78">
        <f t="shared" ca="1" si="17"/>
        <v>5</v>
      </c>
      <c r="L102" s="78"/>
      <c r="M102" s="78"/>
      <c r="N102" s="78"/>
      <c r="O102" s="78"/>
      <c r="P102" s="78"/>
      <c r="Q102" s="78"/>
      <c r="R102" s="78"/>
    </row>
    <row r="103" spans="1:18" ht="15.6" x14ac:dyDescent="0.3">
      <c r="A103" s="78"/>
      <c r="B103" s="90">
        <f ca="1">+'N° de Obs.'!D46</f>
        <v>95</v>
      </c>
      <c r="C103" s="102">
        <f ca="1">+'N° de Obs.'!E46</f>
        <v>9341</v>
      </c>
      <c r="D103" s="117">
        <f t="shared" ca="1" si="12"/>
        <v>92.24</v>
      </c>
      <c r="E103" s="102">
        <f t="shared" ca="1" si="13"/>
        <v>90</v>
      </c>
      <c r="F103" s="92">
        <f t="shared" ca="1" si="14"/>
        <v>5</v>
      </c>
      <c r="G103" s="78"/>
      <c r="H103" s="78">
        <f t="shared" ca="1" si="15"/>
        <v>92.2</v>
      </c>
      <c r="I103" s="111" t="str">
        <f t="shared" ca="1" si="16"/>
        <v>22</v>
      </c>
      <c r="J103" s="78" cm="1">
        <f t="array" aca="1" ref="J103" ca="1">+_xlfn.IFS(AND(I103&gt;="0",I103&lt;"25"),H103-(I103/10),AND(I103&gt;="25",I103&lt;"50"),H103+(5-(I103/10)),AND(I103&gt;="50",I103&lt;"75"),H103-((I103-50)/10),I103&gt;="75",H103+(10-(I103/10)))</f>
        <v>90</v>
      </c>
      <c r="K103" s="78">
        <f t="shared" ca="1" si="17"/>
        <v>5</v>
      </c>
      <c r="L103" s="78"/>
      <c r="M103" s="78"/>
      <c r="N103" s="78"/>
      <c r="O103" s="78"/>
      <c r="P103" s="78"/>
      <c r="Q103" s="78"/>
      <c r="R103" s="78"/>
    </row>
    <row r="104" spans="1:18" ht="15.6" x14ac:dyDescent="0.3">
      <c r="A104" s="78"/>
      <c r="B104" s="90">
        <f ca="1">+'N° de Obs.'!D47</f>
        <v>100</v>
      </c>
      <c r="C104" s="102">
        <f ca="1">+'N° de Obs.'!E47</f>
        <v>8674</v>
      </c>
      <c r="D104" s="91">
        <f t="shared" ca="1" si="12"/>
        <v>99.33</v>
      </c>
      <c r="E104" s="102">
        <f t="shared" ca="1" si="13"/>
        <v>100</v>
      </c>
      <c r="F104" s="92">
        <f t="shared" ca="1" si="14"/>
        <v>0</v>
      </c>
      <c r="G104" s="78"/>
      <c r="H104" s="78">
        <f t="shared" ca="1" si="15"/>
        <v>99.3</v>
      </c>
      <c r="I104" s="111" t="str">
        <f t="shared" ca="1" si="16"/>
        <v>93</v>
      </c>
      <c r="J104" s="78" cm="1">
        <f t="array" aca="1" ref="J104" ca="1">+_xlfn.IFS(AND(I104&gt;="0",I104&lt;"25"),H104-(I104/10),AND(I104&gt;="25",I104&lt;"50"),H104+(5-(I104/10)),AND(I104&gt;="50",I104&lt;"75"),H104-((I104-50)/10),I104&gt;="75",H104+(10-(I104/10)))</f>
        <v>100</v>
      </c>
      <c r="K104" s="78">
        <f t="shared" ca="1" si="17"/>
        <v>0</v>
      </c>
      <c r="L104" s="78"/>
      <c r="M104" s="78"/>
      <c r="N104" s="78"/>
      <c r="O104" s="78"/>
      <c r="P104" s="78"/>
      <c r="Q104" s="78"/>
      <c r="R104" s="78"/>
    </row>
    <row r="105" spans="1:18" ht="15.6" x14ac:dyDescent="0.3">
      <c r="A105" s="78"/>
      <c r="B105" s="90">
        <f ca="1">+'N° de Obs.'!D48</f>
        <v>100</v>
      </c>
      <c r="C105" s="102">
        <f ca="1">+'N° de Obs.'!E48</f>
        <v>8810</v>
      </c>
      <c r="D105" s="91">
        <f t="shared" ca="1" si="12"/>
        <v>97.8</v>
      </c>
      <c r="E105" s="102">
        <f t="shared" ca="1" si="13"/>
        <v>100</v>
      </c>
      <c r="F105" s="92">
        <f t="shared" ca="1" si="14"/>
        <v>0</v>
      </c>
      <c r="G105" s="78"/>
      <c r="H105" s="78">
        <f t="shared" ca="1" si="15"/>
        <v>97.8</v>
      </c>
      <c r="I105" s="111" t="str">
        <f t="shared" ca="1" si="16"/>
        <v>78</v>
      </c>
      <c r="J105" s="78" cm="1">
        <f t="array" aca="1" ref="J105" ca="1">+_xlfn.IFS(AND(I105&gt;="0",I105&lt;"25"),H105-(I105/10),AND(I105&gt;="25",I105&lt;"50"),H105+(5-(I105/10)),AND(I105&gt;="50",I105&lt;"75"),H105-((I105-50)/10),I105&gt;="75",H105+(10-(I105/10)))</f>
        <v>100</v>
      </c>
      <c r="K105" s="78">
        <f t="shared" ca="1" si="17"/>
        <v>0</v>
      </c>
      <c r="L105" s="78"/>
      <c r="M105" s="78"/>
      <c r="N105" s="78"/>
      <c r="O105" s="78"/>
      <c r="P105" s="78"/>
      <c r="Q105" s="78"/>
      <c r="R105" s="78"/>
    </row>
    <row r="106" spans="1:18" ht="15.6" x14ac:dyDescent="0.3">
      <c r="A106" s="78"/>
      <c r="B106" s="90">
        <f ca="1">+'N° de Obs.'!D49</f>
        <v>85</v>
      </c>
      <c r="C106" s="102">
        <f ca="1">+'N° de Obs.'!E49</f>
        <v>9312</v>
      </c>
      <c r="D106" s="91">
        <f t="shared" ca="1" si="12"/>
        <v>92.53</v>
      </c>
      <c r="E106" s="102">
        <f t="shared" ca="1" si="13"/>
        <v>95</v>
      </c>
      <c r="F106" s="92">
        <f t="shared" ca="1" si="14"/>
        <v>-10</v>
      </c>
      <c r="G106" s="78"/>
      <c r="H106" s="78">
        <f t="shared" ca="1" si="15"/>
        <v>92.5</v>
      </c>
      <c r="I106" s="111" t="str">
        <f t="shared" ca="1" si="16"/>
        <v>25</v>
      </c>
      <c r="J106" s="78" cm="1">
        <f t="array" aca="1" ref="J106" ca="1">+_xlfn.IFS(AND(I106&gt;="0",I106&lt;"25"),H106-(I106/10),AND(I106&gt;="25",I106&lt;"50"),H106+(5-(I106/10)),AND(I106&gt;="50",I106&lt;"75"),H106-((I106-50)/10),I106&gt;="75",H106+(10-(I106/10)))</f>
        <v>95</v>
      </c>
      <c r="K106" s="78">
        <f t="shared" ca="1" si="17"/>
        <v>10</v>
      </c>
      <c r="L106" s="78"/>
      <c r="M106" s="78"/>
      <c r="N106" s="78"/>
      <c r="O106" s="78"/>
      <c r="P106" s="78"/>
      <c r="Q106" s="78"/>
      <c r="R106" s="78"/>
    </row>
    <row r="107" spans="1:18" ht="15.6" x14ac:dyDescent="0.3">
      <c r="A107" s="78"/>
      <c r="B107" s="90">
        <f ca="1">+'N° de Obs.'!D50</f>
        <v>105</v>
      </c>
      <c r="C107" s="102">
        <f ca="1">+'N° de Obs.'!E50</f>
        <v>8998</v>
      </c>
      <c r="D107" s="91">
        <f t="shared" ca="1" si="12"/>
        <v>95.75</v>
      </c>
      <c r="E107" s="102">
        <f t="shared" ca="1" si="13"/>
        <v>95</v>
      </c>
      <c r="F107" s="92">
        <f t="shared" ca="1" si="14"/>
        <v>10</v>
      </c>
      <c r="G107" s="78"/>
      <c r="H107" s="78">
        <f t="shared" ca="1" si="15"/>
        <v>95.8</v>
      </c>
      <c r="I107" s="111" t="str">
        <f t="shared" ca="1" si="16"/>
        <v>58</v>
      </c>
      <c r="J107" s="78" cm="1">
        <f t="array" aca="1" ref="J107" ca="1">+_xlfn.IFS(AND(I107&gt;="0",I107&lt;"25"),H107-(I107/10),AND(I107&gt;="25",I107&lt;"50"),H107+(5-(I107/10)),AND(I107&gt;="50",I107&lt;"75"),H107-((I107-50)/10),I107&gt;="75",H107+(10-(I107/10)))</f>
        <v>95</v>
      </c>
      <c r="K107" s="78">
        <f t="shared" ca="1" si="17"/>
        <v>10</v>
      </c>
      <c r="L107" s="78"/>
      <c r="M107" s="78"/>
      <c r="N107" s="78"/>
      <c r="O107" s="78"/>
      <c r="P107" s="78"/>
      <c r="Q107" s="78"/>
      <c r="R107" s="78"/>
    </row>
    <row r="108" spans="1:18" ht="15.6" x14ac:dyDescent="0.3">
      <c r="A108" s="78"/>
      <c r="B108" s="90">
        <f ca="1">+'N° de Obs.'!D51</f>
        <v>85</v>
      </c>
      <c r="C108" s="102">
        <f ca="1">+'N° de Obs.'!E51</f>
        <v>8838</v>
      </c>
      <c r="D108" s="91">
        <f t="shared" ca="1" si="12"/>
        <v>97.49</v>
      </c>
      <c r="E108" s="102">
        <f t="shared" ca="1" si="13"/>
        <v>100</v>
      </c>
      <c r="F108" s="92">
        <f t="shared" ca="1" si="14"/>
        <v>-15</v>
      </c>
      <c r="G108" s="78"/>
      <c r="H108" s="78">
        <f t="shared" ca="1" si="15"/>
        <v>97.5</v>
      </c>
      <c r="I108" s="111" t="str">
        <f t="shared" ca="1" si="16"/>
        <v>75</v>
      </c>
      <c r="J108" s="78" cm="1">
        <f t="array" aca="1" ref="J108" ca="1">+_xlfn.IFS(AND(I108&gt;="0",I108&lt;"25"),H108-(I108/10),AND(I108&gt;="25",I108&lt;"50"),H108+(5-(I108/10)),AND(I108&gt;="50",I108&lt;"75"),H108-((I108-50)/10),I108&gt;="75",H108+(10-(I108/10)))</f>
        <v>100</v>
      </c>
      <c r="K108" s="78">
        <f t="shared" ca="1" si="17"/>
        <v>15</v>
      </c>
      <c r="L108" s="78"/>
      <c r="M108" s="78"/>
      <c r="N108" s="78"/>
      <c r="O108" s="78"/>
      <c r="P108" s="78"/>
      <c r="Q108" s="78"/>
      <c r="R108" s="78"/>
    </row>
    <row r="109" spans="1:18" ht="15.6" x14ac:dyDescent="0.3">
      <c r="A109" s="78"/>
      <c r="B109" s="90">
        <f ca="1">+'N° de Obs.'!D52</f>
        <v>90</v>
      </c>
      <c r="C109" s="102">
        <f ca="1">+'N° de Obs.'!E52</f>
        <v>8618</v>
      </c>
      <c r="D109" s="91">
        <f t="shared" ca="1" si="12"/>
        <v>99.98</v>
      </c>
      <c r="E109" s="102">
        <f t="shared" ca="1" si="13"/>
        <v>100</v>
      </c>
      <c r="F109" s="92">
        <f t="shared" ca="1" si="14"/>
        <v>-10</v>
      </c>
      <c r="G109" s="78"/>
      <c r="H109" s="78">
        <f t="shared" ca="1" si="15"/>
        <v>100</v>
      </c>
      <c r="I109" s="111" t="str">
        <f t="shared" ca="1" si="16"/>
        <v>00</v>
      </c>
      <c r="J109" s="78" cm="1">
        <f t="array" aca="1" ref="J109" ca="1">+_xlfn.IFS(AND(I109&gt;="0",I109&lt;"25"),H109-(I109/10),AND(I109&gt;="25",I109&lt;"50"),H109+(5-(I109/10)),AND(I109&gt;="50",I109&lt;"75"),H109-((I109-50)/10),I109&gt;="75",H109+(10-(I109/10)))</f>
        <v>100</v>
      </c>
      <c r="K109" s="78">
        <f t="shared" ca="1" si="17"/>
        <v>10</v>
      </c>
      <c r="L109" s="78"/>
      <c r="M109" s="78"/>
      <c r="N109" s="78"/>
      <c r="O109" s="78"/>
      <c r="P109" s="78"/>
      <c r="Q109" s="78"/>
      <c r="R109" s="78"/>
    </row>
    <row r="110" spans="1:18" ht="15.6" x14ac:dyDescent="0.3">
      <c r="A110" s="78"/>
      <c r="B110" s="90">
        <f ca="1">+'N° de Obs.'!D53</f>
        <v>95</v>
      </c>
      <c r="C110" s="103">
        <f ca="1">+'N° de Obs.'!E53</f>
        <v>9157</v>
      </c>
      <c r="D110" s="91">
        <f t="shared" ca="1" si="12"/>
        <v>94.09</v>
      </c>
      <c r="E110" s="103">
        <f t="shared" ca="1" si="13"/>
        <v>95</v>
      </c>
      <c r="F110" s="94">
        <f t="shared" ca="1" si="14"/>
        <v>0</v>
      </c>
      <c r="G110" s="78"/>
      <c r="H110" s="78">
        <f t="shared" ca="1" si="15"/>
        <v>94.1</v>
      </c>
      <c r="I110" s="111" t="str">
        <f t="shared" ca="1" si="16"/>
        <v>41</v>
      </c>
      <c r="J110" s="78" cm="1">
        <f t="array" aca="1" ref="J110" ca="1">+_xlfn.IFS(AND(I110&gt;="0",I110&lt;"25"),H110-(I110/10),AND(I110&gt;="25",I110&lt;"50"),H110+(5-(I110/10)),AND(I110&gt;="50",I110&lt;"75"),H110-((I110-50)/10),I110&gt;="75",H110+(10-(I110/10)))</f>
        <v>95</v>
      </c>
      <c r="K110" s="78">
        <f t="shared" ca="1" si="17"/>
        <v>0</v>
      </c>
      <c r="L110" s="78"/>
      <c r="M110" s="78"/>
      <c r="N110" s="78"/>
      <c r="O110" s="78"/>
      <c r="P110" s="78"/>
      <c r="Q110" s="78"/>
      <c r="R110" s="78"/>
    </row>
    <row r="111" spans="1:18" ht="15.6" x14ac:dyDescent="0.3">
      <c r="A111" s="78"/>
      <c r="B111" s="95" t="s">
        <v>98</v>
      </c>
      <c r="C111" s="80"/>
      <c r="D111" s="80"/>
      <c r="E111" s="80"/>
      <c r="F111" s="89">
        <f ca="1">+SUMIF(K91:K110,"&lt;=10",F91:F110)</f>
        <v>15</v>
      </c>
      <c r="G111" s="78"/>
      <c r="H111" s="78"/>
      <c r="I111" s="78"/>
      <c r="J111" s="78"/>
      <c r="K111" s="78">
        <f ca="1">+COUNTIF(K91:K110,"&lt;=10")</f>
        <v>19</v>
      </c>
      <c r="L111" s="78"/>
      <c r="M111" s="78"/>
      <c r="N111" s="78"/>
      <c r="O111" s="78"/>
      <c r="P111" s="78"/>
      <c r="Q111" s="78"/>
      <c r="R111" s="78"/>
    </row>
    <row r="112" spans="1:18" ht="15.6" x14ac:dyDescent="0.3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</row>
    <row r="113" spans="1:18" ht="15.6" x14ac:dyDescent="0.3">
      <c r="A113" s="78"/>
      <c r="B113" s="78">
        <v>100</v>
      </c>
      <c r="C113" s="78">
        <f ca="1">+ROUND(AVERAGE('N° de Obs.'!F34:F53),0)</f>
        <v>8616</v>
      </c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</row>
    <row r="114" spans="1:18" ht="15.6" x14ac:dyDescent="0.3">
      <c r="A114" s="78"/>
      <c r="B114" s="78"/>
      <c r="C114" s="78"/>
      <c r="D114" s="79"/>
      <c r="E114" s="79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</row>
    <row r="115" spans="1:18" ht="15.6" x14ac:dyDescent="0.3">
      <c r="A115" s="78"/>
      <c r="B115" s="78"/>
      <c r="C115" s="78"/>
      <c r="D115" s="105" t="s">
        <v>92</v>
      </c>
      <c r="E115" s="106" t="s">
        <v>93</v>
      </c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</row>
    <row r="116" spans="1:18" ht="15.6" x14ac:dyDescent="0.3">
      <c r="A116" s="78"/>
      <c r="B116" s="78"/>
      <c r="C116" s="78"/>
      <c r="D116" s="90" t="s">
        <v>95</v>
      </c>
      <c r="E116" s="102" t="s">
        <v>25</v>
      </c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</row>
    <row r="117" spans="1:18" ht="15.6" x14ac:dyDescent="0.3">
      <c r="A117" s="78"/>
      <c r="B117" s="78"/>
      <c r="C117" s="78"/>
      <c r="D117" s="90" t="s">
        <v>104</v>
      </c>
      <c r="E117" s="102">
        <v>100</v>
      </c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</row>
    <row r="118" spans="1:18" ht="15.6" x14ac:dyDescent="0.3">
      <c r="A118" s="78"/>
      <c r="B118" s="78"/>
      <c r="C118" s="78"/>
      <c r="D118" s="90" t="s">
        <v>20</v>
      </c>
      <c r="E118" s="102">
        <f ca="1">+C113</f>
        <v>8616</v>
      </c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</row>
    <row r="119" spans="1:18" ht="31.2" x14ac:dyDescent="0.3">
      <c r="A119" s="78"/>
      <c r="B119" s="78"/>
      <c r="C119" s="78"/>
      <c r="D119" s="113" t="s">
        <v>106</v>
      </c>
      <c r="E119" s="102">
        <f ca="1">+K111</f>
        <v>19</v>
      </c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</row>
    <row r="120" spans="1:18" ht="15.6" x14ac:dyDescent="0.3">
      <c r="A120" s="78"/>
      <c r="B120" s="78"/>
      <c r="C120" s="78"/>
      <c r="D120" s="114" t="s">
        <v>103</v>
      </c>
      <c r="E120" s="103">
        <f ca="1">+F111</f>
        <v>15</v>
      </c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</row>
    <row r="121" spans="1:18" ht="31.2" x14ac:dyDescent="0.3">
      <c r="A121" s="78"/>
      <c r="B121" s="78"/>
      <c r="C121" s="78"/>
      <c r="D121" s="115" t="s">
        <v>105</v>
      </c>
      <c r="E121" s="101" t="str">
        <f ca="1">+CONCATENATE(ROUND((F111/K111*5)/5,2)," %")</f>
        <v>0.79 %</v>
      </c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</row>
    <row r="122" spans="1:18" ht="15.6" x14ac:dyDescent="0.3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</row>
    <row r="123" spans="1:18" ht="15.6" x14ac:dyDescent="0.3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</row>
    <row r="124" spans="1:18" ht="15.6" x14ac:dyDescent="0.3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</row>
    <row r="125" spans="1:18" ht="15.6" x14ac:dyDescent="0.3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</row>
    <row r="127" spans="1:18" x14ac:dyDescent="0.3">
      <c r="C127" s="16"/>
      <c r="D127" s="16"/>
      <c r="E127" s="52" t="str">
        <f>+'N° de Obs.'!P30</f>
        <v>Elemento T</v>
      </c>
      <c r="F127" s="53"/>
      <c r="G127" s="16"/>
    </row>
    <row r="128" spans="1:18" x14ac:dyDescent="0.3">
      <c r="C128" s="16"/>
      <c r="D128" s="16"/>
      <c r="E128" s="16"/>
      <c r="F128" s="16"/>
      <c r="G128" s="16"/>
    </row>
    <row r="129" spans="1:18" ht="15.6" x14ac:dyDescent="0.3">
      <c r="A129" s="78"/>
      <c r="B129" s="79"/>
      <c r="C129" s="79"/>
      <c r="D129" s="79"/>
      <c r="E129" s="79"/>
      <c r="F129" s="79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</row>
    <row r="130" spans="1:18" ht="15.6" x14ac:dyDescent="0.3">
      <c r="A130" s="78"/>
      <c r="B130" s="105" t="s">
        <v>26</v>
      </c>
      <c r="C130" s="106" t="s">
        <v>101</v>
      </c>
      <c r="D130" s="112" t="s">
        <v>102</v>
      </c>
      <c r="E130" s="106" t="s">
        <v>27</v>
      </c>
      <c r="F130" s="107" t="s">
        <v>103</v>
      </c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</row>
    <row r="131" spans="1:18" ht="15.6" x14ac:dyDescent="0.3">
      <c r="A131" s="78"/>
      <c r="B131" s="90">
        <f ca="1">+'N° de Obs.'!M34</f>
        <v>85</v>
      </c>
      <c r="C131" s="102">
        <f ca="1">+'N° de Obs.'!N34</f>
        <v>19774</v>
      </c>
      <c r="D131" s="91">
        <f ca="1">+ROUND($B$153*$C$153/C131,2)</f>
        <v>88.86</v>
      </c>
      <c r="E131" s="102">
        <f ca="1">+J131</f>
        <v>90</v>
      </c>
      <c r="F131" s="92">
        <f ca="1">+B131-E131</f>
        <v>-5</v>
      </c>
      <c r="G131" s="78"/>
      <c r="H131" s="78">
        <f ca="1">+ROUND(D131,1)</f>
        <v>88.9</v>
      </c>
      <c r="I131" s="111" t="str">
        <f ca="1">+RIGHT(H131*10,2)</f>
        <v>89</v>
      </c>
      <c r="J131" s="78" cm="1">
        <f t="array" aca="1" ref="J131" ca="1">+_xlfn.IFS(AND(I131&gt;="0",I131&lt;"25"),H131-(I131/10),AND(I131&gt;="25",I131&lt;"50"),H131+(5-(I131/10)),AND(I131&gt;="50",I131&lt;"75"),H131-((I131-50)/10),I131&gt;="75",H131+(10-(I131/10)))</f>
        <v>90</v>
      </c>
      <c r="K131" s="78">
        <f ca="1">+ABS(F131)</f>
        <v>5</v>
      </c>
      <c r="L131" s="78"/>
      <c r="M131" s="78"/>
      <c r="N131" s="78"/>
      <c r="O131" s="78"/>
      <c r="P131" s="78"/>
      <c r="Q131" s="78"/>
      <c r="R131" s="78"/>
    </row>
    <row r="132" spans="1:18" ht="15.6" x14ac:dyDescent="0.3">
      <c r="A132" s="78"/>
      <c r="B132" s="90">
        <f ca="1">+'N° de Obs.'!M35</f>
        <v>85</v>
      </c>
      <c r="C132" s="102">
        <f ca="1">+'N° de Obs.'!N35</f>
        <v>20426</v>
      </c>
      <c r="D132" s="91">
        <f t="shared" ref="D132:D150" ca="1" si="18">+ROUND($B$153*$C$153/C132,2)</f>
        <v>86.03</v>
      </c>
      <c r="E132" s="102">
        <f t="shared" ref="E132:E150" ca="1" si="19">+J132</f>
        <v>85</v>
      </c>
      <c r="F132" s="92">
        <f t="shared" ref="F132:F150" ca="1" si="20">+B132-E132</f>
        <v>0</v>
      </c>
      <c r="G132" s="78"/>
      <c r="H132" s="78">
        <f t="shared" ref="H132:H150" ca="1" si="21">+ROUND(D132,1)</f>
        <v>86</v>
      </c>
      <c r="I132" s="111" t="str">
        <f t="shared" ref="I132:I150" ca="1" si="22">+RIGHT(H132*10,2)</f>
        <v>60</v>
      </c>
      <c r="J132" s="78" cm="1">
        <f t="array" aca="1" ref="J132" ca="1">+_xlfn.IFS(AND(I132&gt;="0",I132&lt;"25"),H132-(I132/10),AND(I132&gt;="25",I132&lt;"50"),H132+(5-(I132/10)),AND(I132&gt;="50",I132&lt;"75"),H132-((I132-50)/10),I132&gt;="75",H132+(10-(I132/10)))</f>
        <v>85</v>
      </c>
      <c r="K132" s="78">
        <f t="shared" ref="K132:K150" ca="1" si="23">+ABS(F132)</f>
        <v>0</v>
      </c>
      <c r="L132" s="78"/>
      <c r="M132" s="78"/>
      <c r="N132" s="78"/>
      <c r="O132" s="78"/>
      <c r="P132" s="78"/>
      <c r="Q132" s="78"/>
      <c r="R132" s="78"/>
    </row>
    <row r="133" spans="1:18" ht="15.6" x14ac:dyDescent="0.3">
      <c r="A133" s="78"/>
      <c r="B133" s="90">
        <f ca="1">+'N° de Obs.'!M36</f>
        <v>85</v>
      </c>
      <c r="C133" s="102">
        <f ca="1">+'N° de Obs.'!N36</f>
        <v>19528</v>
      </c>
      <c r="D133" s="91">
        <f t="shared" ca="1" si="18"/>
        <v>89.98</v>
      </c>
      <c r="E133" s="102">
        <f t="shared" ca="1" si="19"/>
        <v>90</v>
      </c>
      <c r="F133" s="92">
        <f t="shared" ca="1" si="20"/>
        <v>-5</v>
      </c>
      <c r="G133" s="78"/>
      <c r="H133" s="78">
        <f t="shared" ca="1" si="21"/>
        <v>90</v>
      </c>
      <c r="I133" s="111" t="str">
        <f t="shared" ca="1" si="22"/>
        <v>00</v>
      </c>
      <c r="J133" s="78" cm="1">
        <f t="array" aca="1" ref="J133" ca="1">+_xlfn.IFS(AND(I133&gt;="0",I133&lt;"25"),H133-(I133/10),AND(I133&gt;="25",I133&lt;"50"),H133+(5-(I133/10)),AND(I133&gt;="50",I133&lt;"75"),H133-((I133-50)/10),I133&gt;="75",H133+(10-(I133/10)))</f>
        <v>90</v>
      </c>
      <c r="K133" s="78">
        <f t="shared" ca="1" si="23"/>
        <v>5</v>
      </c>
      <c r="L133" s="78"/>
      <c r="M133" s="78"/>
      <c r="N133" s="78"/>
      <c r="O133" s="78"/>
      <c r="P133" s="78"/>
      <c r="Q133" s="78"/>
      <c r="R133" s="78"/>
    </row>
    <row r="134" spans="1:18" ht="15.6" x14ac:dyDescent="0.3">
      <c r="A134" s="78"/>
      <c r="B134" s="90">
        <f ca="1">+'N° de Obs.'!M37</f>
        <v>95</v>
      </c>
      <c r="C134" s="102">
        <f ca="1">+'N° de Obs.'!N37</f>
        <v>19814</v>
      </c>
      <c r="D134" s="91">
        <f t="shared" ca="1" si="18"/>
        <v>88.68</v>
      </c>
      <c r="E134" s="102">
        <f t="shared" ca="1" si="19"/>
        <v>90</v>
      </c>
      <c r="F134" s="92">
        <f t="shared" ca="1" si="20"/>
        <v>5</v>
      </c>
      <c r="G134" s="78"/>
      <c r="H134" s="78">
        <f t="shared" ca="1" si="21"/>
        <v>88.7</v>
      </c>
      <c r="I134" s="111" t="str">
        <f t="shared" ca="1" si="22"/>
        <v>87</v>
      </c>
      <c r="J134" s="78" cm="1">
        <f t="array" aca="1" ref="J134" ca="1">+_xlfn.IFS(AND(I134&gt;="0",I134&lt;"25"),H134-(I134/10),AND(I134&gt;="25",I134&lt;"50"),H134+(5-(I134/10)),AND(I134&gt;="50",I134&lt;"75"),H134-((I134-50)/10),I134&gt;="75",H134+(10-(I134/10)))</f>
        <v>90</v>
      </c>
      <c r="K134" s="78">
        <f t="shared" ca="1" si="23"/>
        <v>5</v>
      </c>
      <c r="L134" s="78"/>
      <c r="M134" s="78"/>
      <c r="N134" s="78"/>
      <c r="O134" s="78"/>
      <c r="P134" s="78"/>
      <c r="Q134" s="78"/>
      <c r="R134" s="78"/>
    </row>
    <row r="135" spans="1:18" ht="15.6" x14ac:dyDescent="0.3">
      <c r="A135" s="78"/>
      <c r="B135" s="90">
        <f ca="1">+'N° de Obs.'!M38</f>
        <v>90</v>
      </c>
      <c r="C135" s="102">
        <f ca="1">+'N° de Obs.'!N38</f>
        <v>19094</v>
      </c>
      <c r="D135" s="91">
        <f t="shared" ca="1" si="18"/>
        <v>92.03</v>
      </c>
      <c r="E135" s="102">
        <f t="shared" ca="1" si="19"/>
        <v>90</v>
      </c>
      <c r="F135" s="92">
        <f t="shared" ca="1" si="20"/>
        <v>0</v>
      </c>
      <c r="G135" s="78"/>
      <c r="H135" s="78">
        <f t="shared" ca="1" si="21"/>
        <v>92</v>
      </c>
      <c r="I135" s="111" t="str">
        <f t="shared" ca="1" si="22"/>
        <v>20</v>
      </c>
      <c r="J135" s="78" cm="1">
        <f t="array" aca="1" ref="J135" ca="1">+_xlfn.IFS(AND(I135&gt;="0",I135&lt;"25"),H135-(I135/10),AND(I135&gt;="25",I135&lt;"50"),H135+(5-(I135/10)),AND(I135&gt;="50",I135&lt;"75"),H135-((I135-50)/10),I135&gt;="75",H135+(10-(I135/10)))</f>
        <v>90</v>
      </c>
      <c r="K135" s="78">
        <f t="shared" ca="1" si="23"/>
        <v>0</v>
      </c>
      <c r="L135" s="78"/>
      <c r="M135" s="78"/>
      <c r="N135" s="78"/>
      <c r="O135" s="78"/>
      <c r="P135" s="78"/>
      <c r="Q135" s="78"/>
      <c r="R135" s="78"/>
    </row>
    <row r="136" spans="1:18" ht="15.6" x14ac:dyDescent="0.3">
      <c r="A136" s="78"/>
      <c r="B136" s="90">
        <f ca="1">+'N° de Obs.'!M39</f>
        <v>95</v>
      </c>
      <c r="C136" s="102">
        <f ca="1">+'N° de Obs.'!N39</f>
        <v>19343</v>
      </c>
      <c r="D136" s="91">
        <f t="shared" ca="1" si="18"/>
        <v>90.84</v>
      </c>
      <c r="E136" s="102">
        <f t="shared" ca="1" si="19"/>
        <v>90</v>
      </c>
      <c r="F136" s="92">
        <f t="shared" ca="1" si="20"/>
        <v>5</v>
      </c>
      <c r="G136" s="78"/>
      <c r="H136" s="78">
        <f t="shared" ca="1" si="21"/>
        <v>90.8</v>
      </c>
      <c r="I136" s="111" t="str">
        <f t="shared" ca="1" si="22"/>
        <v>08</v>
      </c>
      <c r="J136" s="78" cm="1">
        <f t="array" aca="1" ref="J136" ca="1">+_xlfn.IFS(AND(I136&gt;="0",I136&lt;"25"),H136-(I136/10),AND(I136&gt;="25",I136&lt;"50"),H136+(5-(I136/10)),AND(I136&gt;="50",I136&lt;"75"),H136-((I136-50)/10),I136&gt;="75",H136+(10-(I136/10)))</f>
        <v>90</v>
      </c>
      <c r="K136" s="78">
        <f t="shared" ca="1" si="23"/>
        <v>5</v>
      </c>
      <c r="L136" s="78"/>
      <c r="M136" s="78"/>
      <c r="N136" s="78"/>
      <c r="O136" s="78"/>
      <c r="P136" s="78"/>
      <c r="Q136" s="78"/>
      <c r="R136" s="78"/>
    </row>
    <row r="137" spans="1:18" ht="15.6" x14ac:dyDescent="0.3">
      <c r="A137" s="78"/>
      <c r="B137" s="90">
        <f ca="1">+'N° de Obs.'!M40</f>
        <v>85</v>
      </c>
      <c r="C137" s="102">
        <f ca="1">+'N° de Obs.'!N40</f>
        <v>20185</v>
      </c>
      <c r="D137" s="91">
        <f t="shared" ca="1" si="18"/>
        <v>87.05</v>
      </c>
      <c r="E137" s="102">
        <f t="shared" ca="1" si="19"/>
        <v>85</v>
      </c>
      <c r="F137" s="92">
        <f t="shared" ca="1" si="20"/>
        <v>0</v>
      </c>
      <c r="G137" s="78"/>
      <c r="H137" s="78">
        <f t="shared" ca="1" si="21"/>
        <v>87.1</v>
      </c>
      <c r="I137" s="111" t="str">
        <f t="shared" ca="1" si="22"/>
        <v>71</v>
      </c>
      <c r="J137" s="78" cm="1">
        <f t="array" aca="1" ref="J137" ca="1">+_xlfn.IFS(AND(I137&gt;="0",I137&lt;"25"),H137-(I137/10),AND(I137&gt;="25",I137&lt;"50"),H137+(5-(I137/10)),AND(I137&gt;="50",I137&lt;"75"),H137-((I137-50)/10),I137&gt;="75",H137+(10-(I137/10)))</f>
        <v>85</v>
      </c>
      <c r="K137" s="78">
        <f t="shared" ca="1" si="23"/>
        <v>0</v>
      </c>
      <c r="L137" s="78"/>
      <c r="M137" s="78"/>
      <c r="N137" s="78"/>
      <c r="O137" s="78"/>
      <c r="P137" s="78"/>
      <c r="Q137" s="78"/>
      <c r="R137" s="78"/>
    </row>
    <row r="138" spans="1:18" ht="15.6" x14ac:dyDescent="0.3">
      <c r="A138" s="78"/>
      <c r="B138" s="90">
        <f ca="1">+'N° de Obs.'!M41</f>
        <v>100</v>
      </c>
      <c r="C138" s="102">
        <f ca="1">+'N° de Obs.'!N41</f>
        <v>19057</v>
      </c>
      <c r="D138" s="91">
        <f t="shared" ca="1" si="18"/>
        <v>92.21</v>
      </c>
      <c r="E138" s="102">
        <f t="shared" ca="1" si="19"/>
        <v>90</v>
      </c>
      <c r="F138" s="92">
        <f t="shared" ca="1" si="20"/>
        <v>10</v>
      </c>
      <c r="G138" s="78"/>
      <c r="H138" s="78">
        <f t="shared" ca="1" si="21"/>
        <v>92.2</v>
      </c>
      <c r="I138" s="111" t="str">
        <f t="shared" ca="1" si="22"/>
        <v>22</v>
      </c>
      <c r="J138" s="78" cm="1">
        <f t="array" aca="1" ref="J138" ca="1">+_xlfn.IFS(AND(I138&gt;="0",I138&lt;"25"),H138-(I138/10),AND(I138&gt;="25",I138&lt;"50"),H138+(5-(I138/10)),AND(I138&gt;="50",I138&lt;"75"),H138-((I138-50)/10),I138&gt;="75",H138+(10-(I138/10)))</f>
        <v>90</v>
      </c>
      <c r="K138" s="78">
        <f t="shared" ca="1" si="23"/>
        <v>10</v>
      </c>
      <c r="L138" s="78"/>
      <c r="M138" s="78"/>
      <c r="N138" s="78"/>
      <c r="O138" s="78"/>
      <c r="P138" s="78"/>
      <c r="Q138" s="78"/>
      <c r="R138" s="78"/>
    </row>
    <row r="139" spans="1:18" ht="15.6" x14ac:dyDescent="0.3">
      <c r="A139" s="78"/>
      <c r="B139" s="90">
        <f ca="1">+'N° de Obs.'!M42</f>
        <v>85</v>
      </c>
      <c r="C139" s="102">
        <f ca="1">+'N° de Obs.'!N42</f>
        <v>20062</v>
      </c>
      <c r="D139" s="91">
        <f t="shared" ca="1" si="18"/>
        <v>87.59</v>
      </c>
      <c r="E139" s="102">
        <f t="shared" ca="1" si="19"/>
        <v>90</v>
      </c>
      <c r="F139" s="92">
        <f t="shared" ca="1" si="20"/>
        <v>-5</v>
      </c>
      <c r="G139" s="78"/>
      <c r="H139" s="78">
        <f t="shared" ca="1" si="21"/>
        <v>87.6</v>
      </c>
      <c r="I139" s="111" t="str">
        <f t="shared" ca="1" si="22"/>
        <v>76</v>
      </c>
      <c r="J139" s="78" cm="1">
        <f t="array" aca="1" ref="J139" ca="1">+_xlfn.IFS(AND(I139&gt;="0",I139&lt;"25"),H139-(I139/10),AND(I139&gt;="25",I139&lt;"50"),H139+(5-(I139/10)),AND(I139&gt;="50",I139&lt;"75"),H139-((I139-50)/10),I139&gt;="75",H139+(10-(I139/10)))</f>
        <v>90</v>
      </c>
      <c r="K139" s="78">
        <f t="shared" ca="1" si="23"/>
        <v>5</v>
      </c>
      <c r="L139" s="78"/>
      <c r="M139" s="78"/>
      <c r="N139" s="78"/>
      <c r="O139" s="78"/>
      <c r="P139" s="78"/>
      <c r="Q139" s="78"/>
      <c r="R139" s="78"/>
    </row>
    <row r="140" spans="1:18" ht="15.6" x14ac:dyDescent="0.3">
      <c r="A140" s="78"/>
      <c r="B140" s="90">
        <f ca="1">+'N° de Obs.'!M43</f>
        <v>90</v>
      </c>
      <c r="C140" s="102">
        <f ca="1">+'N° de Obs.'!N43</f>
        <v>20125</v>
      </c>
      <c r="D140" s="91">
        <f t="shared" ca="1" si="18"/>
        <v>87.31</v>
      </c>
      <c r="E140" s="102">
        <f t="shared" ca="1" si="19"/>
        <v>85</v>
      </c>
      <c r="F140" s="92">
        <f t="shared" ca="1" si="20"/>
        <v>5</v>
      </c>
      <c r="G140" s="78"/>
      <c r="H140" s="78">
        <f t="shared" ca="1" si="21"/>
        <v>87.3</v>
      </c>
      <c r="I140" s="111" t="str">
        <f t="shared" ca="1" si="22"/>
        <v>73</v>
      </c>
      <c r="J140" s="78" cm="1">
        <f t="array" aca="1" ref="J140" ca="1">+_xlfn.IFS(AND(I140&gt;="0",I140&lt;"25"),H140-(I140/10),AND(I140&gt;="25",I140&lt;"50"),H140+(5-(I140/10)),AND(I140&gt;="50",I140&lt;"75"),H140-((I140-50)/10),I140&gt;="75",H140+(10-(I140/10)))</f>
        <v>85</v>
      </c>
      <c r="K140" s="78">
        <f t="shared" ca="1" si="23"/>
        <v>5</v>
      </c>
      <c r="L140" s="78"/>
      <c r="M140" s="78"/>
      <c r="N140" s="78"/>
      <c r="O140" s="78"/>
      <c r="P140" s="78"/>
      <c r="Q140" s="78"/>
      <c r="R140" s="78"/>
    </row>
    <row r="141" spans="1:18" ht="15.6" x14ac:dyDescent="0.3">
      <c r="A141" s="78"/>
      <c r="B141" s="90">
        <f ca="1">+'N° de Obs.'!M44</f>
        <v>90</v>
      </c>
      <c r="C141" s="102">
        <f ca="1">+'N° de Obs.'!N44</f>
        <v>19381</v>
      </c>
      <c r="D141" s="91">
        <f t="shared" ca="1" si="18"/>
        <v>90.67</v>
      </c>
      <c r="E141" s="102">
        <f t="shared" ca="1" si="19"/>
        <v>90</v>
      </c>
      <c r="F141" s="92">
        <f t="shared" ca="1" si="20"/>
        <v>0</v>
      </c>
      <c r="G141" s="78"/>
      <c r="H141" s="78">
        <f t="shared" ca="1" si="21"/>
        <v>90.7</v>
      </c>
      <c r="I141" s="111" t="str">
        <f t="shared" ca="1" si="22"/>
        <v>07</v>
      </c>
      <c r="J141" s="78" cm="1">
        <f t="array" aca="1" ref="J141" ca="1">+_xlfn.IFS(AND(I141&gt;="0",I141&lt;"25"),H141-(I141/10),AND(I141&gt;="25",I141&lt;"50"),H141+(5-(I141/10)),AND(I141&gt;="50",I141&lt;"75"),H141-((I141-50)/10),I141&gt;="75",H141+(10-(I141/10)))</f>
        <v>90</v>
      </c>
      <c r="K141" s="78">
        <f t="shared" ca="1" si="23"/>
        <v>0</v>
      </c>
      <c r="L141" s="78"/>
      <c r="M141" s="78"/>
      <c r="N141" s="78"/>
      <c r="O141" s="78"/>
      <c r="P141" s="78"/>
      <c r="Q141" s="78"/>
      <c r="R141" s="78"/>
    </row>
    <row r="142" spans="1:18" ht="15.6" x14ac:dyDescent="0.3">
      <c r="A142" s="78"/>
      <c r="B142" s="90">
        <f ca="1">+'N° de Obs.'!M45</f>
        <v>100</v>
      </c>
      <c r="C142" s="102">
        <f ca="1">+'N° de Obs.'!N45</f>
        <v>18684</v>
      </c>
      <c r="D142" s="91">
        <f t="shared" ca="1" si="18"/>
        <v>94.05</v>
      </c>
      <c r="E142" s="102">
        <f t="shared" ca="1" si="19"/>
        <v>95</v>
      </c>
      <c r="F142" s="92">
        <f t="shared" ca="1" si="20"/>
        <v>5</v>
      </c>
      <c r="G142" s="78"/>
      <c r="H142" s="78">
        <f t="shared" ca="1" si="21"/>
        <v>94.1</v>
      </c>
      <c r="I142" s="111" t="str">
        <f t="shared" ca="1" si="22"/>
        <v>41</v>
      </c>
      <c r="J142" s="78" cm="1">
        <f t="array" aca="1" ref="J142" ca="1">+_xlfn.IFS(AND(I142&gt;="0",I142&lt;"25"),H142-(I142/10),AND(I142&gt;="25",I142&lt;"50"),H142+(5-(I142/10)),AND(I142&gt;="50",I142&lt;"75"),H142-((I142-50)/10),I142&gt;="75",H142+(10-(I142/10)))</f>
        <v>95</v>
      </c>
      <c r="K142" s="78">
        <f t="shared" ca="1" si="23"/>
        <v>5</v>
      </c>
      <c r="L142" s="78"/>
      <c r="M142" s="78"/>
      <c r="N142" s="78"/>
      <c r="O142" s="78"/>
      <c r="P142" s="78"/>
      <c r="Q142" s="78"/>
      <c r="R142" s="78"/>
    </row>
    <row r="143" spans="1:18" ht="15.6" x14ac:dyDescent="0.3">
      <c r="A143" s="78"/>
      <c r="B143" s="90">
        <f ca="1">+'N° de Obs.'!M46</f>
        <v>85</v>
      </c>
      <c r="C143" s="102">
        <f ca="1">+'N° de Obs.'!N46</f>
        <v>20374</v>
      </c>
      <c r="D143" s="91">
        <f t="shared" ca="1" si="18"/>
        <v>86.25</v>
      </c>
      <c r="E143" s="102">
        <f t="shared" ca="1" si="19"/>
        <v>85</v>
      </c>
      <c r="F143" s="92">
        <f t="shared" ca="1" si="20"/>
        <v>0</v>
      </c>
      <c r="G143" s="78"/>
      <c r="H143" s="78">
        <f t="shared" ca="1" si="21"/>
        <v>86.3</v>
      </c>
      <c r="I143" s="111" t="str">
        <f t="shared" ca="1" si="22"/>
        <v>63</v>
      </c>
      <c r="J143" s="78" cm="1">
        <f t="array" aca="1" ref="J143" ca="1">+_xlfn.IFS(AND(I143&gt;="0",I143&lt;"25"),H143-(I143/10),AND(I143&gt;="25",I143&lt;"50"),H143+(5-(I143/10)),AND(I143&gt;="50",I143&lt;"75"),H143-((I143-50)/10),I143&gt;="75",H143+(10-(I143/10)))</f>
        <v>85</v>
      </c>
      <c r="K143" s="78">
        <f t="shared" ca="1" si="23"/>
        <v>0</v>
      </c>
      <c r="L143" s="78"/>
      <c r="M143" s="78"/>
      <c r="N143" s="78"/>
      <c r="O143" s="78"/>
      <c r="P143" s="78"/>
      <c r="Q143" s="78"/>
      <c r="R143" s="78"/>
    </row>
    <row r="144" spans="1:18" ht="15.6" x14ac:dyDescent="0.3">
      <c r="A144" s="78"/>
      <c r="B144" s="90">
        <f ca="1">+'N° de Obs.'!M47</f>
        <v>85</v>
      </c>
      <c r="C144" s="102">
        <f ca="1">+'N° de Obs.'!N47</f>
        <v>18633</v>
      </c>
      <c r="D144" s="91">
        <f t="shared" ca="1" si="18"/>
        <v>94.31</v>
      </c>
      <c r="E144" s="102">
        <f t="shared" ca="1" si="19"/>
        <v>95</v>
      </c>
      <c r="F144" s="92">
        <f t="shared" ca="1" si="20"/>
        <v>-10</v>
      </c>
      <c r="G144" s="78"/>
      <c r="H144" s="78">
        <f t="shared" ca="1" si="21"/>
        <v>94.3</v>
      </c>
      <c r="I144" s="111" t="str">
        <f t="shared" ca="1" si="22"/>
        <v>43</v>
      </c>
      <c r="J144" s="78" cm="1">
        <f t="array" aca="1" ref="J144" ca="1">+_xlfn.IFS(AND(I144&gt;="0",I144&lt;"25"),H144-(I144/10),AND(I144&gt;="25",I144&lt;"50"),H144+(5-(I144/10)),AND(I144&gt;="50",I144&lt;"75"),H144-((I144-50)/10),I144&gt;="75",H144+(10-(I144/10)))</f>
        <v>95</v>
      </c>
      <c r="K144" s="78">
        <f t="shared" ca="1" si="23"/>
        <v>10</v>
      </c>
      <c r="L144" s="78"/>
      <c r="M144" s="78"/>
      <c r="N144" s="78"/>
      <c r="O144" s="78"/>
      <c r="P144" s="78"/>
      <c r="Q144" s="78"/>
      <c r="R144" s="78"/>
    </row>
    <row r="145" spans="1:18" ht="15.6" x14ac:dyDescent="0.3">
      <c r="A145" s="78"/>
      <c r="B145" s="90">
        <f ca="1">+'N° de Obs.'!M48</f>
        <v>90</v>
      </c>
      <c r="C145" s="102">
        <f ca="1">+'N° de Obs.'!N48</f>
        <v>19939</v>
      </c>
      <c r="D145" s="91">
        <f t="shared" ca="1" si="18"/>
        <v>88.13</v>
      </c>
      <c r="E145" s="102">
        <f t="shared" ca="1" si="19"/>
        <v>90</v>
      </c>
      <c r="F145" s="92">
        <f t="shared" ca="1" si="20"/>
        <v>0</v>
      </c>
      <c r="G145" s="78"/>
      <c r="H145" s="78">
        <f t="shared" ca="1" si="21"/>
        <v>88.1</v>
      </c>
      <c r="I145" s="111" t="str">
        <f t="shared" ca="1" si="22"/>
        <v>81</v>
      </c>
      <c r="J145" s="78" cm="1">
        <f t="array" aca="1" ref="J145" ca="1">+_xlfn.IFS(AND(I145&gt;="0",I145&lt;"25"),H145-(I145/10),AND(I145&gt;="25",I145&lt;"50"),H145+(5-(I145/10)),AND(I145&gt;="50",I145&lt;"75"),H145-((I145-50)/10),I145&gt;="75",H145+(10-(I145/10)))</f>
        <v>90</v>
      </c>
      <c r="K145" s="78">
        <f t="shared" ca="1" si="23"/>
        <v>0</v>
      </c>
      <c r="L145" s="78"/>
      <c r="M145" s="78"/>
      <c r="N145" s="78"/>
      <c r="O145" s="78"/>
      <c r="P145" s="78"/>
      <c r="Q145" s="78"/>
      <c r="R145" s="78"/>
    </row>
    <row r="146" spans="1:18" ht="15.6" x14ac:dyDescent="0.3">
      <c r="A146" s="78"/>
      <c r="B146" s="90">
        <f ca="1">+'N° de Obs.'!M49</f>
        <v>85</v>
      </c>
      <c r="C146" s="102">
        <f ca="1">+'N° de Obs.'!N49</f>
        <v>19817</v>
      </c>
      <c r="D146" s="91">
        <f t="shared" ca="1" si="18"/>
        <v>88.67</v>
      </c>
      <c r="E146" s="102">
        <f t="shared" ca="1" si="19"/>
        <v>90</v>
      </c>
      <c r="F146" s="92">
        <f t="shared" ca="1" si="20"/>
        <v>-5</v>
      </c>
      <c r="G146" s="78"/>
      <c r="H146" s="78">
        <f t="shared" ca="1" si="21"/>
        <v>88.7</v>
      </c>
      <c r="I146" s="111" t="str">
        <f t="shared" ca="1" si="22"/>
        <v>87</v>
      </c>
      <c r="J146" s="78" cm="1">
        <f t="array" aca="1" ref="J146" ca="1">+_xlfn.IFS(AND(I146&gt;="0",I146&lt;"25"),H146-(I146/10),AND(I146&gt;="25",I146&lt;"50"),H146+(5-(I146/10)),AND(I146&gt;="50",I146&lt;"75"),H146-((I146-50)/10),I146&gt;="75",H146+(10-(I146/10)))</f>
        <v>90</v>
      </c>
      <c r="K146" s="78">
        <f t="shared" ca="1" si="23"/>
        <v>5</v>
      </c>
      <c r="L146" s="78"/>
      <c r="M146" s="78"/>
      <c r="N146" s="78"/>
      <c r="O146" s="78"/>
      <c r="P146" s="78"/>
      <c r="Q146" s="78"/>
      <c r="R146" s="78"/>
    </row>
    <row r="147" spans="1:18" ht="15.6" x14ac:dyDescent="0.3">
      <c r="A147" s="78"/>
      <c r="B147" s="90">
        <f ca="1">+'N° de Obs.'!M50</f>
        <v>100</v>
      </c>
      <c r="C147" s="102">
        <f ca="1">+'N° de Obs.'!N50</f>
        <v>19149</v>
      </c>
      <c r="D147" s="91">
        <f t="shared" ca="1" si="18"/>
        <v>91.76</v>
      </c>
      <c r="E147" s="102">
        <f t="shared" ca="1" si="19"/>
        <v>90</v>
      </c>
      <c r="F147" s="92">
        <f t="shared" ca="1" si="20"/>
        <v>10</v>
      </c>
      <c r="G147" s="78"/>
      <c r="H147" s="78">
        <f t="shared" ca="1" si="21"/>
        <v>91.8</v>
      </c>
      <c r="I147" s="111" t="str">
        <f t="shared" ca="1" si="22"/>
        <v>18</v>
      </c>
      <c r="J147" s="78" cm="1">
        <f t="array" aca="1" ref="J147" ca="1">+_xlfn.IFS(AND(I147&gt;="0",I147&lt;"25"),H147-(I147/10),AND(I147&gt;="25",I147&lt;"50"),H147+(5-(I147/10)),AND(I147&gt;="50",I147&lt;"75"),H147-((I147-50)/10),I147&gt;="75",H147+(10-(I147/10)))</f>
        <v>90</v>
      </c>
      <c r="K147" s="78">
        <f t="shared" ca="1" si="23"/>
        <v>10</v>
      </c>
      <c r="L147" s="78"/>
      <c r="M147" s="78"/>
      <c r="N147" s="78"/>
      <c r="O147" s="78"/>
      <c r="P147" s="78"/>
      <c r="Q147" s="78"/>
      <c r="R147" s="78"/>
    </row>
    <row r="148" spans="1:18" ht="15.6" x14ac:dyDescent="0.3">
      <c r="A148" s="78"/>
      <c r="B148" s="90">
        <f ca="1">+'N° de Obs.'!M51</f>
        <v>90</v>
      </c>
      <c r="C148" s="102">
        <f ca="1">+'N° de Obs.'!N51</f>
        <v>19440</v>
      </c>
      <c r="D148" s="91">
        <f t="shared" ca="1" si="18"/>
        <v>90.39</v>
      </c>
      <c r="E148" s="102">
        <f t="shared" ca="1" si="19"/>
        <v>90</v>
      </c>
      <c r="F148" s="92">
        <f t="shared" ca="1" si="20"/>
        <v>0</v>
      </c>
      <c r="G148" s="78"/>
      <c r="H148" s="78">
        <f t="shared" ca="1" si="21"/>
        <v>90.4</v>
      </c>
      <c r="I148" s="111" t="str">
        <f t="shared" ca="1" si="22"/>
        <v>04</v>
      </c>
      <c r="J148" s="78" cm="1">
        <f t="array" aca="1" ref="J148" ca="1">+_xlfn.IFS(AND(I148&gt;="0",I148&lt;"25"),H148-(I148/10),AND(I148&gt;="25",I148&lt;"50"),H148+(5-(I148/10)),AND(I148&gt;="50",I148&lt;"75"),H148-((I148-50)/10),I148&gt;="75",H148+(10-(I148/10)))</f>
        <v>90</v>
      </c>
      <c r="K148" s="78">
        <f t="shared" ca="1" si="23"/>
        <v>0</v>
      </c>
      <c r="L148" s="78"/>
      <c r="M148" s="78"/>
      <c r="N148" s="78"/>
      <c r="O148" s="78"/>
      <c r="P148" s="78"/>
      <c r="Q148" s="78"/>
      <c r="R148" s="78"/>
    </row>
    <row r="149" spans="1:18" ht="15.6" x14ac:dyDescent="0.3">
      <c r="A149" s="78"/>
      <c r="B149" s="90">
        <f ca="1">+'N° de Obs.'!M52</f>
        <v>90</v>
      </c>
      <c r="C149" s="102">
        <f ca="1">+'N° de Obs.'!N52</f>
        <v>18740</v>
      </c>
      <c r="D149" s="91">
        <f t="shared" ca="1" si="18"/>
        <v>93.77</v>
      </c>
      <c r="E149" s="102">
        <f t="shared" ca="1" si="19"/>
        <v>95</v>
      </c>
      <c r="F149" s="92">
        <f t="shared" ca="1" si="20"/>
        <v>-5</v>
      </c>
      <c r="G149" s="78"/>
      <c r="H149" s="78">
        <f t="shared" ca="1" si="21"/>
        <v>93.8</v>
      </c>
      <c r="I149" s="111" t="str">
        <f t="shared" ca="1" si="22"/>
        <v>38</v>
      </c>
      <c r="J149" s="78" cm="1">
        <f t="array" aca="1" ref="J149" ca="1">+_xlfn.IFS(AND(I149&gt;="0",I149&lt;"25"),H149-(I149/10),AND(I149&gt;="25",I149&lt;"50"),H149+(5-(I149/10)),AND(I149&gt;="50",I149&lt;"75"),H149-((I149-50)/10),I149&gt;="75",H149+(10-(I149/10)))</f>
        <v>95</v>
      </c>
      <c r="K149" s="78">
        <f t="shared" ca="1" si="23"/>
        <v>5</v>
      </c>
      <c r="L149" s="78"/>
      <c r="M149" s="78"/>
      <c r="N149" s="78"/>
      <c r="O149" s="78"/>
      <c r="P149" s="78"/>
      <c r="Q149" s="78"/>
      <c r="R149" s="78"/>
    </row>
    <row r="150" spans="1:18" ht="15.6" x14ac:dyDescent="0.3">
      <c r="A150" s="78"/>
      <c r="B150" s="90">
        <f ca="1">+'N° de Obs.'!M53</f>
        <v>85</v>
      </c>
      <c r="C150" s="103">
        <f ca="1">+'N° de Obs.'!N53</f>
        <v>20371</v>
      </c>
      <c r="D150" s="91">
        <f t="shared" ca="1" si="18"/>
        <v>86.26</v>
      </c>
      <c r="E150" s="103">
        <f t="shared" ca="1" si="19"/>
        <v>85</v>
      </c>
      <c r="F150" s="94">
        <f t="shared" ca="1" si="20"/>
        <v>0</v>
      </c>
      <c r="G150" s="78"/>
      <c r="H150" s="78">
        <f t="shared" ca="1" si="21"/>
        <v>86.3</v>
      </c>
      <c r="I150" s="111" t="str">
        <f t="shared" ca="1" si="22"/>
        <v>63</v>
      </c>
      <c r="J150" s="78" cm="1">
        <f t="array" aca="1" ref="J150" ca="1">+_xlfn.IFS(AND(I150&gt;="0",I150&lt;"25"),H150-(I150/10),AND(I150&gt;="25",I150&lt;"50"),H150+(5-(I150/10)),AND(I150&gt;="50",I150&lt;"75"),H150-((I150-50)/10),I150&gt;="75",H150+(10-(I150/10)))</f>
        <v>85</v>
      </c>
      <c r="K150" s="78">
        <f t="shared" ca="1" si="23"/>
        <v>0</v>
      </c>
      <c r="L150" s="78"/>
      <c r="M150" s="78"/>
      <c r="N150" s="78"/>
      <c r="O150" s="78"/>
      <c r="P150" s="78"/>
      <c r="Q150" s="78"/>
      <c r="R150" s="78"/>
    </row>
    <row r="151" spans="1:18" ht="15.6" x14ac:dyDescent="0.3">
      <c r="A151" s="78"/>
      <c r="B151" s="95" t="s">
        <v>98</v>
      </c>
      <c r="C151" s="80"/>
      <c r="D151" s="80"/>
      <c r="E151" s="80"/>
      <c r="F151" s="89">
        <f ca="1">+SUMIF(K131:K150,"&lt;=10",F131:F150)</f>
        <v>5</v>
      </c>
      <c r="G151" s="78"/>
      <c r="H151" s="78"/>
      <c r="I151" s="78"/>
      <c r="J151" s="78"/>
      <c r="K151" s="78">
        <f ca="1">+COUNTIF(K131:K150,"&lt;=10")</f>
        <v>20</v>
      </c>
      <c r="L151" s="78"/>
      <c r="M151" s="78"/>
      <c r="N151" s="78"/>
      <c r="O151" s="78"/>
      <c r="P151" s="78"/>
      <c r="Q151" s="78"/>
      <c r="R151" s="78"/>
    </row>
    <row r="152" spans="1:18" ht="15.6" x14ac:dyDescent="0.3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</row>
    <row r="153" spans="1:18" ht="15.6" x14ac:dyDescent="0.3">
      <c r="A153" s="78"/>
      <c r="B153" s="78">
        <v>100</v>
      </c>
      <c r="C153" s="78">
        <f ca="1">+ROUND(AVERAGE('N° de Obs.'!O34:O53),0)</f>
        <v>17572</v>
      </c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</row>
    <row r="154" spans="1:18" ht="15.6" x14ac:dyDescent="0.3">
      <c r="A154" s="78"/>
      <c r="B154" s="78"/>
      <c r="C154" s="78"/>
      <c r="D154" s="79"/>
      <c r="E154" s="79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</row>
    <row r="155" spans="1:18" ht="15.6" x14ac:dyDescent="0.3">
      <c r="A155" s="78"/>
      <c r="B155" s="78"/>
      <c r="C155" s="78"/>
      <c r="D155" s="105" t="s">
        <v>92</v>
      </c>
      <c r="E155" s="106" t="s">
        <v>93</v>
      </c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</row>
    <row r="156" spans="1:18" ht="15.6" x14ac:dyDescent="0.3">
      <c r="A156" s="78"/>
      <c r="B156" s="78"/>
      <c r="C156" s="78"/>
      <c r="D156" s="90" t="s">
        <v>95</v>
      </c>
      <c r="E156" s="102" t="s">
        <v>25</v>
      </c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</row>
    <row r="157" spans="1:18" ht="15.6" x14ac:dyDescent="0.3">
      <c r="A157" s="78"/>
      <c r="B157" s="78"/>
      <c r="C157" s="78"/>
      <c r="D157" s="90" t="s">
        <v>104</v>
      </c>
      <c r="E157" s="102">
        <v>100</v>
      </c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</row>
    <row r="158" spans="1:18" ht="15.6" x14ac:dyDescent="0.3">
      <c r="A158" s="78"/>
      <c r="B158" s="78"/>
      <c r="C158" s="78"/>
      <c r="D158" s="90" t="s">
        <v>20</v>
      </c>
      <c r="E158" s="102">
        <f ca="1">+C153</f>
        <v>17572</v>
      </c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</row>
    <row r="159" spans="1:18" ht="31.2" x14ac:dyDescent="0.3">
      <c r="A159" s="78"/>
      <c r="B159" s="78"/>
      <c r="C159" s="78"/>
      <c r="D159" s="113" t="s">
        <v>106</v>
      </c>
      <c r="E159" s="102">
        <f ca="1">+K151</f>
        <v>20</v>
      </c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</row>
    <row r="160" spans="1:18" ht="15.6" x14ac:dyDescent="0.3">
      <c r="A160" s="78"/>
      <c r="B160" s="78"/>
      <c r="C160" s="78"/>
      <c r="D160" s="114" t="s">
        <v>103</v>
      </c>
      <c r="E160" s="103">
        <f ca="1">+F151</f>
        <v>5</v>
      </c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</row>
    <row r="161" spans="1:18" ht="31.2" x14ac:dyDescent="0.3">
      <c r="A161" s="78"/>
      <c r="B161" s="78"/>
      <c r="C161" s="78"/>
      <c r="D161" s="115" t="s">
        <v>105</v>
      </c>
      <c r="E161" s="101" t="str">
        <f ca="1">+CONCATENATE(ROUND((F151/K151*5)/5,2)," %")</f>
        <v>0.25 %</v>
      </c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</row>
    <row r="162" spans="1:18" ht="15.6" x14ac:dyDescent="0.3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</row>
  </sheetData>
  <mergeCells count="9">
    <mergeCell ref="B111:E111"/>
    <mergeCell ref="E127:F127"/>
    <mergeCell ref="B151:E151"/>
    <mergeCell ref="K32:M35"/>
    <mergeCell ref="E3:F3"/>
    <mergeCell ref="E45:F45"/>
    <mergeCell ref="B69:E69"/>
    <mergeCell ref="E87:F87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DDEB-56D5-421D-9936-AC18B67B43F4}">
  <dimension ref="A2:T137"/>
  <sheetViews>
    <sheetView topLeftCell="A102" zoomScaleNormal="100" workbookViewId="0">
      <selection activeCell="R119" sqref="R119"/>
    </sheetView>
  </sheetViews>
  <sheetFormatPr baseColWidth="10" defaultRowHeight="14.4" x14ac:dyDescent="0.3"/>
  <cols>
    <col min="6" max="6" width="11.6640625" customWidth="1"/>
    <col min="10" max="10" width="3" customWidth="1"/>
    <col min="16" max="16" width="2.5546875" bestFit="1" customWidth="1"/>
  </cols>
  <sheetData>
    <row r="2" spans="1:18" x14ac:dyDescent="0.3">
      <c r="D2" s="52" t="str">
        <f>+'Hoja de cronometraje'!K4</f>
        <v>Elemento D</v>
      </c>
      <c r="E2" s="53"/>
    </row>
    <row r="3" spans="1:18" s="108" customFormat="1" ht="15.6" x14ac:dyDescent="0.3"/>
    <row r="4" spans="1:18" ht="15.6" x14ac:dyDescent="0.3">
      <c r="A4" s="108"/>
      <c r="B4" s="37" t="s">
        <v>18</v>
      </c>
      <c r="C4" s="37" t="s">
        <v>19</v>
      </c>
      <c r="D4" s="37" t="s">
        <v>20</v>
      </c>
      <c r="E4" s="38" t="s">
        <v>118</v>
      </c>
      <c r="F4" s="38" t="s">
        <v>119</v>
      </c>
      <c r="G4" s="38" t="s">
        <v>120</v>
      </c>
      <c r="H4" s="38" t="s">
        <v>121</v>
      </c>
      <c r="I4" s="39" t="s">
        <v>94</v>
      </c>
      <c r="J4" s="39" t="s">
        <v>122</v>
      </c>
      <c r="K4" s="40">
        <f ca="1">ROUNDDOWN(H28,0)</f>
        <v>607</v>
      </c>
      <c r="L4" s="108"/>
      <c r="M4" s="108"/>
      <c r="N4" s="108"/>
      <c r="O4" s="108"/>
      <c r="P4" s="108"/>
      <c r="Q4" s="108"/>
      <c r="R4" s="108"/>
    </row>
    <row r="5" spans="1:18" ht="15.6" x14ac:dyDescent="0.3">
      <c r="A5" s="108"/>
      <c r="B5" s="143">
        <f ca="1">+'N° de Obs.'!D6</f>
        <v>100</v>
      </c>
      <c r="C5" s="143">
        <f ca="1">+'N° de Obs.'!E6</f>
        <v>13858</v>
      </c>
      <c r="D5" s="143">
        <f ca="1">+'N° de Obs.'!F6</f>
        <v>13858</v>
      </c>
      <c r="E5" s="123">
        <f ca="1">IF(I5="","",IFERROR(F5*G5,""))</f>
        <v>0</v>
      </c>
      <c r="F5" s="123">
        <f ca="1">IF(I5="","",IFERROR(G5*H5,""))</f>
        <v>0</v>
      </c>
      <c r="G5" s="123">
        <f ca="1">IF(I5="","",ROW($V1)-1)</f>
        <v>0</v>
      </c>
      <c r="H5" s="123">
        <f ca="1">IF(I5="","",COUNTIF($D$5:$D$24,"&lt;="&amp;$J6))</f>
        <v>5</v>
      </c>
      <c r="I5" s="124">
        <f ca="1">ROUND(H27,0)</f>
        <v>12153</v>
      </c>
      <c r="J5" s="138"/>
      <c r="K5" s="126" t="s">
        <v>142</v>
      </c>
      <c r="L5" s="108"/>
      <c r="M5" s="108"/>
      <c r="N5" s="124" t="s">
        <v>123</v>
      </c>
      <c r="O5" s="123">
        <f ca="1">F10/H10</f>
        <v>1.5</v>
      </c>
      <c r="P5" s="108"/>
      <c r="Q5" s="108"/>
      <c r="R5" s="108"/>
    </row>
    <row r="6" spans="1:18" ht="15.6" x14ac:dyDescent="0.3">
      <c r="A6" s="108"/>
      <c r="B6" s="143">
        <f ca="1">+'N° de Obs.'!D7</f>
        <v>105</v>
      </c>
      <c r="C6" s="143">
        <f ca="1">+'N° de Obs.'!E7</f>
        <v>14334</v>
      </c>
      <c r="D6" s="143">
        <f ca="1">+'N° de Obs.'!F7</f>
        <v>15050.7</v>
      </c>
      <c r="E6" s="123">
        <f t="shared" ref="E6:E9" ca="1" si="0">IF(I6="","",IFERROR(F6*G6,""))</f>
        <v>7</v>
      </c>
      <c r="F6" s="123">
        <f t="shared" ref="F6:F9" ca="1" si="1">IF(I6="","",IFERROR(G6*H6,""))</f>
        <v>7</v>
      </c>
      <c r="G6" s="123">
        <f t="shared" ref="G6:G9" ca="1" si="2">IF(I6="","",ROW($V2)-1)</f>
        <v>1</v>
      </c>
      <c r="H6" s="123">
        <f ca="1">IF(I6="","",COUNTIFS($D$5:$D$24,"&lt;="&amp;$J7,$D$5:$D$24,"&gt;"&amp;$J6))</f>
        <v>7</v>
      </c>
      <c r="I6" s="124">
        <f ca="1">IFERROR(IF($I5+$K$4&lt;=$M$28,$I5+$K$4,""),"")</f>
        <v>12760</v>
      </c>
      <c r="J6" s="125">
        <f ca="1">IF(I5="","",IFERROR(($I5+$I6)/2,MAX($D$5:$D$24)))</f>
        <v>12456.5</v>
      </c>
      <c r="K6" s="126" t="s">
        <v>143</v>
      </c>
      <c r="L6" s="108"/>
      <c r="M6" s="108"/>
      <c r="N6" s="124" t="s">
        <v>124</v>
      </c>
      <c r="O6" s="123">
        <f ca="1">E10/H10</f>
        <v>3.9</v>
      </c>
      <c r="P6" s="108"/>
      <c r="Q6" s="108"/>
      <c r="R6" s="108"/>
    </row>
    <row r="7" spans="1:18" ht="15.6" x14ac:dyDescent="0.3">
      <c r="A7" s="108"/>
      <c r="B7" s="143">
        <f ca="1">+'N° de Obs.'!D8</f>
        <v>100</v>
      </c>
      <c r="C7" s="143">
        <f ca="1">+'N° de Obs.'!E8</f>
        <v>13194</v>
      </c>
      <c r="D7" s="143">
        <f ca="1">+'N° de Obs.'!F8</f>
        <v>13194</v>
      </c>
      <c r="E7" s="123">
        <f t="shared" ca="1" si="0"/>
        <v>12</v>
      </c>
      <c r="F7" s="123">
        <f t="shared" ca="1" si="1"/>
        <v>6</v>
      </c>
      <c r="G7" s="123">
        <f t="shared" ca="1" si="2"/>
        <v>2</v>
      </c>
      <c r="H7" s="123">
        <f t="shared" ref="H7:H9" ca="1" si="3">IF(I7="","",COUNTIFS($D$5:$D$24,"&lt;="&amp;$J8,$D$5:$D$24,"&gt;"&amp;$J7))</f>
        <v>3</v>
      </c>
      <c r="I7" s="124">
        <f ca="1">IFERROR(IF($I6+$K$4&lt;=$M$28,$I6+$K$4,""),"")</f>
        <v>13367</v>
      </c>
      <c r="J7" s="125">
        <f t="shared" ref="J7:J10" ca="1" si="4">IF(I6="","",IFERROR(($I6+$I7)/2,MAX($D$5:$D$24)))</f>
        <v>13063.5</v>
      </c>
      <c r="K7" s="126" t="s">
        <v>144</v>
      </c>
      <c r="L7" s="108"/>
      <c r="M7" s="108"/>
      <c r="N7" s="108"/>
      <c r="O7" s="108"/>
      <c r="P7" s="108"/>
      <c r="Q7" s="108"/>
      <c r="R7" s="108"/>
    </row>
    <row r="8" spans="1:18" ht="15.6" x14ac:dyDescent="0.3">
      <c r="A8" s="108"/>
      <c r="B8" s="143">
        <f ca="1">+'N° de Obs.'!D9</f>
        <v>95</v>
      </c>
      <c r="C8" s="143">
        <f ca="1">+'N° de Obs.'!E9</f>
        <v>13138</v>
      </c>
      <c r="D8" s="143">
        <f ca="1">+'N° de Obs.'!F9</f>
        <v>12481.1</v>
      </c>
      <c r="E8" s="123">
        <f t="shared" ca="1" si="0"/>
        <v>27</v>
      </c>
      <c r="F8" s="123">
        <f t="shared" ca="1" si="1"/>
        <v>9</v>
      </c>
      <c r="G8" s="123">
        <f t="shared" ca="1" si="2"/>
        <v>3</v>
      </c>
      <c r="H8" s="123">
        <f t="shared" ca="1" si="3"/>
        <v>3</v>
      </c>
      <c r="I8" s="124">
        <f ca="1">IFERROR(IF($I7+$K$4&lt;=$M$28,$I7+$K$4,""),"")</f>
        <v>13974</v>
      </c>
      <c r="J8" s="125">
        <f t="shared" ca="1" si="4"/>
        <v>13670.5</v>
      </c>
      <c r="K8" s="126" t="s">
        <v>144</v>
      </c>
      <c r="L8" s="108"/>
      <c r="M8" s="108"/>
      <c r="N8" s="124" t="s">
        <v>125</v>
      </c>
      <c r="O8" s="123">
        <f ca="1">H27+(K4*O5)</f>
        <v>13063.2</v>
      </c>
      <c r="P8" s="108"/>
      <c r="Q8" s="108"/>
      <c r="R8" s="108"/>
    </row>
    <row r="9" spans="1:18" ht="16.2" thickBot="1" x14ac:dyDescent="0.35">
      <c r="A9" s="108"/>
      <c r="B9" s="143">
        <f ca="1">+'N° de Obs.'!D10</f>
        <v>85</v>
      </c>
      <c r="C9" s="143">
        <f ca="1">+'N° de Obs.'!E10</f>
        <v>14560</v>
      </c>
      <c r="D9" s="143">
        <f ca="1">+'N° de Obs.'!F10</f>
        <v>12376</v>
      </c>
      <c r="E9" s="123">
        <f t="shared" ca="1" si="0"/>
        <v>32</v>
      </c>
      <c r="F9" s="123">
        <f t="shared" ca="1" si="1"/>
        <v>8</v>
      </c>
      <c r="G9" s="123">
        <f t="shared" ca="1" si="2"/>
        <v>4</v>
      </c>
      <c r="H9" s="123">
        <f t="shared" ca="1" si="3"/>
        <v>2</v>
      </c>
      <c r="I9" s="124">
        <f ca="1">IFERROR(IF($I8+$K$4&lt;=$M$28,$I8+$K$4,""),"")</f>
        <v>14581</v>
      </c>
      <c r="J9" s="125">
        <f t="shared" ca="1" si="4"/>
        <v>14277.5</v>
      </c>
      <c r="K9" s="126" t="s">
        <v>145</v>
      </c>
      <c r="L9" s="108"/>
      <c r="M9" s="108"/>
      <c r="N9" s="124" t="s">
        <v>126</v>
      </c>
      <c r="O9" s="127">
        <f ca="1">K4*(SQRT(O6-POWER(O5,2)))</f>
        <v>779.70561752497338</v>
      </c>
      <c r="P9" s="108"/>
      <c r="Q9" s="108"/>
      <c r="R9" s="108"/>
    </row>
    <row r="10" spans="1:18" ht="16.2" thickBot="1" x14ac:dyDescent="0.35">
      <c r="A10" s="108"/>
      <c r="B10" s="143">
        <f ca="1">+'N° de Obs.'!D11</f>
        <v>95</v>
      </c>
      <c r="C10" s="143">
        <f ca="1">+'N° de Obs.'!E11</f>
        <v>13858</v>
      </c>
      <c r="D10" s="143">
        <f ca="1">+'N° de Obs.'!F11</f>
        <v>13165.1</v>
      </c>
      <c r="E10" s="128">
        <f ca="1">SUM(E5:E17)</f>
        <v>78</v>
      </c>
      <c r="F10" s="129">
        <f ca="1">SUM(F5:F17)</f>
        <v>30</v>
      </c>
      <c r="G10" s="108"/>
      <c r="H10" s="129">
        <f ca="1">SUM(H5:H17)</f>
        <v>20</v>
      </c>
      <c r="I10" s="130" t="str">
        <f ca="1">IFERROR(IF($I9+$K$4&lt;=$M$28,$I9+$K$4,""),"")</f>
        <v/>
      </c>
      <c r="J10" s="141">
        <f t="shared" ca="1" si="4"/>
        <v>15057</v>
      </c>
      <c r="K10" s="142"/>
      <c r="L10" s="108"/>
      <c r="M10" s="108"/>
      <c r="N10" s="108"/>
      <c r="O10" s="108"/>
      <c r="P10" s="108"/>
      <c r="Q10" s="108"/>
      <c r="R10" s="108"/>
    </row>
    <row r="11" spans="1:18" ht="15.6" x14ac:dyDescent="0.3">
      <c r="A11" s="108"/>
      <c r="B11" s="143">
        <f ca="1">+'N° de Obs.'!D12</f>
        <v>90</v>
      </c>
      <c r="C11" s="143">
        <f ca="1">+'N° de Obs.'!E12</f>
        <v>14538</v>
      </c>
      <c r="D11" s="143">
        <f ca="1">+'N° de Obs.'!F12</f>
        <v>13084.2</v>
      </c>
      <c r="E11" s="108"/>
      <c r="F11" s="108"/>
      <c r="G11" s="108"/>
      <c r="H11" s="108"/>
      <c r="I11" s="108"/>
      <c r="J11" s="108"/>
      <c r="K11" s="108"/>
      <c r="L11" s="108"/>
      <c r="M11" s="108"/>
      <c r="N11" s="124" t="s">
        <v>127</v>
      </c>
      <c r="O11" s="123">
        <f ca="1">(O9*100)/O8</f>
        <v>5.9687183655227916</v>
      </c>
      <c r="P11" s="123" t="s">
        <v>8</v>
      </c>
      <c r="Q11" s="108"/>
      <c r="R11" s="108"/>
    </row>
    <row r="12" spans="1:18" ht="15.6" x14ac:dyDescent="0.3">
      <c r="A12" s="108"/>
      <c r="B12" s="143">
        <f ca="1">+'N° de Obs.'!D13</f>
        <v>85</v>
      </c>
      <c r="C12" s="143">
        <f ca="1">+'N° de Obs.'!E13</f>
        <v>14455</v>
      </c>
      <c r="D12" s="143">
        <f ca="1">+'N° de Obs.'!F13</f>
        <v>12286.75</v>
      </c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</row>
    <row r="13" spans="1:18" ht="15.6" x14ac:dyDescent="0.3">
      <c r="A13" s="108"/>
      <c r="B13" s="143">
        <f ca="1">+'N° de Obs.'!D14</f>
        <v>100</v>
      </c>
      <c r="C13" s="143">
        <f ca="1">+'N° de Obs.'!E14</f>
        <v>13731</v>
      </c>
      <c r="D13" s="143">
        <f ca="1">+'N° de Obs.'!F14</f>
        <v>13731</v>
      </c>
      <c r="E13" s="108"/>
      <c r="F13" s="108"/>
      <c r="G13" s="108"/>
      <c r="H13" s="108"/>
      <c r="I13" s="108"/>
      <c r="J13" s="108"/>
      <c r="K13" s="108"/>
      <c r="L13" s="108"/>
      <c r="M13" s="108"/>
      <c r="N13" s="134" t="str">
        <f ca="1">IF(O11&lt;6,"Se puede continuar con el estudio","No se puede continuar con el estudio")</f>
        <v>Se puede continuar con el estudio</v>
      </c>
      <c r="O13" s="134"/>
      <c r="P13" s="108"/>
      <c r="Q13" s="108"/>
      <c r="R13" s="108"/>
    </row>
    <row r="14" spans="1:18" ht="15.6" x14ac:dyDescent="0.3">
      <c r="A14" s="108"/>
      <c r="B14" s="143">
        <f ca="1">+'N° de Obs.'!D15</f>
        <v>95</v>
      </c>
      <c r="C14" s="143">
        <f ca="1">+'N° de Obs.'!E15</f>
        <v>13457</v>
      </c>
      <c r="D14" s="143">
        <f ca="1">+'N° de Obs.'!F15</f>
        <v>12784.15</v>
      </c>
      <c r="E14" s="108"/>
      <c r="F14" s="108"/>
      <c r="G14" s="108"/>
      <c r="H14" s="108"/>
      <c r="I14" s="108"/>
      <c r="J14" s="108"/>
      <c r="K14" s="108"/>
      <c r="L14" s="108"/>
      <c r="M14" s="133"/>
      <c r="N14" s="134"/>
      <c r="O14" s="134"/>
      <c r="P14" s="108"/>
      <c r="Q14" s="108"/>
      <c r="R14" s="108"/>
    </row>
    <row r="15" spans="1:18" ht="15.6" x14ac:dyDescent="0.3">
      <c r="A15" s="108"/>
      <c r="B15" s="143">
        <f ca="1">+'N° de Obs.'!D16</f>
        <v>95</v>
      </c>
      <c r="C15" s="143">
        <f ca="1">+'N° de Obs.'!E16</f>
        <v>13182</v>
      </c>
      <c r="D15" s="143">
        <f ca="1">+'N° de Obs.'!F16</f>
        <v>12522.9</v>
      </c>
      <c r="E15" s="108"/>
      <c r="F15" s="108"/>
      <c r="G15" s="108"/>
      <c r="H15" s="108"/>
      <c r="I15" s="108"/>
      <c r="J15" s="108"/>
      <c r="K15" s="108"/>
      <c r="L15" s="108"/>
      <c r="M15" s="133"/>
      <c r="N15" s="108"/>
      <c r="O15" s="108"/>
      <c r="P15" s="108"/>
      <c r="Q15" s="108"/>
      <c r="R15" s="108"/>
    </row>
    <row r="16" spans="1:18" ht="15.6" x14ac:dyDescent="0.3">
      <c r="A16" s="108"/>
      <c r="B16" s="143">
        <f ca="1">+'N° de Obs.'!D17</f>
        <v>90</v>
      </c>
      <c r="C16" s="143">
        <f ca="1">+'N° de Obs.'!E17</f>
        <v>13894</v>
      </c>
      <c r="D16" s="143">
        <f ca="1">+'N° de Obs.'!F17</f>
        <v>12504.6</v>
      </c>
      <c r="E16" s="108"/>
      <c r="F16" s="108"/>
      <c r="G16" s="108"/>
      <c r="H16" s="108"/>
      <c r="I16" s="108"/>
      <c r="J16" s="108"/>
      <c r="K16" s="108"/>
      <c r="L16" s="108"/>
      <c r="M16" s="133"/>
      <c r="N16" s="108"/>
      <c r="O16" s="108"/>
      <c r="P16" s="108"/>
      <c r="Q16" s="108"/>
      <c r="R16" s="108"/>
    </row>
    <row r="17" spans="1:18" ht="15.6" x14ac:dyDescent="0.3">
      <c r="A17" s="108"/>
      <c r="B17" s="143">
        <f ca="1">+'N° de Obs.'!D18</f>
        <v>90</v>
      </c>
      <c r="C17" s="143">
        <f ca="1">+'N° de Obs.'!E18</f>
        <v>13503</v>
      </c>
      <c r="D17" s="143">
        <f ca="1">+'N° de Obs.'!F18</f>
        <v>12152.7</v>
      </c>
      <c r="E17" s="108"/>
      <c r="F17" s="108"/>
      <c r="G17" s="108"/>
      <c r="H17" s="108"/>
      <c r="I17" s="133"/>
      <c r="J17" s="132"/>
      <c r="K17" s="132"/>
      <c r="L17" s="108"/>
      <c r="M17" s="133"/>
      <c r="N17" s="108"/>
      <c r="O17" s="108"/>
      <c r="P17" s="108"/>
      <c r="Q17" s="108"/>
      <c r="R17" s="108"/>
    </row>
    <row r="18" spans="1:18" ht="15.6" x14ac:dyDescent="0.3">
      <c r="A18" s="108"/>
      <c r="B18" s="143">
        <f ca="1">+'N° de Obs.'!D19</f>
        <v>90</v>
      </c>
      <c r="C18" s="143">
        <f ca="1">+'N° de Obs.'!E19</f>
        <v>14503</v>
      </c>
      <c r="D18" s="143">
        <f ca="1">+'N° de Obs.'!F19</f>
        <v>13052.7</v>
      </c>
      <c r="E18" s="108"/>
      <c r="F18" s="108"/>
      <c r="G18" s="108"/>
      <c r="H18" s="108"/>
      <c r="I18" s="133"/>
      <c r="J18" s="132"/>
      <c r="K18" s="132"/>
      <c r="L18" s="108"/>
      <c r="M18" s="133"/>
      <c r="N18" s="108"/>
      <c r="O18" s="108"/>
      <c r="P18" s="108"/>
      <c r="Q18" s="108"/>
      <c r="R18" s="108"/>
    </row>
    <row r="19" spans="1:18" ht="15.6" x14ac:dyDescent="0.3">
      <c r="A19" s="108"/>
      <c r="B19" s="143">
        <f ca="1">+'N° de Obs.'!D20</f>
        <v>95</v>
      </c>
      <c r="C19" s="143">
        <f ca="1">+'N° de Obs.'!E20</f>
        <v>13534</v>
      </c>
      <c r="D19" s="143">
        <f ca="1">+'N° de Obs.'!F20</f>
        <v>12857.3</v>
      </c>
      <c r="E19" s="108"/>
      <c r="F19" s="108"/>
      <c r="G19" s="108"/>
      <c r="H19" s="108"/>
      <c r="I19" s="108"/>
      <c r="J19" s="108"/>
      <c r="K19" s="108"/>
      <c r="L19" s="108"/>
      <c r="M19" s="133"/>
      <c r="N19" s="108"/>
      <c r="O19" s="108"/>
      <c r="P19" s="108"/>
      <c r="Q19" s="108"/>
      <c r="R19" s="108"/>
    </row>
    <row r="20" spans="1:18" ht="15.6" x14ac:dyDescent="0.3">
      <c r="A20" s="108"/>
      <c r="B20" s="143">
        <f ca="1">+'N° de Obs.'!D21</f>
        <v>85</v>
      </c>
      <c r="C20" s="143">
        <f ca="1">+'N° de Obs.'!E21</f>
        <v>14533</v>
      </c>
      <c r="D20" s="143">
        <f ca="1">+'N° de Obs.'!F21</f>
        <v>12353.05</v>
      </c>
      <c r="E20" s="108"/>
      <c r="F20" s="108"/>
      <c r="G20" s="108"/>
      <c r="H20" s="108"/>
      <c r="I20" s="133"/>
      <c r="J20" s="132"/>
      <c r="K20" s="132"/>
      <c r="L20" s="108"/>
      <c r="M20" s="108"/>
      <c r="N20" s="108"/>
      <c r="O20" s="108"/>
      <c r="P20" s="108"/>
      <c r="Q20" s="108"/>
      <c r="R20" s="108"/>
    </row>
    <row r="21" spans="1:18" ht="15.6" x14ac:dyDescent="0.3">
      <c r="A21" s="108"/>
      <c r="B21" s="143">
        <f ca="1">+'N° de Obs.'!D22</f>
        <v>105</v>
      </c>
      <c r="C21" s="143">
        <f ca="1">+'N° de Obs.'!E22</f>
        <v>14340</v>
      </c>
      <c r="D21" s="143">
        <f ca="1">+'N° de Obs.'!F22</f>
        <v>15057</v>
      </c>
      <c r="E21" s="108"/>
      <c r="F21" s="108"/>
      <c r="G21" s="108"/>
      <c r="H21" s="108"/>
      <c r="I21" s="133"/>
      <c r="J21" s="132"/>
      <c r="K21" s="132"/>
      <c r="L21" s="108"/>
      <c r="M21" s="108"/>
      <c r="N21" s="108"/>
      <c r="O21" s="108"/>
      <c r="P21" s="108"/>
      <c r="Q21" s="108"/>
      <c r="R21" s="108"/>
    </row>
    <row r="22" spans="1:18" ht="15.6" x14ac:dyDescent="0.3">
      <c r="A22" s="108"/>
      <c r="B22" s="143">
        <f ca="1">+'N° de Obs.'!D23</f>
        <v>85</v>
      </c>
      <c r="C22" s="143">
        <f ca="1">+'N° de Obs.'!E23</f>
        <v>14345</v>
      </c>
      <c r="D22" s="143">
        <f ca="1">+'N° de Obs.'!F23</f>
        <v>12193.25</v>
      </c>
      <c r="E22" s="108"/>
      <c r="F22" s="108"/>
      <c r="G22" s="108"/>
      <c r="H22" s="108"/>
      <c r="I22" s="133"/>
      <c r="J22" s="132"/>
      <c r="K22" s="132"/>
      <c r="L22" s="108"/>
      <c r="M22" s="108"/>
      <c r="N22" s="108"/>
      <c r="O22" s="108"/>
      <c r="P22" s="108"/>
      <c r="Q22" s="108"/>
      <c r="R22" s="108"/>
    </row>
    <row r="23" spans="1:18" ht="15.6" x14ac:dyDescent="0.3">
      <c r="A23" s="108"/>
      <c r="B23" s="143">
        <f ca="1">+'N° de Obs.'!D24</f>
        <v>95</v>
      </c>
      <c r="C23" s="143">
        <f ca="1">+'N° de Obs.'!E24</f>
        <v>13519</v>
      </c>
      <c r="D23" s="143">
        <f ca="1">+'N° de Obs.'!F24</f>
        <v>12843.05</v>
      </c>
      <c r="E23" s="108"/>
      <c r="F23" s="108"/>
      <c r="G23" s="108"/>
      <c r="H23" s="108"/>
      <c r="I23" s="133"/>
      <c r="J23" s="132"/>
      <c r="K23" s="132"/>
      <c r="L23" s="108"/>
      <c r="M23" s="108"/>
      <c r="N23" s="108"/>
      <c r="O23" s="108"/>
      <c r="P23" s="108"/>
      <c r="Q23" s="108"/>
      <c r="R23" s="108"/>
    </row>
    <row r="24" spans="1:18" ht="15.6" x14ac:dyDescent="0.3">
      <c r="A24" s="108"/>
      <c r="B24" s="143">
        <f ca="1">+'N° de Obs.'!D25</f>
        <v>100</v>
      </c>
      <c r="C24" s="143">
        <f ca="1">+'N° de Obs.'!E25</f>
        <v>14185</v>
      </c>
      <c r="D24" s="143">
        <f ca="1">+'N° de Obs.'!F25</f>
        <v>14185</v>
      </c>
      <c r="E24" s="108"/>
      <c r="F24" s="108"/>
      <c r="G24" s="108"/>
      <c r="H24" s="108"/>
      <c r="I24" s="133"/>
      <c r="J24" s="132"/>
      <c r="K24" s="132"/>
      <c r="L24" s="108"/>
      <c r="M24" s="108"/>
      <c r="N24" s="108"/>
      <c r="O24" s="108"/>
      <c r="P24" s="108"/>
      <c r="Q24" s="108"/>
      <c r="R24" s="108"/>
    </row>
    <row r="25" spans="1:18" ht="15.6" x14ac:dyDescent="0.3">
      <c r="A25" s="108"/>
      <c r="B25" s="108"/>
      <c r="C25" s="108"/>
      <c r="D25" s="108"/>
      <c r="E25" s="108"/>
      <c r="F25" s="108"/>
      <c r="G25" s="108"/>
      <c r="H25" s="108"/>
      <c r="I25" s="133"/>
      <c r="J25" s="132"/>
      <c r="K25" s="132"/>
      <c r="L25" s="108"/>
      <c r="M25" s="108"/>
      <c r="N25" s="108"/>
      <c r="O25" s="108"/>
      <c r="P25" s="108"/>
      <c r="Q25" s="108"/>
      <c r="R25" s="108"/>
    </row>
    <row r="26" spans="1:18" ht="15.6" x14ac:dyDescent="0.3">
      <c r="A26" s="108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</row>
    <row r="27" spans="1:18" ht="15.6" x14ac:dyDescent="0.3">
      <c r="A27" s="108"/>
      <c r="B27" s="108"/>
      <c r="C27" s="108"/>
      <c r="D27" s="124" t="s">
        <v>23</v>
      </c>
      <c r="E27" s="123">
        <f ca="1">COUNTA(C5:C24)</f>
        <v>20</v>
      </c>
      <c r="F27" s="108"/>
      <c r="G27" s="108"/>
      <c r="H27" s="123">
        <f ca="1">MIN(D5:D24)</f>
        <v>12152.7</v>
      </c>
      <c r="I27" s="135">
        <v>100</v>
      </c>
      <c r="J27" s="136" t="s">
        <v>8</v>
      </c>
      <c r="K27" s="108"/>
      <c r="L27" s="123" t="s">
        <v>128</v>
      </c>
      <c r="M27" s="123">
        <f ca="1">ROUND(MIN(D5:D24),0)</f>
        <v>12153</v>
      </c>
      <c r="N27" s="108"/>
      <c r="O27" s="108"/>
      <c r="P27" s="108"/>
      <c r="Q27" s="108"/>
      <c r="R27" s="108"/>
    </row>
    <row r="28" spans="1:18" ht="15.6" x14ac:dyDescent="0.3">
      <c r="A28" s="108"/>
      <c r="B28" s="108"/>
      <c r="C28" s="108"/>
      <c r="D28" s="108"/>
      <c r="E28" s="108"/>
      <c r="F28" s="108"/>
      <c r="G28" s="108"/>
      <c r="H28" s="137">
        <f ca="1">(I28*H27)/I27</f>
        <v>607.63499999999999</v>
      </c>
      <c r="I28" s="138">
        <v>5</v>
      </c>
      <c r="J28" s="139" t="s">
        <v>8</v>
      </c>
      <c r="K28" s="108"/>
      <c r="L28" s="123" t="s">
        <v>129</v>
      </c>
      <c r="M28" s="123">
        <f ca="1">ROUND(MAX(D5:D24),0)</f>
        <v>15057</v>
      </c>
      <c r="N28" s="108"/>
      <c r="O28" s="108"/>
      <c r="P28" s="108"/>
      <c r="Q28" s="108"/>
      <c r="R28" s="108"/>
    </row>
    <row r="29" spans="1:18" ht="15.6" x14ac:dyDescent="0.3">
      <c r="A29" s="108"/>
      <c r="B29" s="140" t="s">
        <v>24</v>
      </c>
      <c r="C29" s="140"/>
      <c r="D29" s="140"/>
      <c r="E29" s="123">
        <f ca="1">ROUND(SUM(D5:D24)/E27,0)</f>
        <v>13087</v>
      </c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</row>
    <row r="30" spans="1:18" ht="15.6" x14ac:dyDescent="0.3">
      <c r="A30" s="108"/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</row>
    <row r="31" spans="1:18" ht="15.6" x14ac:dyDescent="0.3">
      <c r="A31" s="108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</row>
    <row r="32" spans="1:18" ht="15.6" x14ac:dyDescent="0.3">
      <c r="A32" s="108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</row>
    <row r="36" spans="1:18" x14ac:dyDescent="0.3">
      <c r="D36" s="52" t="str">
        <f>+'Hoja de cronometraje'!N4</f>
        <v>Elemento E</v>
      </c>
      <c r="E36" s="53"/>
    </row>
    <row r="37" spans="1:18" s="108" customFormat="1" ht="15.6" x14ac:dyDescent="0.3"/>
    <row r="38" spans="1:18" ht="15.6" x14ac:dyDescent="0.3">
      <c r="A38" s="108"/>
      <c r="B38" s="37" t="s">
        <v>18</v>
      </c>
      <c r="C38" s="37" t="s">
        <v>19</v>
      </c>
      <c r="D38" s="37" t="s">
        <v>20</v>
      </c>
      <c r="E38" s="38" t="s">
        <v>118</v>
      </c>
      <c r="F38" s="38" t="s">
        <v>119</v>
      </c>
      <c r="G38" s="38" t="s">
        <v>120</v>
      </c>
      <c r="H38" s="38" t="s">
        <v>121</v>
      </c>
      <c r="I38" s="39" t="s">
        <v>94</v>
      </c>
      <c r="J38" s="39" t="s">
        <v>122</v>
      </c>
      <c r="K38" s="40">
        <f ca="1">ROUNDDOWN(H62,0)</f>
        <v>1177</v>
      </c>
      <c r="L38" s="108"/>
      <c r="M38" s="108"/>
      <c r="N38" s="108"/>
      <c r="O38" s="108"/>
      <c r="P38" s="108"/>
      <c r="Q38" s="108"/>
      <c r="R38" s="108"/>
    </row>
    <row r="39" spans="1:18" ht="15.6" x14ac:dyDescent="0.3">
      <c r="A39" s="108"/>
      <c r="B39" s="143">
        <f ca="1">+'N° de Obs.'!M6</f>
        <v>90</v>
      </c>
      <c r="C39" s="143">
        <f ca="1">+'N° de Obs.'!N6</f>
        <v>27884</v>
      </c>
      <c r="D39" s="143">
        <f ca="1">+'N° de Obs.'!O6</f>
        <v>25095.599999999999</v>
      </c>
      <c r="E39" s="123">
        <f ca="1">IF(I39="","",IFERROR(F39*G39,""))</f>
        <v>0</v>
      </c>
      <c r="F39" s="123">
        <f ca="1">IF(I39="","",IFERROR(G39*H39,""))</f>
        <v>0</v>
      </c>
      <c r="G39" s="123">
        <f ca="1">IF(I39="","",ROW($V1)-1)</f>
        <v>0</v>
      </c>
      <c r="H39" s="123">
        <f ca="1">IF(I39="","",COUNTIF($D$39:$D$58,"&lt;="&amp;$J40))</f>
        <v>1</v>
      </c>
      <c r="I39" s="124">
        <f ca="1">ROUND(H61,0)</f>
        <v>23557</v>
      </c>
      <c r="J39" s="125"/>
      <c r="K39" s="126" t="s">
        <v>29</v>
      </c>
      <c r="L39" s="108"/>
      <c r="M39" s="108"/>
      <c r="N39" s="124" t="s">
        <v>123</v>
      </c>
      <c r="O39" s="123">
        <f ca="1">F45/H45</f>
        <v>2.1</v>
      </c>
      <c r="P39" s="108"/>
      <c r="Q39" s="108"/>
      <c r="R39" s="108"/>
    </row>
    <row r="40" spans="1:18" ht="15.6" x14ac:dyDescent="0.3">
      <c r="A40" s="108"/>
      <c r="B40" s="143">
        <f ca="1">+'N° de Obs.'!M7</f>
        <v>95</v>
      </c>
      <c r="C40" s="143">
        <f ca="1">+'N° de Obs.'!N7</f>
        <v>28925</v>
      </c>
      <c r="D40" s="143">
        <f ca="1">+'N° de Obs.'!O7</f>
        <v>27478.75</v>
      </c>
      <c r="E40" s="123">
        <f t="shared" ref="E40:E44" ca="1" si="5">IF(I40="","",IFERROR(F40*G40,""))</f>
        <v>7</v>
      </c>
      <c r="F40" s="123">
        <f t="shared" ref="F40:F44" ca="1" si="6">IF(I40="","",IFERROR(G40*H40,""))</f>
        <v>7</v>
      </c>
      <c r="G40" s="123">
        <f t="shared" ref="G40:G44" ca="1" si="7">IF(I40="","",ROW($V2)-1)</f>
        <v>1</v>
      </c>
      <c r="H40" s="123">
        <f ca="1">IF(I40="","",COUNTIFS($D$39:$D$58,"&lt;="&amp;$J41,$D$39:$D$58,"&gt;"&amp;$J40))</f>
        <v>7</v>
      </c>
      <c r="I40" s="124">
        <f ca="1">IFERROR(IF($I39+$K$38&lt;=$M$62,$I39+$K$38,""),"")</f>
        <v>24734</v>
      </c>
      <c r="J40" s="125">
        <f ca="1">IF(I39="","",IFERROR(($I39+$I40)/2,MAX($D$39:$D$58)))</f>
        <v>24145.5</v>
      </c>
      <c r="K40" s="126" t="s">
        <v>143</v>
      </c>
      <c r="L40" s="108"/>
      <c r="M40" s="108"/>
      <c r="N40" s="124" t="s">
        <v>124</v>
      </c>
      <c r="O40" s="123">
        <f ca="1">E45/H45</f>
        <v>6</v>
      </c>
      <c r="P40" s="108"/>
      <c r="Q40" s="108"/>
      <c r="R40" s="108"/>
    </row>
    <row r="41" spans="1:18" ht="15.6" x14ac:dyDescent="0.3">
      <c r="A41" s="108"/>
      <c r="B41" s="143">
        <f ca="1">+'N° de Obs.'!M8</f>
        <v>100</v>
      </c>
      <c r="C41" s="143">
        <f ca="1">+'N° de Obs.'!N8</f>
        <v>28060</v>
      </c>
      <c r="D41" s="143">
        <f ca="1">+'N° de Obs.'!O8</f>
        <v>28060</v>
      </c>
      <c r="E41" s="123">
        <f t="shared" ca="1" si="5"/>
        <v>20</v>
      </c>
      <c r="F41" s="123">
        <f t="shared" ca="1" si="6"/>
        <v>10</v>
      </c>
      <c r="G41" s="123">
        <f t="shared" ca="1" si="7"/>
        <v>2</v>
      </c>
      <c r="H41" s="123">
        <f t="shared" ref="H41:H44" ca="1" si="8">IF(I41="","",COUNTIFS($D$39:$D$58,"&lt;="&amp;$J42,$D$39:$D$58,"&gt;"&amp;$J41))</f>
        <v>5</v>
      </c>
      <c r="I41" s="124">
        <f t="shared" ref="I41:I45" ca="1" si="9">IFERROR(IF($I40+$K$38&lt;=$M$62,$I40+$K$38,""),"")</f>
        <v>25911</v>
      </c>
      <c r="J41" s="125">
        <f t="shared" ref="J41:J45" ca="1" si="10">IF(I40="","",IFERROR(($I40+$I41)/2,MAX($D$39:$D$58)))</f>
        <v>25322.5</v>
      </c>
      <c r="K41" s="126" t="s">
        <v>142</v>
      </c>
      <c r="L41" s="108"/>
      <c r="M41" s="108"/>
      <c r="N41" s="108"/>
      <c r="O41" s="108"/>
      <c r="P41" s="108"/>
      <c r="Q41" s="108"/>
      <c r="R41" s="108"/>
    </row>
    <row r="42" spans="1:18" ht="15.6" x14ac:dyDescent="0.3">
      <c r="A42" s="108"/>
      <c r="B42" s="143">
        <f ca="1">+'N° de Obs.'!M9</f>
        <v>100</v>
      </c>
      <c r="C42" s="143">
        <f ca="1">+'N° de Obs.'!N9</f>
        <v>27620</v>
      </c>
      <c r="D42" s="143">
        <f ca="1">+'N° de Obs.'!O9</f>
        <v>27620</v>
      </c>
      <c r="E42" s="123">
        <f t="shared" ca="1" si="5"/>
        <v>36</v>
      </c>
      <c r="F42" s="123">
        <f t="shared" ca="1" si="6"/>
        <v>12</v>
      </c>
      <c r="G42" s="123">
        <f t="shared" ca="1" si="7"/>
        <v>3</v>
      </c>
      <c r="H42" s="123">
        <f t="shared" ca="1" si="8"/>
        <v>4</v>
      </c>
      <c r="I42" s="124">
        <f t="shared" ca="1" si="9"/>
        <v>27088</v>
      </c>
      <c r="J42" s="125">
        <f t="shared" ca="1" si="10"/>
        <v>26499.5</v>
      </c>
      <c r="K42" s="126" t="s">
        <v>146</v>
      </c>
      <c r="L42" s="108"/>
      <c r="M42" s="108"/>
      <c r="N42" s="124" t="s">
        <v>125</v>
      </c>
      <c r="O42" s="123">
        <f ca="1">H61+(K38*O39)</f>
        <v>26028.600000000002</v>
      </c>
      <c r="P42" s="108"/>
      <c r="Q42" s="108"/>
      <c r="R42" s="108"/>
    </row>
    <row r="43" spans="1:18" ht="15.6" x14ac:dyDescent="0.3">
      <c r="A43" s="108"/>
      <c r="B43" s="143">
        <f ca="1">+'N° de Obs.'!M10</f>
        <v>90</v>
      </c>
      <c r="C43" s="143">
        <f ca="1">+'N° de Obs.'!N10</f>
        <v>27755</v>
      </c>
      <c r="D43" s="143">
        <f ca="1">+'N° de Obs.'!O10</f>
        <v>24979.5</v>
      </c>
      <c r="E43" s="123">
        <f t="shared" ca="1" si="5"/>
        <v>32</v>
      </c>
      <c r="F43" s="123">
        <f t="shared" ca="1" si="6"/>
        <v>8</v>
      </c>
      <c r="G43" s="123">
        <f t="shared" ca="1" si="7"/>
        <v>4</v>
      </c>
      <c r="H43" s="123">
        <f t="shared" ca="1" si="8"/>
        <v>2</v>
      </c>
      <c r="I43" s="124">
        <f t="shared" ca="1" si="9"/>
        <v>28265</v>
      </c>
      <c r="J43" s="125">
        <f t="shared" ca="1" si="10"/>
        <v>27676.5</v>
      </c>
      <c r="K43" s="126" t="s">
        <v>145</v>
      </c>
      <c r="L43" s="108"/>
      <c r="M43" s="108"/>
      <c r="N43" s="124" t="s">
        <v>126</v>
      </c>
      <c r="O43" s="127">
        <f ca="1">K38*(SQRT(O40-POWER(O39,2)))</f>
        <v>1484.1405290605062</v>
      </c>
      <c r="P43" s="108"/>
      <c r="Q43" s="108"/>
      <c r="R43" s="108"/>
    </row>
    <row r="44" spans="1:18" ht="16.2" thickBot="1" x14ac:dyDescent="0.35">
      <c r="A44" s="108"/>
      <c r="B44" s="143">
        <f ca="1">+'N° de Obs.'!M11</f>
        <v>90</v>
      </c>
      <c r="C44" s="143">
        <f ca="1">+'N° de Obs.'!N11</f>
        <v>28438</v>
      </c>
      <c r="D44" s="143">
        <f ca="1">+'N° de Obs.'!O11</f>
        <v>25594.2</v>
      </c>
      <c r="E44" s="123">
        <f t="shared" ca="1" si="5"/>
        <v>25</v>
      </c>
      <c r="F44" s="123">
        <f t="shared" ca="1" si="6"/>
        <v>5</v>
      </c>
      <c r="G44" s="123">
        <f t="shared" ca="1" si="7"/>
        <v>5</v>
      </c>
      <c r="H44" s="123">
        <f t="shared" ca="1" si="8"/>
        <v>1</v>
      </c>
      <c r="I44" s="124">
        <f t="shared" ca="1" si="9"/>
        <v>29442</v>
      </c>
      <c r="J44" s="125">
        <f t="shared" ca="1" si="10"/>
        <v>28853.5</v>
      </c>
      <c r="K44" s="126" t="s">
        <v>29</v>
      </c>
      <c r="L44" s="108"/>
      <c r="M44" s="108"/>
      <c r="N44" s="108"/>
      <c r="O44" s="108"/>
      <c r="P44" s="108"/>
      <c r="Q44" s="108"/>
      <c r="R44" s="108"/>
    </row>
    <row r="45" spans="1:18" ht="16.2" thickBot="1" x14ac:dyDescent="0.35">
      <c r="A45" s="108"/>
      <c r="B45" s="143">
        <f ca="1">+'N° de Obs.'!M12</f>
        <v>90</v>
      </c>
      <c r="C45" s="143">
        <f ca="1">+'N° de Obs.'!N12</f>
        <v>27393</v>
      </c>
      <c r="D45" s="143">
        <f ca="1">+'N° de Obs.'!O12</f>
        <v>24653.7</v>
      </c>
      <c r="E45" s="128">
        <f ca="1">SUM(E39:E51)</f>
        <v>120</v>
      </c>
      <c r="F45" s="129">
        <f ca="1">SUM(F39:F51)</f>
        <v>42</v>
      </c>
      <c r="G45" s="108"/>
      <c r="H45" s="129">
        <f ca="1">SUM(H39:H51)</f>
        <v>20</v>
      </c>
      <c r="I45" s="130" t="str">
        <f t="shared" ca="1" si="9"/>
        <v/>
      </c>
      <c r="J45" s="131">
        <f t="shared" ca="1" si="10"/>
        <v>29999.55</v>
      </c>
      <c r="K45" s="132"/>
      <c r="L45" s="108"/>
      <c r="M45" s="108"/>
      <c r="N45" s="124" t="s">
        <v>127</v>
      </c>
      <c r="O45" s="123">
        <f ca="1">(O43*100)/O42</f>
        <v>5.7019606473667652</v>
      </c>
      <c r="P45" s="123" t="s">
        <v>8</v>
      </c>
      <c r="Q45" s="108"/>
      <c r="R45" s="108"/>
    </row>
    <row r="46" spans="1:18" ht="15.6" x14ac:dyDescent="0.3">
      <c r="A46" s="108"/>
      <c r="B46" s="143">
        <f ca="1">+'N° de Obs.'!M13</f>
        <v>85</v>
      </c>
      <c r="C46" s="143">
        <f ca="1">+'N° de Obs.'!N13</f>
        <v>28807</v>
      </c>
      <c r="D46" s="143">
        <f ca="1">+'N° de Obs.'!O13</f>
        <v>24485.95</v>
      </c>
      <c r="E46" s="108"/>
      <c r="F46" s="108"/>
      <c r="G46" s="108"/>
      <c r="H46" s="108"/>
      <c r="I46" s="133"/>
      <c r="J46" s="132"/>
      <c r="K46" s="132"/>
      <c r="L46" s="108"/>
      <c r="M46" s="108"/>
      <c r="N46" s="108"/>
      <c r="O46" s="108"/>
      <c r="P46" s="108"/>
      <c r="Q46" s="108"/>
      <c r="R46" s="108"/>
    </row>
    <row r="47" spans="1:18" ht="15.6" x14ac:dyDescent="0.3">
      <c r="A47" s="108"/>
      <c r="B47" s="143">
        <f ca="1">+'N° de Obs.'!M14</f>
        <v>90</v>
      </c>
      <c r="C47" s="143">
        <f ca="1">+'N° de Obs.'!N14</f>
        <v>28828</v>
      </c>
      <c r="D47" s="143">
        <f ca="1">+'N° de Obs.'!O14</f>
        <v>25945.200000000001</v>
      </c>
      <c r="E47" s="108"/>
      <c r="F47" s="108"/>
      <c r="G47" s="108"/>
      <c r="H47" s="108"/>
      <c r="I47" s="133"/>
      <c r="J47" s="132"/>
      <c r="K47" s="132"/>
      <c r="L47" s="108"/>
      <c r="M47" s="108"/>
      <c r="N47" s="134" t="str">
        <f ca="1">IF(O45&lt;6,"Se puede continuar con el estudio","No se puede continuar con el estudio")</f>
        <v>Se puede continuar con el estudio</v>
      </c>
      <c r="O47" s="134"/>
      <c r="P47" s="108"/>
      <c r="Q47" s="108"/>
      <c r="R47" s="108"/>
    </row>
    <row r="48" spans="1:18" ht="15.6" x14ac:dyDescent="0.3">
      <c r="A48" s="108"/>
      <c r="B48" s="143">
        <f ca="1">+'N° de Obs.'!M15</f>
        <v>95</v>
      </c>
      <c r="C48" s="143">
        <f ca="1">+'N° de Obs.'!N15</f>
        <v>28607</v>
      </c>
      <c r="D48" s="143">
        <f ca="1">+'N° de Obs.'!O15</f>
        <v>27176.65</v>
      </c>
      <c r="E48" s="108"/>
      <c r="F48" s="108"/>
      <c r="G48" s="108"/>
      <c r="H48" s="108"/>
      <c r="I48" s="133"/>
      <c r="J48" s="132"/>
      <c r="K48" s="132"/>
      <c r="L48" s="108"/>
      <c r="M48" s="108"/>
      <c r="N48" s="134"/>
      <c r="O48" s="134"/>
      <c r="P48" s="108"/>
      <c r="Q48" s="108"/>
      <c r="R48" s="108"/>
    </row>
    <row r="49" spans="1:18" ht="15.6" x14ac:dyDescent="0.3">
      <c r="A49" s="108"/>
      <c r="B49" s="143">
        <f ca="1">+'N° de Obs.'!M16</f>
        <v>90</v>
      </c>
      <c r="C49" s="143">
        <f ca="1">+'N° de Obs.'!N16</f>
        <v>28852</v>
      </c>
      <c r="D49" s="143">
        <f ca="1">+'N° de Obs.'!O16</f>
        <v>25966.799999999999</v>
      </c>
      <c r="E49" s="108"/>
      <c r="F49" s="108"/>
      <c r="G49" s="108"/>
      <c r="H49" s="108"/>
      <c r="I49" s="133"/>
      <c r="J49" s="132"/>
      <c r="K49" s="132"/>
      <c r="L49" s="108"/>
      <c r="M49" s="108"/>
      <c r="N49" s="108"/>
      <c r="O49" s="108"/>
      <c r="P49" s="108"/>
      <c r="Q49" s="108"/>
      <c r="R49" s="108"/>
    </row>
    <row r="50" spans="1:18" ht="15.6" x14ac:dyDescent="0.3">
      <c r="A50" s="108"/>
      <c r="B50" s="143">
        <f ca="1">+'N° de Obs.'!M17</f>
        <v>105</v>
      </c>
      <c r="C50" s="143">
        <f ca="1">+'N° de Obs.'!N17</f>
        <v>28571</v>
      </c>
      <c r="D50" s="143">
        <f ca="1">+'N° de Obs.'!O17</f>
        <v>29999.55</v>
      </c>
      <c r="E50" s="108"/>
      <c r="F50" s="108"/>
      <c r="G50" s="108"/>
      <c r="H50" s="108"/>
      <c r="I50" s="133"/>
      <c r="J50" s="132"/>
      <c r="K50" s="132"/>
      <c r="L50" s="108"/>
      <c r="M50" s="108"/>
      <c r="N50" s="108"/>
      <c r="O50" s="108"/>
      <c r="P50" s="108"/>
      <c r="Q50" s="108"/>
      <c r="R50" s="108"/>
    </row>
    <row r="51" spans="1:18" ht="15.6" x14ac:dyDescent="0.3">
      <c r="A51" s="108"/>
      <c r="B51" s="143">
        <f ca="1">+'N° de Obs.'!M18</f>
        <v>85</v>
      </c>
      <c r="C51" s="143">
        <f ca="1">+'N° de Obs.'!N18</f>
        <v>27714</v>
      </c>
      <c r="D51" s="143">
        <f ca="1">+'N° de Obs.'!O18</f>
        <v>23556.9</v>
      </c>
      <c r="E51" s="108"/>
      <c r="F51" s="108"/>
      <c r="G51" s="108"/>
      <c r="H51" s="108"/>
      <c r="I51" s="133"/>
      <c r="J51" s="132"/>
      <c r="K51" s="132"/>
      <c r="L51" s="108"/>
      <c r="M51" s="108"/>
      <c r="N51" s="108"/>
      <c r="O51" s="108"/>
      <c r="P51" s="108"/>
      <c r="Q51" s="108"/>
      <c r="R51" s="108"/>
    </row>
    <row r="52" spans="1:18" ht="15.6" x14ac:dyDescent="0.3">
      <c r="A52" s="108"/>
      <c r="B52" s="143">
        <f ca="1">+'N° de Obs.'!M19</f>
        <v>90</v>
      </c>
      <c r="C52" s="143">
        <f ca="1">+'N° de Obs.'!N19</f>
        <v>28982</v>
      </c>
      <c r="D52" s="143">
        <f ca="1">+'N° de Obs.'!O19</f>
        <v>26083.8</v>
      </c>
      <c r="E52" s="108"/>
      <c r="F52" s="108"/>
      <c r="G52" s="108"/>
      <c r="H52" s="108"/>
      <c r="I52" s="133"/>
      <c r="J52" s="132"/>
      <c r="K52" s="132"/>
      <c r="L52" s="108"/>
      <c r="M52" s="108"/>
      <c r="N52" s="108"/>
      <c r="O52" s="108"/>
      <c r="P52" s="108"/>
      <c r="Q52" s="108"/>
      <c r="R52" s="108"/>
    </row>
    <row r="53" spans="1:18" ht="15.6" x14ac:dyDescent="0.3">
      <c r="A53" s="108"/>
      <c r="B53" s="143">
        <f ca="1">+'N° de Obs.'!M20</f>
        <v>95</v>
      </c>
      <c r="C53" s="143">
        <f ca="1">+'N° de Obs.'!N20</f>
        <v>28915</v>
      </c>
      <c r="D53" s="143">
        <f ca="1">+'N° de Obs.'!O20</f>
        <v>27469.25</v>
      </c>
      <c r="E53" s="108"/>
      <c r="F53" s="108"/>
      <c r="G53" s="108"/>
      <c r="H53" s="108"/>
      <c r="I53" s="133"/>
      <c r="J53" s="132"/>
      <c r="K53" s="132"/>
      <c r="L53" s="108"/>
      <c r="M53" s="108"/>
      <c r="N53" s="108"/>
      <c r="O53" s="108"/>
      <c r="P53" s="108"/>
      <c r="Q53" s="108"/>
      <c r="R53" s="108"/>
    </row>
    <row r="54" spans="1:18" ht="15.6" x14ac:dyDescent="0.3">
      <c r="A54" s="108"/>
      <c r="B54" s="143">
        <f ca="1">+'N° de Obs.'!M21</f>
        <v>90</v>
      </c>
      <c r="C54" s="143">
        <f ca="1">+'N° de Obs.'!N21</f>
        <v>27667</v>
      </c>
      <c r="D54" s="143">
        <f ca="1">+'N° de Obs.'!O21</f>
        <v>24900.3</v>
      </c>
      <c r="E54" s="108"/>
      <c r="F54" s="108"/>
      <c r="G54" s="108"/>
      <c r="H54" s="108"/>
      <c r="I54" s="133"/>
      <c r="J54" s="132"/>
      <c r="K54" s="132"/>
      <c r="L54" s="108"/>
      <c r="M54" s="108"/>
      <c r="N54" s="108"/>
      <c r="O54" s="108"/>
      <c r="P54" s="108"/>
      <c r="Q54" s="108"/>
      <c r="R54" s="108"/>
    </row>
    <row r="55" spans="1:18" ht="15.6" x14ac:dyDescent="0.3">
      <c r="A55" s="108"/>
      <c r="B55" s="143">
        <f ca="1">+'N° de Obs.'!M22</f>
        <v>85</v>
      </c>
      <c r="C55" s="143">
        <f ca="1">+'N° de Obs.'!N22</f>
        <v>28561</v>
      </c>
      <c r="D55" s="143">
        <f ca="1">+'N° de Obs.'!O22</f>
        <v>24276.85</v>
      </c>
      <c r="E55" s="108"/>
      <c r="F55" s="108"/>
      <c r="G55" s="108"/>
      <c r="H55" s="108"/>
      <c r="I55" s="133"/>
      <c r="J55" s="132"/>
      <c r="K55" s="132"/>
      <c r="L55" s="108"/>
      <c r="M55" s="108"/>
      <c r="N55" s="108"/>
      <c r="O55" s="108"/>
      <c r="P55" s="108"/>
      <c r="Q55" s="108"/>
      <c r="R55" s="108"/>
    </row>
    <row r="56" spans="1:18" ht="15.6" x14ac:dyDescent="0.3">
      <c r="A56" s="108"/>
      <c r="B56" s="143">
        <f ca="1">+'N° de Obs.'!M23</f>
        <v>90</v>
      </c>
      <c r="C56" s="143">
        <f ca="1">+'N° de Obs.'!N23</f>
        <v>27827</v>
      </c>
      <c r="D56" s="143">
        <f ca="1">+'N° de Obs.'!O23</f>
        <v>25044.3</v>
      </c>
      <c r="E56" s="108"/>
      <c r="F56" s="108"/>
      <c r="G56" s="108"/>
      <c r="H56" s="108"/>
      <c r="I56" s="133"/>
      <c r="J56" s="132"/>
      <c r="K56" s="132"/>
      <c r="L56" s="108"/>
      <c r="M56" s="108"/>
      <c r="N56" s="108"/>
      <c r="O56" s="108"/>
      <c r="P56" s="108"/>
      <c r="Q56" s="108"/>
      <c r="R56" s="108"/>
    </row>
    <row r="57" spans="1:18" ht="15.6" x14ac:dyDescent="0.3">
      <c r="A57" s="108"/>
      <c r="B57" s="143">
        <f ca="1">+'N° de Obs.'!M24</f>
        <v>90</v>
      </c>
      <c r="C57" s="143">
        <f ca="1">+'N° de Obs.'!N24</f>
        <v>28697</v>
      </c>
      <c r="D57" s="143">
        <f ca="1">+'N° de Obs.'!O24</f>
        <v>25827.3</v>
      </c>
      <c r="E57" s="108"/>
      <c r="F57" s="108"/>
      <c r="G57" s="108"/>
      <c r="H57" s="108"/>
      <c r="I57" s="133"/>
      <c r="J57" s="132"/>
      <c r="K57" s="132"/>
      <c r="L57" s="108"/>
      <c r="M57" s="108"/>
      <c r="N57" s="108"/>
      <c r="O57" s="108"/>
      <c r="P57" s="108"/>
      <c r="Q57" s="108"/>
      <c r="R57" s="108"/>
    </row>
    <row r="58" spans="1:18" ht="15.6" x14ac:dyDescent="0.3">
      <c r="A58" s="108"/>
      <c r="B58" s="143">
        <f ca="1">+'N° de Obs.'!M25</f>
        <v>105</v>
      </c>
      <c r="C58" s="143">
        <f ca="1">+'N° de Obs.'!N25</f>
        <v>27025</v>
      </c>
      <c r="D58" s="143">
        <f ca="1">+'N° de Obs.'!O25</f>
        <v>28376.25</v>
      </c>
      <c r="E58" s="108"/>
      <c r="F58" s="108"/>
      <c r="G58" s="108"/>
      <c r="H58" s="108"/>
      <c r="I58" s="133"/>
      <c r="J58" s="132"/>
      <c r="K58" s="132"/>
      <c r="L58" s="108"/>
      <c r="M58" s="108"/>
      <c r="N58" s="108"/>
      <c r="O58" s="108"/>
      <c r="P58" s="108"/>
      <c r="Q58" s="108"/>
      <c r="R58" s="108"/>
    </row>
    <row r="59" spans="1:18" ht="15.6" x14ac:dyDescent="0.3">
      <c r="A59" s="108"/>
      <c r="B59" s="108"/>
      <c r="C59" s="108"/>
      <c r="D59" s="108"/>
      <c r="E59" s="108"/>
      <c r="F59" s="108"/>
      <c r="G59" s="108"/>
      <c r="H59" s="108"/>
      <c r="I59" s="133"/>
      <c r="J59" s="132"/>
      <c r="K59" s="132"/>
      <c r="L59" s="108"/>
      <c r="M59" s="108"/>
      <c r="N59" s="108"/>
      <c r="O59" s="108"/>
      <c r="P59" s="108"/>
      <c r="Q59" s="108"/>
      <c r="R59" s="108"/>
    </row>
    <row r="60" spans="1:18" ht="15.6" x14ac:dyDescent="0.3">
      <c r="A60" s="108"/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</row>
    <row r="61" spans="1:18" ht="15.6" x14ac:dyDescent="0.3">
      <c r="A61" s="108"/>
      <c r="B61" s="108"/>
      <c r="C61" s="108"/>
      <c r="D61" s="124" t="s">
        <v>23</v>
      </c>
      <c r="E61" s="123">
        <f ca="1">COUNTA(C39:C58)</f>
        <v>20</v>
      </c>
      <c r="F61" s="108"/>
      <c r="G61" s="108"/>
      <c r="H61" s="123">
        <f ca="1">MIN(D39:D58)</f>
        <v>23556.9</v>
      </c>
      <c r="I61" s="135">
        <v>100</v>
      </c>
      <c r="J61" s="136" t="s">
        <v>8</v>
      </c>
      <c r="K61" s="108"/>
      <c r="L61" s="123" t="s">
        <v>128</v>
      </c>
      <c r="M61" s="123">
        <f ca="1">ROUND(MIN(D39:D58),0)</f>
        <v>23557</v>
      </c>
      <c r="N61" s="108"/>
      <c r="O61" s="108"/>
      <c r="P61" s="108"/>
      <c r="Q61" s="108"/>
      <c r="R61" s="108"/>
    </row>
    <row r="62" spans="1:18" ht="15.6" x14ac:dyDescent="0.3">
      <c r="A62" s="108"/>
      <c r="B62" s="108"/>
      <c r="C62" s="108"/>
      <c r="D62" s="108"/>
      <c r="E62" s="108"/>
      <c r="F62" s="108"/>
      <c r="G62" s="108"/>
      <c r="H62" s="137">
        <f ca="1">(I62*H61)/I61</f>
        <v>1177.845</v>
      </c>
      <c r="I62" s="138">
        <v>5</v>
      </c>
      <c r="J62" s="139" t="s">
        <v>8</v>
      </c>
      <c r="K62" s="108"/>
      <c r="L62" s="123" t="s">
        <v>129</v>
      </c>
      <c r="M62" s="123">
        <f ca="1">ROUND(MAX(D39:D58),0)</f>
        <v>30000</v>
      </c>
      <c r="N62" s="108"/>
      <c r="O62" s="108"/>
      <c r="P62" s="108"/>
      <c r="Q62" s="108"/>
      <c r="R62" s="108"/>
    </row>
    <row r="63" spans="1:18" ht="15.6" x14ac:dyDescent="0.3">
      <c r="A63" s="108"/>
      <c r="B63" s="140" t="s">
        <v>24</v>
      </c>
      <c r="C63" s="140"/>
      <c r="D63" s="140"/>
      <c r="E63" s="123">
        <f ca="1">ROUND(SUM(D39:D58)/E61,0)</f>
        <v>26130</v>
      </c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</row>
    <row r="64" spans="1:18" ht="15.6" x14ac:dyDescent="0.3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</row>
    <row r="65" spans="1:20" ht="15.6" x14ac:dyDescent="0.3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</row>
    <row r="66" spans="1:20" ht="15.6" x14ac:dyDescent="0.3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</row>
    <row r="70" spans="1:20" x14ac:dyDescent="0.3">
      <c r="D70" s="52" t="str">
        <f>+'Hoja de cronometraje'!K29</f>
        <v>Elemento P</v>
      </c>
      <c r="E70" s="53"/>
    </row>
    <row r="71" spans="1:20" s="108" customFormat="1" ht="15.6" x14ac:dyDescent="0.3"/>
    <row r="72" spans="1:20" ht="15.6" x14ac:dyDescent="0.3">
      <c r="A72" s="108"/>
      <c r="B72" s="37" t="s">
        <v>18</v>
      </c>
      <c r="C72" s="37" t="s">
        <v>19</v>
      </c>
      <c r="D72" s="37" t="s">
        <v>20</v>
      </c>
      <c r="E72" s="38" t="s">
        <v>118</v>
      </c>
      <c r="F72" s="38" t="s">
        <v>119</v>
      </c>
      <c r="G72" s="38" t="s">
        <v>120</v>
      </c>
      <c r="H72" s="38" t="s">
        <v>121</v>
      </c>
      <c r="I72" s="39" t="s">
        <v>94</v>
      </c>
      <c r="J72" s="39" t="s">
        <v>122</v>
      </c>
      <c r="K72" s="40">
        <f ca="1">ROUNDDOWN(H96,0)</f>
        <v>375</v>
      </c>
      <c r="L72" s="108"/>
      <c r="M72" s="108"/>
      <c r="N72" s="108"/>
      <c r="O72" s="108"/>
      <c r="P72" s="108"/>
      <c r="Q72" s="108"/>
      <c r="R72" s="108"/>
      <c r="S72" s="108"/>
      <c r="T72" s="108"/>
    </row>
    <row r="73" spans="1:20" ht="15.6" x14ac:dyDescent="0.3">
      <c r="A73" s="108"/>
      <c r="B73" s="143">
        <f ca="1">+'N° de Obs.'!D34</f>
        <v>90</v>
      </c>
      <c r="C73" s="143">
        <f ca="1">+'N° de Obs.'!E34</f>
        <v>9343</v>
      </c>
      <c r="D73" s="143">
        <f ca="1">+'N° de Obs.'!F34</f>
        <v>8408.7000000000007</v>
      </c>
      <c r="E73" s="123">
        <f ca="1">IF(I73="","",IFERROR(F73*G73,""))</f>
        <v>0</v>
      </c>
      <c r="F73" s="123">
        <f ca="1">IF(I73="","",IFERROR(G73*H73,""))</f>
        <v>0</v>
      </c>
      <c r="G73" s="123">
        <v>0</v>
      </c>
      <c r="H73" s="123">
        <f ca="1">IF(I73="","",COUNTIF($D$73:$D$92,"&lt;="&amp;$J74))</f>
        <v>1</v>
      </c>
      <c r="I73" s="124">
        <f ca="1">ROUND(H95,0)</f>
        <v>7512</v>
      </c>
      <c r="J73" s="125"/>
      <c r="K73" s="126" t="s">
        <v>29</v>
      </c>
      <c r="L73" s="108"/>
      <c r="M73" s="108"/>
      <c r="N73" s="124" t="s">
        <v>123</v>
      </c>
      <c r="O73" s="123">
        <f ca="1">F79/H79</f>
        <v>2.95</v>
      </c>
      <c r="P73" s="108"/>
      <c r="Q73" s="108"/>
      <c r="R73" s="108"/>
    </row>
    <row r="74" spans="1:20" ht="15.6" x14ac:dyDescent="0.3">
      <c r="A74" s="108"/>
      <c r="B74" s="143">
        <f ca="1">+'N° de Obs.'!D35</f>
        <v>85</v>
      </c>
      <c r="C74" s="143">
        <f ca="1">+'N° de Obs.'!E35</f>
        <v>9358</v>
      </c>
      <c r="D74" s="143">
        <f ca="1">+'N° de Obs.'!F35</f>
        <v>7954.3</v>
      </c>
      <c r="E74" s="123">
        <f t="shared" ref="E74:E78" ca="1" si="11">IF(I74="","",IFERROR(F74*G74,""))</f>
        <v>3</v>
      </c>
      <c r="F74" s="123">
        <f t="shared" ref="F74:F78" ca="1" si="12">IF(I74="","",IFERROR(G74*H74,""))</f>
        <v>3</v>
      </c>
      <c r="G74" s="123">
        <v>1</v>
      </c>
      <c r="H74" s="123">
        <f ca="1">IF(I74="","",COUNTIFS($D$73:$D$92,"&lt;="&amp;$J75,$D$73:$D$92,"&gt;"&amp;$J74))</f>
        <v>3</v>
      </c>
      <c r="I74" s="124">
        <f t="shared" ref="I74:I78" ca="1" si="13">IFERROR(IF($I73+$K$72&lt;=$M$96,$I73+$K$72,""),"")</f>
        <v>7887</v>
      </c>
      <c r="J74" s="125">
        <f ca="1">IF(I73="","",IFERROR(($I73+$I74)/2,MAX($D$73:$D$92)))</f>
        <v>7699.5</v>
      </c>
      <c r="K74" s="126" t="s">
        <v>144</v>
      </c>
      <c r="L74" s="108"/>
      <c r="M74" s="108"/>
      <c r="N74" s="124" t="s">
        <v>124</v>
      </c>
      <c r="O74" s="123">
        <f ca="1">E79/H79</f>
        <v>10.55</v>
      </c>
      <c r="P74" s="108"/>
      <c r="Q74" s="108"/>
      <c r="R74" s="108"/>
    </row>
    <row r="75" spans="1:20" ht="15.6" x14ac:dyDescent="0.3">
      <c r="A75" s="108"/>
      <c r="B75" s="143">
        <f ca="1">+'N° de Obs.'!D36</f>
        <v>90</v>
      </c>
      <c r="C75" s="143">
        <f ca="1">+'N° de Obs.'!E36</f>
        <v>9075</v>
      </c>
      <c r="D75" s="143">
        <f ca="1">+'N° de Obs.'!F36</f>
        <v>8167.5</v>
      </c>
      <c r="E75" s="123">
        <f t="shared" ca="1" si="11"/>
        <v>8</v>
      </c>
      <c r="F75" s="123">
        <f t="shared" ca="1" si="12"/>
        <v>4</v>
      </c>
      <c r="G75" s="123">
        <v>2</v>
      </c>
      <c r="H75" s="123">
        <f t="shared" ref="H75:H78" ca="1" si="14">IF(I75="","",COUNTIFS($D$73:$D$92,"&lt;="&amp;$J76,$D$73:$D$92,"&gt;"&amp;$J75))</f>
        <v>2</v>
      </c>
      <c r="I75" s="124">
        <f t="shared" ca="1" si="13"/>
        <v>8262</v>
      </c>
      <c r="J75" s="125">
        <f t="shared" ref="J75:J78" ca="1" si="15">IF(I74="","",IFERROR(($I74+$I75)/2,MAX($D$73:$D$92)))</f>
        <v>8074.5</v>
      </c>
      <c r="K75" s="126" t="s">
        <v>145</v>
      </c>
      <c r="L75" s="108"/>
      <c r="M75" s="108"/>
      <c r="N75" s="108"/>
      <c r="O75" s="108"/>
      <c r="P75" s="108"/>
      <c r="Q75" s="108"/>
      <c r="R75" s="108"/>
    </row>
    <row r="76" spans="1:20" ht="15.6" x14ac:dyDescent="0.3">
      <c r="A76" s="108"/>
      <c r="B76" s="143">
        <f ca="1">+'N° de Obs.'!D37</f>
        <v>90</v>
      </c>
      <c r="C76" s="143">
        <f ca="1">+'N° de Obs.'!E37</f>
        <v>9421</v>
      </c>
      <c r="D76" s="143">
        <f ca="1">+'N° de Obs.'!F37</f>
        <v>8478.9</v>
      </c>
      <c r="E76" s="123">
        <f t="shared" ca="1" si="11"/>
        <v>54</v>
      </c>
      <c r="F76" s="123">
        <f t="shared" ca="1" si="12"/>
        <v>18</v>
      </c>
      <c r="G76" s="123">
        <v>3</v>
      </c>
      <c r="H76" s="123">
        <f t="shared" ca="1" si="14"/>
        <v>6</v>
      </c>
      <c r="I76" s="124">
        <f t="shared" ca="1" si="13"/>
        <v>8637</v>
      </c>
      <c r="J76" s="125">
        <f t="shared" ca="1" si="15"/>
        <v>8449.5</v>
      </c>
      <c r="K76" s="126" t="s">
        <v>147</v>
      </c>
      <c r="L76" s="108"/>
      <c r="M76" s="108"/>
      <c r="N76" s="124" t="s">
        <v>125</v>
      </c>
      <c r="O76" s="123">
        <f ca="1">H95+(K72*O73)</f>
        <v>8618.5499999999993</v>
      </c>
      <c r="P76" s="108"/>
      <c r="Q76" s="108"/>
      <c r="R76" s="108"/>
    </row>
    <row r="77" spans="1:20" ht="15.6" x14ac:dyDescent="0.3">
      <c r="A77" s="108"/>
      <c r="B77" s="143">
        <f ca="1">+'N° de Obs.'!D38</f>
        <v>105</v>
      </c>
      <c r="C77" s="143">
        <f ca="1">+'N° de Obs.'!E38</f>
        <v>8736</v>
      </c>
      <c r="D77" s="143">
        <f ca="1">+'N° de Obs.'!F38</f>
        <v>9172.7999999999993</v>
      </c>
      <c r="E77" s="123">
        <f t="shared" ca="1" si="11"/>
        <v>96</v>
      </c>
      <c r="F77" s="123">
        <f t="shared" ca="1" si="12"/>
        <v>24</v>
      </c>
      <c r="G77" s="123">
        <v>4</v>
      </c>
      <c r="H77" s="123">
        <f t="shared" ca="1" si="14"/>
        <v>6</v>
      </c>
      <c r="I77" s="124">
        <f t="shared" ca="1" si="13"/>
        <v>9012</v>
      </c>
      <c r="J77" s="125">
        <f t="shared" ca="1" si="15"/>
        <v>8824.5</v>
      </c>
      <c r="K77" s="126" t="s">
        <v>147</v>
      </c>
      <c r="L77" s="108"/>
      <c r="M77" s="108"/>
      <c r="N77" s="124" t="s">
        <v>126</v>
      </c>
      <c r="O77" s="127">
        <f ca="1">K72*(SQRT(O74-POWER(O73,2)))</f>
        <v>509.71039571505702</v>
      </c>
      <c r="P77" s="108"/>
      <c r="Q77" s="108"/>
      <c r="R77" s="108"/>
    </row>
    <row r="78" spans="1:20" ht="16.2" thickBot="1" x14ac:dyDescent="0.35">
      <c r="A78" s="108"/>
      <c r="B78" s="143">
        <f ca="1">+'N° de Obs.'!D39</f>
        <v>95</v>
      </c>
      <c r="C78" s="143">
        <f ca="1">+'N° de Obs.'!E39</f>
        <v>9058</v>
      </c>
      <c r="D78" s="143">
        <f ca="1">+'N° de Obs.'!F39</f>
        <v>8605.1</v>
      </c>
      <c r="E78" s="123">
        <f t="shared" ca="1" si="11"/>
        <v>50</v>
      </c>
      <c r="F78" s="123">
        <f t="shared" ca="1" si="12"/>
        <v>10</v>
      </c>
      <c r="G78" s="123">
        <v>5</v>
      </c>
      <c r="H78" s="123">
        <f t="shared" ca="1" si="14"/>
        <v>2</v>
      </c>
      <c r="I78" s="124">
        <f t="shared" ca="1" si="13"/>
        <v>9387</v>
      </c>
      <c r="J78" s="125">
        <f t="shared" ca="1" si="15"/>
        <v>9199.5</v>
      </c>
      <c r="K78" s="126" t="s">
        <v>145</v>
      </c>
      <c r="L78" s="108"/>
      <c r="M78" s="108"/>
      <c r="N78" s="108"/>
      <c r="O78" s="108"/>
      <c r="P78" s="108"/>
      <c r="Q78" s="108"/>
      <c r="R78" s="108"/>
    </row>
    <row r="79" spans="1:20" ht="16.2" thickBot="1" x14ac:dyDescent="0.35">
      <c r="A79" s="108"/>
      <c r="B79" s="143">
        <f ca="1">+'N° de Obs.'!D40</f>
        <v>95</v>
      </c>
      <c r="C79" s="143">
        <f ca="1">+'N° de Obs.'!E40</f>
        <v>9167</v>
      </c>
      <c r="D79" s="143">
        <f ca="1">+'N° de Obs.'!F40</f>
        <v>8708.65</v>
      </c>
      <c r="E79" s="128">
        <f ca="1">SUM(E73:E85)</f>
        <v>211</v>
      </c>
      <c r="F79" s="129">
        <f ca="1">SUM(F73:F85)</f>
        <v>59</v>
      </c>
      <c r="G79" s="108"/>
      <c r="H79" s="129">
        <f ca="1">SUM(H73:H85)</f>
        <v>20</v>
      </c>
      <c r="I79" s="130" t="str">
        <f t="shared" ref="I79" ca="1" si="16">IFERROR(IF($I78+$K$72&lt;=$M$96,$I78+$K$72,""),"")</f>
        <v/>
      </c>
      <c r="J79" s="131">
        <f t="shared" ref="J79" ca="1" si="17">IF(I78="","",IFERROR(($I78+$I79)/2,MAX($D$73:$D$92)))</f>
        <v>9447.9</v>
      </c>
      <c r="K79" s="132"/>
      <c r="L79" s="108"/>
      <c r="M79" s="108"/>
      <c r="N79" s="124" t="s">
        <v>127</v>
      </c>
      <c r="O79" s="123">
        <f ca="1">(O77*100)/O76</f>
        <v>5.9141084720174169</v>
      </c>
      <c r="P79" s="123" t="s">
        <v>8</v>
      </c>
      <c r="Q79" s="108"/>
      <c r="R79" s="108"/>
    </row>
    <row r="80" spans="1:20" ht="15.6" x14ac:dyDescent="0.3">
      <c r="A80" s="108"/>
      <c r="B80" s="143">
        <f ca="1">+'N° de Obs.'!D41</f>
        <v>95</v>
      </c>
      <c r="C80" s="143">
        <f ca="1">+'N° de Obs.'!E41</f>
        <v>9343</v>
      </c>
      <c r="D80" s="143">
        <f ca="1">+'N° de Obs.'!F41</f>
        <v>8875.85</v>
      </c>
      <c r="E80" s="108"/>
      <c r="F80" s="108"/>
      <c r="G80" s="108"/>
      <c r="H80" s="108"/>
      <c r="I80" s="133"/>
      <c r="J80" s="132"/>
      <c r="K80" s="132"/>
      <c r="L80" s="108"/>
      <c r="M80" s="108"/>
      <c r="N80" s="108"/>
      <c r="O80" s="108"/>
      <c r="P80" s="108"/>
      <c r="Q80" s="108"/>
      <c r="R80" s="108"/>
    </row>
    <row r="81" spans="1:18" ht="15.6" x14ac:dyDescent="0.3">
      <c r="A81" s="108"/>
      <c r="B81" s="143">
        <f ca="1">+'N° de Obs.'!D42</f>
        <v>100</v>
      </c>
      <c r="C81" s="143">
        <f ca="1">+'N° de Obs.'!E42</f>
        <v>9132</v>
      </c>
      <c r="D81" s="143">
        <f ca="1">+'N° de Obs.'!F42</f>
        <v>9132</v>
      </c>
      <c r="E81" s="108"/>
      <c r="F81" s="108"/>
      <c r="G81" s="108"/>
      <c r="H81" s="108"/>
      <c r="I81" s="133"/>
      <c r="J81" s="132"/>
      <c r="K81" s="132"/>
      <c r="L81" s="108"/>
      <c r="M81" s="108"/>
      <c r="N81" s="134" t="str">
        <f ca="1">IF(O79&lt;6,"Se puede continuar con el estudio","No se puede continuar con el estudio")</f>
        <v>Se puede continuar con el estudio</v>
      </c>
      <c r="O81" s="134"/>
      <c r="P81" s="108"/>
      <c r="Q81" s="108"/>
      <c r="R81" s="108"/>
    </row>
    <row r="82" spans="1:18" ht="15.6" x14ac:dyDescent="0.3">
      <c r="A82" s="108"/>
      <c r="B82" s="143">
        <f ca="1">+'N° de Obs.'!D43</f>
        <v>95</v>
      </c>
      <c r="C82" s="143">
        <f ca="1">+'N° de Obs.'!E43</f>
        <v>9478</v>
      </c>
      <c r="D82" s="143">
        <f ca="1">+'N° de Obs.'!F43</f>
        <v>9004.1</v>
      </c>
      <c r="E82" s="108"/>
      <c r="F82" s="108"/>
      <c r="G82" s="108"/>
      <c r="H82" s="108"/>
      <c r="I82" s="133"/>
      <c r="J82" s="132"/>
      <c r="K82" s="132"/>
      <c r="L82" s="108"/>
      <c r="M82" s="108"/>
      <c r="N82" s="134"/>
      <c r="O82" s="134"/>
      <c r="P82" s="108"/>
      <c r="Q82" s="108"/>
      <c r="R82" s="108"/>
    </row>
    <row r="83" spans="1:18" ht="15.6" x14ac:dyDescent="0.3">
      <c r="A83" s="108"/>
      <c r="B83" s="143">
        <f ca="1">+'N° de Obs.'!D44</f>
        <v>100</v>
      </c>
      <c r="C83" s="143">
        <f ca="1">+'N° de Obs.'!E44</f>
        <v>9250</v>
      </c>
      <c r="D83" s="143">
        <f ca="1">+'N° de Obs.'!F44</f>
        <v>9250</v>
      </c>
      <c r="E83" s="108"/>
      <c r="F83" s="108"/>
      <c r="G83" s="108"/>
      <c r="H83" s="108"/>
      <c r="I83" s="133"/>
      <c r="J83" s="132"/>
      <c r="K83" s="132"/>
      <c r="L83" s="108"/>
      <c r="M83" s="108"/>
      <c r="N83" s="108"/>
      <c r="O83" s="108"/>
      <c r="P83" s="108"/>
      <c r="Q83" s="108"/>
      <c r="R83" s="108"/>
    </row>
    <row r="84" spans="1:18" ht="15.6" x14ac:dyDescent="0.3">
      <c r="A84" s="108"/>
      <c r="B84" s="143">
        <f ca="1">+'N° de Obs.'!D45</f>
        <v>100</v>
      </c>
      <c r="C84" s="143">
        <f ca="1">+'N° de Obs.'!E45</f>
        <v>8865</v>
      </c>
      <c r="D84" s="143">
        <f ca="1">+'N° de Obs.'!F45</f>
        <v>8865</v>
      </c>
      <c r="E84" s="108"/>
      <c r="F84" s="108"/>
      <c r="G84" s="108"/>
      <c r="H84" s="108"/>
      <c r="I84" s="133"/>
      <c r="J84" s="132"/>
      <c r="K84" s="132"/>
      <c r="L84" s="108"/>
      <c r="M84" s="108"/>
      <c r="N84" s="108"/>
      <c r="O84" s="108"/>
      <c r="P84" s="108"/>
      <c r="Q84" s="108"/>
      <c r="R84" s="108"/>
    </row>
    <row r="85" spans="1:18" ht="15.6" x14ac:dyDescent="0.3">
      <c r="A85" s="108"/>
      <c r="B85" s="143">
        <f ca="1">+'N° de Obs.'!D46</f>
        <v>95</v>
      </c>
      <c r="C85" s="143">
        <f ca="1">+'N° de Obs.'!E46</f>
        <v>9341</v>
      </c>
      <c r="D85" s="143">
        <f ca="1">+'N° de Obs.'!F46</f>
        <v>8873.9500000000007</v>
      </c>
      <c r="E85" s="108"/>
      <c r="F85" s="108"/>
      <c r="G85" s="108"/>
      <c r="H85" s="108"/>
      <c r="I85" s="133"/>
      <c r="J85" s="132"/>
      <c r="K85" s="132"/>
      <c r="L85" s="108"/>
      <c r="M85" s="108"/>
      <c r="N85" s="108"/>
      <c r="O85" s="108"/>
      <c r="P85" s="108"/>
      <c r="Q85" s="108"/>
      <c r="R85" s="108"/>
    </row>
    <row r="86" spans="1:18" ht="15.6" x14ac:dyDescent="0.3">
      <c r="A86" s="108"/>
      <c r="B86" s="143">
        <f ca="1">+'N° de Obs.'!D47</f>
        <v>100</v>
      </c>
      <c r="C86" s="143">
        <f ca="1">+'N° de Obs.'!E47</f>
        <v>8674</v>
      </c>
      <c r="D86" s="143">
        <f ca="1">+'N° de Obs.'!F47</f>
        <v>8674</v>
      </c>
      <c r="E86" s="108"/>
      <c r="F86" s="108"/>
      <c r="G86" s="108"/>
      <c r="H86" s="108"/>
      <c r="I86" s="133"/>
      <c r="J86" s="132"/>
      <c r="K86" s="132"/>
      <c r="L86" s="108"/>
      <c r="M86" s="108"/>
      <c r="N86" s="108"/>
      <c r="O86" s="108"/>
      <c r="P86" s="108"/>
      <c r="Q86" s="108"/>
      <c r="R86" s="108"/>
    </row>
    <row r="87" spans="1:18" ht="15.6" x14ac:dyDescent="0.3">
      <c r="A87" s="108"/>
      <c r="B87" s="143">
        <f ca="1">+'N° de Obs.'!D48</f>
        <v>100</v>
      </c>
      <c r="C87" s="143">
        <f ca="1">+'N° de Obs.'!E48</f>
        <v>8810</v>
      </c>
      <c r="D87" s="143">
        <f ca="1">+'N° de Obs.'!F48</f>
        <v>8810</v>
      </c>
      <c r="E87" s="108"/>
      <c r="F87" s="108"/>
      <c r="G87" s="108"/>
      <c r="H87" s="108"/>
      <c r="I87" s="133"/>
      <c r="J87" s="132"/>
      <c r="K87" s="132"/>
      <c r="L87" s="108"/>
      <c r="M87" s="108"/>
      <c r="N87" s="108"/>
      <c r="O87" s="108"/>
      <c r="P87" s="108"/>
      <c r="Q87" s="108"/>
      <c r="R87" s="108"/>
    </row>
    <row r="88" spans="1:18" ht="15.6" x14ac:dyDescent="0.3">
      <c r="A88" s="108"/>
      <c r="B88" s="143">
        <f ca="1">+'N° de Obs.'!D49</f>
        <v>85</v>
      </c>
      <c r="C88" s="143">
        <f ca="1">+'N° de Obs.'!E49</f>
        <v>9312</v>
      </c>
      <c r="D88" s="143">
        <f ca="1">+'N° de Obs.'!F49</f>
        <v>7915.2</v>
      </c>
      <c r="E88" s="108"/>
      <c r="F88" s="108"/>
      <c r="G88" s="108"/>
      <c r="H88" s="108"/>
      <c r="I88" s="133"/>
      <c r="J88" s="132"/>
      <c r="K88" s="132"/>
      <c r="L88" s="108"/>
      <c r="M88" s="108"/>
      <c r="N88" s="108"/>
      <c r="O88" s="108"/>
      <c r="P88" s="108"/>
      <c r="Q88" s="108"/>
      <c r="R88" s="108"/>
    </row>
    <row r="89" spans="1:18" ht="15.6" x14ac:dyDescent="0.3">
      <c r="A89" s="108"/>
      <c r="B89" s="143">
        <f ca="1">+'N° de Obs.'!D50</f>
        <v>105</v>
      </c>
      <c r="C89" s="143">
        <f ca="1">+'N° de Obs.'!E50</f>
        <v>8998</v>
      </c>
      <c r="D89" s="143">
        <f ca="1">+'N° de Obs.'!F50</f>
        <v>9447.9</v>
      </c>
      <c r="E89" s="108"/>
      <c r="F89" s="108"/>
      <c r="G89" s="108"/>
      <c r="H89" s="108"/>
      <c r="I89" s="133"/>
      <c r="J89" s="132"/>
      <c r="K89" s="132"/>
      <c r="L89" s="108"/>
      <c r="M89" s="108"/>
      <c r="N89" s="108"/>
      <c r="O89" s="108"/>
      <c r="P89" s="108"/>
      <c r="Q89" s="108"/>
      <c r="R89" s="108"/>
    </row>
    <row r="90" spans="1:18" ht="15.6" x14ac:dyDescent="0.3">
      <c r="A90" s="108"/>
      <c r="B90" s="143">
        <f ca="1">+'N° de Obs.'!D51</f>
        <v>85</v>
      </c>
      <c r="C90" s="143">
        <f ca="1">+'N° de Obs.'!E51</f>
        <v>8838</v>
      </c>
      <c r="D90" s="143">
        <f ca="1">+'N° de Obs.'!F51</f>
        <v>7512.3</v>
      </c>
      <c r="E90" s="108"/>
      <c r="F90" s="108"/>
      <c r="G90" s="108"/>
      <c r="H90" s="108"/>
      <c r="I90" s="133"/>
      <c r="J90" s="132"/>
      <c r="K90" s="132"/>
      <c r="L90" s="108"/>
      <c r="M90" s="108"/>
      <c r="N90" s="108"/>
      <c r="O90" s="108"/>
      <c r="P90" s="108"/>
      <c r="Q90" s="108"/>
      <c r="R90" s="108"/>
    </row>
    <row r="91" spans="1:18" ht="15.6" x14ac:dyDescent="0.3">
      <c r="A91" s="108"/>
      <c r="B91" s="143">
        <f ca="1">+'N° de Obs.'!D52</f>
        <v>90</v>
      </c>
      <c r="C91" s="143">
        <f ca="1">+'N° de Obs.'!E52</f>
        <v>8618</v>
      </c>
      <c r="D91" s="143">
        <f ca="1">+'N° de Obs.'!F52</f>
        <v>7756.2</v>
      </c>
      <c r="E91" s="108"/>
      <c r="F91" s="108"/>
      <c r="G91" s="108"/>
      <c r="H91" s="108"/>
      <c r="I91" s="133"/>
      <c r="J91" s="132"/>
      <c r="K91" s="132"/>
      <c r="L91" s="108"/>
      <c r="M91" s="108"/>
      <c r="N91" s="108"/>
      <c r="O91" s="108"/>
      <c r="P91" s="108"/>
      <c r="Q91" s="108"/>
      <c r="R91" s="108"/>
    </row>
    <row r="92" spans="1:18" ht="15.6" x14ac:dyDescent="0.3">
      <c r="A92" s="108"/>
      <c r="B92" s="143">
        <f ca="1">+'N° de Obs.'!D53</f>
        <v>95</v>
      </c>
      <c r="C92" s="143">
        <f ca="1">+'N° de Obs.'!E53</f>
        <v>9157</v>
      </c>
      <c r="D92" s="143">
        <f ca="1">+'N° de Obs.'!F53</f>
        <v>8699.15</v>
      </c>
      <c r="E92" s="108"/>
      <c r="F92" s="108"/>
      <c r="G92" s="108"/>
      <c r="H92" s="108"/>
      <c r="I92" s="133"/>
      <c r="J92" s="132"/>
      <c r="K92" s="132"/>
      <c r="L92" s="108"/>
      <c r="M92" s="108"/>
      <c r="N92" s="108"/>
      <c r="O92" s="108"/>
      <c r="P92" s="108"/>
      <c r="Q92" s="108"/>
      <c r="R92" s="108"/>
    </row>
    <row r="93" spans="1:18" ht="15.6" x14ac:dyDescent="0.3">
      <c r="A93" s="108"/>
      <c r="B93" s="108"/>
      <c r="C93" s="108"/>
      <c r="D93" s="108"/>
      <c r="E93" s="108"/>
      <c r="F93" s="108"/>
      <c r="G93" s="108"/>
      <c r="H93" s="108"/>
      <c r="I93" s="133"/>
      <c r="J93" s="132"/>
      <c r="K93" s="132"/>
      <c r="L93" s="108"/>
      <c r="M93" s="108"/>
      <c r="N93" s="108"/>
      <c r="O93" s="108"/>
      <c r="P93" s="108"/>
      <c r="Q93" s="108"/>
      <c r="R93" s="108"/>
    </row>
    <row r="94" spans="1:18" ht="15.6" x14ac:dyDescent="0.3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</row>
    <row r="95" spans="1:18" ht="15.6" x14ac:dyDescent="0.3">
      <c r="A95" s="108"/>
      <c r="B95" s="108"/>
      <c r="C95" s="108"/>
      <c r="D95" s="124" t="s">
        <v>23</v>
      </c>
      <c r="E95" s="123">
        <f ca="1">COUNTA(C73:C92)</f>
        <v>20</v>
      </c>
      <c r="F95" s="108"/>
      <c r="G95" s="108"/>
      <c r="H95" s="123">
        <f ca="1">MIN(D73:D92)</f>
        <v>7512.3</v>
      </c>
      <c r="I95" s="135">
        <v>100</v>
      </c>
      <c r="J95" s="136" t="s">
        <v>8</v>
      </c>
      <c r="K95" s="108"/>
      <c r="L95" s="123" t="s">
        <v>128</v>
      </c>
      <c r="M95" s="123">
        <f ca="1">ROUND(MIN(D73:D92),0)</f>
        <v>7512</v>
      </c>
      <c r="N95" s="108"/>
      <c r="O95" s="108"/>
      <c r="P95" s="108"/>
      <c r="Q95" s="108"/>
      <c r="R95" s="108"/>
    </row>
    <row r="96" spans="1:18" ht="15.6" x14ac:dyDescent="0.3">
      <c r="A96" s="108"/>
      <c r="B96" s="108"/>
      <c r="C96" s="108"/>
      <c r="D96" s="108"/>
      <c r="E96" s="108"/>
      <c r="F96" s="108"/>
      <c r="G96" s="108"/>
      <c r="H96" s="137">
        <f ca="1">(I96*H95)/I95</f>
        <v>375.61500000000001</v>
      </c>
      <c r="I96" s="138">
        <v>5</v>
      </c>
      <c r="J96" s="139" t="s">
        <v>8</v>
      </c>
      <c r="K96" s="108"/>
      <c r="L96" s="123" t="s">
        <v>129</v>
      </c>
      <c r="M96" s="123">
        <f ca="1">ROUND(MAX(D73:D92),0)</f>
        <v>9448</v>
      </c>
      <c r="N96" s="108"/>
      <c r="O96" s="108"/>
      <c r="P96" s="108"/>
      <c r="Q96" s="108"/>
      <c r="R96" s="108"/>
    </row>
    <row r="97" spans="1:19" ht="15.6" x14ac:dyDescent="0.3">
      <c r="A97" s="108"/>
      <c r="B97" s="140" t="s">
        <v>24</v>
      </c>
      <c r="C97" s="140"/>
      <c r="D97" s="140"/>
      <c r="E97" s="123">
        <f ca="1">ROUND(SUM(D73:D92)/E95,0)</f>
        <v>8616</v>
      </c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</row>
    <row r="98" spans="1:19" ht="15.6" x14ac:dyDescent="0.3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</row>
    <row r="99" spans="1:19" ht="15.6" x14ac:dyDescent="0.3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</row>
    <row r="100" spans="1:19" ht="15.6" x14ac:dyDescent="0.3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</row>
    <row r="101" spans="1:19" ht="15.6" x14ac:dyDescent="0.3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</row>
    <row r="104" spans="1:19" x14ac:dyDescent="0.3">
      <c r="D104" s="52" t="str">
        <f>+'Hoja de cronometraje'!N29</f>
        <v>Elemento T</v>
      </c>
      <c r="E104" s="53"/>
    </row>
    <row r="105" spans="1:19" s="108" customFormat="1" ht="15.6" x14ac:dyDescent="0.3"/>
    <row r="106" spans="1:19" ht="15.6" x14ac:dyDescent="0.3">
      <c r="A106" s="108"/>
      <c r="B106" s="37" t="s">
        <v>18</v>
      </c>
      <c r="C106" s="37" t="s">
        <v>19</v>
      </c>
      <c r="D106" s="37" t="s">
        <v>20</v>
      </c>
      <c r="E106" s="38" t="s">
        <v>118</v>
      </c>
      <c r="F106" s="38" t="s">
        <v>119</v>
      </c>
      <c r="G106" s="38" t="s">
        <v>120</v>
      </c>
      <c r="H106" s="38" t="s">
        <v>121</v>
      </c>
      <c r="I106" s="39" t="s">
        <v>94</v>
      </c>
      <c r="J106" s="39" t="s">
        <v>122</v>
      </c>
      <c r="K106" s="40">
        <f ca="1">ROUNDDOWN(H130,0)</f>
        <v>791</v>
      </c>
      <c r="L106" s="108"/>
      <c r="M106" s="108"/>
      <c r="N106" s="108"/>
      <c r="O106" s="108"/>
      <c r="P106" s="108"/>
      <c r="Q106" s="108"/>
      <c r="R106" s="108"/>
      <c r="S106" s="108"/>
    </row>
    <row r="107" spans="1:19" ht="15.6" x14ac:dyDescent="0.3">
      <c r="A107" s="108"/>
      <c r="B107" s="143">
        <f ca="1">+'N° de Obs.'!M34</f>
        <v>85</v>
      </c>
      <c r="C107" s="143">
        <f ca="1">+'N° de Obs.'!N34</f>
        <v>19774</v>
      </c>
      <c r="D107" s="143">
        <f ca="1">+'N° de Obs.'!O34</f>
        <v>16807.900000000001</v>
      </c>
      <c r="E107" s="123">
        <f ca="1">IF(I107="","",IFERROR(F107*G107,""))</f>
        <v>0</v>
      </c>
      <c r="F107" s="123">
        <f ca="1">IF(I107="","",IFERROR(G107*H107,""))</f>
        <v>0</v>
      </c>
      <c r="G107" s="123">
        <v>0</v>
      </c>
      <c r="H107" s="123">
        <f ca="1">IF(I107="","",COUNTIF($D$107:$D$126,"&lt;="&amp;$J108))</f>
        <v>1</v>
      </c>
      <c r="I107" s="124">
        <f ca="1">ROUND(H129,0)</f>
        <v>15838</v>
      </c>
      <c r="J107" s="125"/>
      <c r="K107" s="126" t="s">
        <v>29</v>
      </c>
      <c r="L107" s="108"/>
      <c r="M107" s="108"/>
      <c r="N107" s="124" t="s">
        <v>123</v>
      </c>
      <c r="O107" s="123">
        <f ca="1">F112/H112</f>
        <v>2.25</v>
      </c>
      <c r="P107" s="108"/>
      <c r="Q107" s="108"/>
    </row>
    <row r="108" spans="1:19" ht="15.6" x14ac:dyDescent="0.3">
      <c r="A108" s="108"/>
      <c r="B108" s="143">
        <f ca="1">+'N° de Obs.'!M35</f>
        <v>85</v>
      </c>
      <c r="C108" s="143">
        <f ca="1">+'N° de Obs.'!N35</f>
        <v>20426</v>
      </c>
      <c r="D108" s="143">
        <f ca="1">+'N° de Obs.'!O35</f>
        <v>17362.099999999999</v>
      </c>
      <c r="E108" s="123">
        <f t="shared" ref="E108:E111" ca="1" si="18">IF(I108="","",IFERROR(F108*G108,""))</f>
        <v>4</v>
      </c>
      <c r="F108" s="123">
        <f t="shared" ref="F108:F111" ca="1" si="19">IF(I108="","",IFERROR(G108*H108,""))</f>
        <v>4</v>
      </c>
      <c r="G108" s="123">
        <v>1</v>
      </c>
      <c r="H108" s="123">
        <f ca="1">IF(I108="","",COUNTIFS($D$107:$D$126,"&lt;="&amp;$J109,$D$107:$D$126,"&gt;"&amp;$J108))</f>
        <v>4</v>
      </c>
      <c r="I108" s="124">
        <f ca="1">IFERROR(IF($I107+$K$106&lt;=$M$130,$I107+$K$106,""),"")</f>
        <v>16629</v>
      </c>
      <c r="J108" s="125">
        <f ca="1">IF(I107="","",IFERROR(($I107+$I108)/2,MAX($D$107:$D$126)))</f>
        <v>16233.5</v>
      </c>
      <c r="K108" s="126" t="s">
        <v>146</v>
      </c>
      <c r="L108" s="108"/>
      <c r="M108" s="108"/>
      <c r="N108" s="124" t="s">
        <v>124</v>
      </c>
      <c r="O108" s="123">
        <f ca="1">E112/H112</f>
        <v>6.35</v>
      </c>
      <c r="P108" s="108"/>
      <c r="Q108" s="108"/>
    </row>
    <row r="109" spans="1:19" ht="15.6" x14ac:dyDescent="0.3">
      <c r="A109" s="108"/>
      <c r="B109" s="143">
        <f ca="1">+'N° de Obs.'!M36</f>
        <v>85</v>
      </c>
      <c r="C109" s="143">
        <f ca="1">+'N° de Obs.'!N36</f>
        <v>19528</v>
      </c>
      <c r="D109" s="143">
        <f ca="1">+'N° de Obs.'!O36</f>
        <v>16598.8</v>
      </c>
      <c r="E109" s="123">
        <f t="shared" ca="1" si="18"/>
        <v>32</v>
      </c>
      <c r="F109" s="123">
        <f t="shared" ca="1" si="19"/>
        <v>16</v>
      </c>
      <c r="G109" s="123">
        <v>2</v>
      </c>
      <c r="H109" s="123">
        <f t="shared" ref="H109:H111" ca="1" si="20">IF(I109="","",COUNTIFS($D$107:$D$126,"&lt;="&amp;$J110,$D$107:$D$126,"&gt;"&amp;$J109))</f>
        <v>8</v>
      </c>
      <c r="I109" s="124">
        <f t="shared" ref="I109:I112" ca="1" si="21">IFERROR(IF($I108+$K$106&lt;=$M$130,$I108+$K$106,""),"")</f>
        <v>17420</v>
      </c>
      <c r="J109" s="125">
        <f t="shared" ref="J109:J112" ca="1" si="22">IF(I108="","",IFERROR(($I108+$I109)/2,MAX($D$107:$D$126)))</f>
        <v>17024.5</v>
      </c>
      <c r="K109" s="126" t="s">
        <v>148</v>
      </c>
      <c r="L109" s="108"/>
      <c r="M109" s="108"/>
      <c r="N109" s="108"/>
      <c r="O109" s="108"/>
      <c r="P109" s="108"/>
      <c r="Q109" s="108"/>
    </row>
    <row r="110" spans="1:19" ht="15.6" x14ac:dyDescent="0.3">
      <c r="A110" s="108"/>
      <c r="B110" s="143">
        <f ca="1">+'N° de Obs.'!M37</f>
        <v>95</v>
      </c>
      <c r="C110" s="143">
        <f ca="1">+'N° de Obs.'!N37</f>
        <v>19814</v>
      </c>
      <c r="D110" s="143">
        <f ca="1">+'N° de Obs.'!O37</f>
        <v>18823.3</v>
      </c>
      <c r="E110" s="123">
        <f t="shared" ca="1" si="18"/>
        <v>27</v>
      </c>
      <c r="F110" s="123">
        <f t="shared" ca="1" si="19"/>
        <v>9</v>
      </c>
      <c r="G110" s="123">
        <v>3</v>
      </c>
      <c r="H110" s="123">
        <f t="shared" ca="1" si="20"/>
        <v>3</v>
      </c>
      <c r="I110" s="124">
        <f t="shared" ca="1" si="21"/>
        <v>18211</v>
      </c>
      <c r="J110" s="125">
        <f t="shared" ca="1" si="22"/>
        <v>17815.5</v>
      </c>
      <c r="K110" s="126" t="s">
        <v>144</v>
      </c>
      <c r="L110" s="108"/>
      <c r="M110" s="108"/>
      <c r="N110" s="124" t="s">
        <v>125</v>
      </c>
      <c r="O110" s="123">
        <f ca="1">H129+(K106*O107)</f>
        <v>17617.8</v>
      </c>
      <c r="P110" s="108"/>
      <c r="Q110" s="108"/>
    </row>
    <row r="111" spans="1:19" ht="16.2" thickBot="1" x14ac:dyDescent="0.35">
      <c r="A111" s="108"/>
      <c r="B111" s="143">
        <f ca="1">+'N° de Obs.'!M38</f>
        <v>90</v>
      </c>
      <c r="C111" s="143">
        <f ca="1">+'N° de Obs.'!N38</f>
        <v>19094</v>
      </c>
      <c r="D111" s="143">
        <f ca="1">+'N° de Obs.'!O38</f>
        <v>17184.599999999999</v>
      </c>
      <c r="E111" s="123">
        <f t="shared" ca="1" si="18"/>
        <v>64</v>
      </c>
      <c r="F111" s="123">
        <f t="shared" ca="1" si="19"/>
        <v>16</v>
      </c>
      <c r="G111" s="123">
        <v>4</v>
      </c>
      <c r="H111" s="123">
        <f t="shared" ca="1" si="20"/>
        <v>4</v>
      </c>
      <c r="I111" s="124">
        <f t="shared" ca="1" si="21"/>
        <v>19002</v>
      </c>
      <c r="J111" s="125">
        <f t="shared" ca="1" si="22"/>
        <v>18606.5</v>
      </c>
      <c r="K111" s="126" t="s">
        <v>146</v>
      </c>
      <c r="L111" s="108"/>
      <c r="M111" s="108"/>
      <c r="N111" s="124" t="s">
        <v>126</v>
      </c>
      <c r="O111" s="127">
        <f ca="1">K106*(SQRT(O108-POWER(O107,2)))</f>
        <v>897.53233228669808</v>
      </c>
      <c r="P111" s="108"/>
      <c r="Q111" s="108"/>
    </row>
    <row r="112" spans="1:19" ht="16.2" thickBot="1" x14ac:dyDescent="0.35">
      <c r="A112" s="108"/>
      <c r="B112" s="143">
        <f ca="1">+'N° de Obs.'!M39</f>
        <v>95</v>
      </c>
      <c r="C112" s="143">
        <f ca="1">+'N° de Obs.'!N39</f>
        <v>19343</v>
      </c>
      <c r="D112" s="143">
        <f ca="1">+'N° de Obs.'!O39</f>
        <v>18375.849999999999</v>
      </c>
      <c r="E112" s="128">
        <f ca="1">SUM(E107:E119)</f>
        <v>127</v>
      </c>
      <c r="F112" s="129">
        <f ca="1">SUM(F107:F119)</f>
        <v>45</v>
      </c>
      <c r="G112" s="108"/>
      <c r="H112" s="129">
        <f ca="1">SUM(H107:H119)</f>
        <v>20</v>
      </c>
      <c r="I112" s="130" t="str">
        <f t="shared" ca="1" si="21"/>
        <v/>
      </c>
      <c r="J112" s="131">
        <f t="shared" ca="1" si="22"/>
        <v>19149</v>
      </c>
      <c r="K112" s="132"/>
      <c r="L112" s="108"/>
      <c r="M112" s="108"/>
      <c r="N112" s="108"/>
      <c r="O112" s="108"/>
      <c r="P112" s="108"/>
      <c r="Q112" s="108"/>
    </row>
    <row r="113" spans="1:17" ht="15.6" x14ac:dyDescent="0.3">
      <c r="A113" s="108"/>
      <c r="B113" s="143">
        <f ca="1">+'N° de Obs.'!M40</f>
        <v>85</v>
      </c>
      <c r="C113" s="143">
        <f ca="1">+'N° de Obs.'!N40</f>
        <v>20185</v>
      </c>
      <c r="D113" s="143">
        <f ca="1">+'N° de Obs.'!O40</f>
        <v>17157.25</v>
      </c>
      <c r="E113" s="108"/>
      <c r="F113" s="108"/>
      <c r="G113" s="108"/>
      <c r="H113" s="108"/>
      <c r="I113" s="133"/>
      <c r="J113" s="132"/>
      <c r="K113" s="132"/>
      <c r="L113" s="108"/>
      <c r="M113" s="108"/>
      <c r="N113" s="124" t="s">
        <v>127</v>
      </c>
      <c r="O113" s="123">
        <f ca="1">(O111*100)/O110</f>
        <v>5.0944631695597531</v>
      </c>
      <c r="P113" s="123" t="s">
        <v>8</v>
      </c>
      <c r="Q113" s="108"/>
    </row>
    <row r="114" spans="1:17" ht="15.6" x14ac:dyDescent="0.3">
      <c r="A114" s="108"/>
      <c r="B114" s="143">
        <f ca="1">+'N° de Obs.'!M41</f>
        <v>100</v>
      </c>
      <c r="C114" s="143">
        <f ca="1">+'N° de Obs.'!N41</f>
        <v>19057</v>
      </c>
      <c r="D114" s="143">
        <f ca="1">+'N° de Obs.'!O41</f>
        <v>19057</v>
      </c>
      <c r="E114" s="108"/>
      <c r="F114" s="108"/>
      <c r="G114" s="108"/>
      <c r="H114" s="108"/>
      <c r="I114" s="133"/>
      <c r="J114" s="132"/>
      <c r="K114" s="132"/>
      <c r="L114" s="108"/>
      <c r="M114" s="108"/>
      <c r="N114" s="108"/>
      <c r="O114" s="108"/>
      <c r="P114" s="108"/>
      <c r="Q114" s="108"/>
    </row>
    <row r="115" spans="1:17" ht="15.6" x14ac:dyDescent="0.3">
      <c r="A115" s="108"/>
      <c r="B115" s="143">
        <f ca="1">+'N° de Obs.'!M42</f>
        <v>85</v>
      </c>
      <c r="C115" s="143">
        <f ca="1">+'N° de Obs.'!N42</f>
        <v>20062</v>
      </c>
      <c r="D115" s="143">
        <f ca="1">+'N° de Obs.'!O42</f>
        <v>17052.7</v>
      </c>
      <c r="E115" s="108"/>
      <c r="F115" s="108"/>
      <c r="G115" s="108"/>
      <c r="H115" s="108"/>
      <c r="I115" s="133"/>
      <c r="J115" s="132"/>
      <c r="K115" s="132"/>
      <c r="L115" s="108"/>
      <c r="M115" s="108"/>
      <c r="N115" s="134" t="str">
        <f ca="1">IF(O113&lt;6,"Se puede continuar con el estudio","No se puede continuar con el estudio")</f>
        <v>Se puede continuar con el estudio</v>
      </c>
      <c r="O115" s="134"/>
      <c r="P115" s="108"/>
      <c r="Q115" s="108"/>
    </row>
    <row r="116" spans="1:17" ht="15.6" x14ac:dyDescent="0.3">
      <c r="A116" s="108"/>
      <c r="B116" s="143">
        <f ca="1">+'N° de Obs.'!M43</f>
        <v>90</v>
      </c>
      <c r="C116" s="143">
        <f ca="1">+'N° de Obs.'!N43</f>
        <v>20125</v>
      </c>
      <c r="D116" s="143">
        <f ca="1">+'N° de Obs.'!O43</f>
        <v>18112.5</v>
      </c>
      <c r="E116" s="108"/>
      <c r="F116" s="108"/>
      <c r="G116" s="108"/>
      <c r="H116" s="108"/>
      <c r="I116" s="133"/>
      <c r="J116" s="132"/>
      <c r="K116" s="132"/>
      <c r="L116" s="108"/>
      <c r="M116" s="108"/>
      <c r="N116" s="134"/>
      <c r="O116" s="134"/>
      <c r="P116" s="108"/>
      <c r="Q116" s="108"/>
    </row>
    <row r="117" spans="1:17" ht="15.6" x14ac:dyDescent="0.3">
      <c r="A117" s="108"/>
      <c r="B117" s="143">
        <f ca="1">+'N° de Obs.'!M44</f>
        <v>90</v>
      </c>
      <c r="C117" s="143">
        <f ca="1">+'N° de Obs.'!N44</f>
        <v>19381</v>
      </c>
      <c r="D117" s="143">
        <f ca="1">+'N° de Obs.'!O44</f>
        <v>17442.900000000001</v>
      </c>
      <c r="E117" s="108"/>
      <c r="F117" s="108"/>
      <c r="G117" s="108"/>
      <c r="H117" s="108"/>
      <c r="I117" s="133"/>
      <c r="J117" s="132"/>
      <c r="K117" s="132"/>
      <c r="L117" s="108"/>
      <c r="M117" s="108"/>
      <c r="N117" s="108"/>
      <c r="O117" s="108"/>
      <c r="P117" s="108"/>
      <c r="Q117" s="108"/>
    </row>
    <row r="118" spans="1:17" ht="15.6" x14ac:dyDescent="0.3">
      <c r="A118" s="108"/>
      <c r="B118" s="143">
        <f ca="1">+'N° de Obs.'!M45</f>
        <v>100</v>
      </c>
      <c r="C118" s="143">
        <f ca="1">+'N° de Obs.'!N45</f>
        <v>18684</v>
      </c>
      <c r="D118" s="143">
        <f ca="1">+'N° de Obs.'!O45</f>
        <v>18684</v>
      </c>
      <c r="E118" s="108"/>
      <c r="F118" s="108"/>
      <c r="G118" s="108"/>
      <c r="H118" s="108"/>
      <c r="I118" s="133"/>
      <c r="J118" s="132"/>
      <c r="K118" s="132"/>
      <c r="L118" s="108"/>
      <c r="M118" s="108"/>
      <c r="N118" s="108"/>
      <c r="O118" s="108"/>
      <c r="P118" s="108"/>
      <c r="Q118" s="108"/>
    </row>
    <row r="119" spans="1:17" ht="15.6" x14ac:dyDescent="0.3">
      <c r="A119" s="108"/>
      <c r="B119" s="143">
        <f ca="1">+'N° de Obs.'!M46</f>
        <v>85</v>
      </c>
      <c r="C119" s="143">
        <f ca="1">+'N° de Obs.'!N46</f>
        <v>20374</v>
      </c>
      <c r="D119" s="143">
        <f ca="1">+'N° de Obs.'!O46</f>
        <v>17317.900000000001</v>
      </c>
      <c r="E119" s="108"/>
      <c r="F119" s="108"/>
      <c r="G119" s="108"/>
      <c r="H119" s="108"/>
      <c r="I119" s="133"/>
      <c r="J119" s="132"/>
      <c r="K119" s="132"/>
      <c r="L119" s="108"/>
      <c r="M119" s="108"/>
      <c r="N119" s="108"/>
      <c r="O119" s="108"/>
      <c r="P119" s="108"/>
      <c r="Q119" s="108"/>
    </row>
    <row r="120" spans="1:17" ht="15.6" x14ac:dyDescent="0.3">
      <c r="A120" s="108"/>
      <c r="B120" s="143">
        <f ca="1">+'N° de Obs.'!M47</f>
        <v>85</v>
      </c>
      <c r="C120" s="143">
        <f ca="1">+'N° de Obs.'!N47</f>
        <v>18633</v>
      </c>
      <c r="D120" s="143">
        <f ca="1">+'N° de Obs.'!O47</f>
        <v>15838.05</v>
      </c>
      <c r="E120" s="108"/>
      <c r="F120" s="108"/>
      <c r="G120" s="108"/>
      <c r="H120" s="108"/>
      <c r="I120" s="133"/>
      <c r="J120" s="132"/>
      <c r="K120" s="132"/>
      <c r="L120" s="108"/>
      <c r="M120" s="108"/>
      <c r="N120" s="108"/>
      <c r="O120" s="108"/>
      <c r="P120" s="108"/>
      <c r="Q120" s="108"/>
    </row>
    <row r="121" spans="1:17" ht="15.6" x14ac:dyDescent="0.3">
      <c r="A121" s="108"/>
      <c r="B121" s="143">
        <f ca="1">+'N° de Obs.'!M48</f>
        <v>90</v>
      </c>
      <c r="C121" s="143">
        <f ca="1">+'N° de Obs.'!N48</f>
        <v>19939</v>
      </c>
      <c r="D121" s="143">
        <f ca="1">+'N° de Obs.'!O48</f>
        <v>17945.099999999999</v>
      </c>
      <c r="E121" s="108"/>
      <c r="F121" s="108"/>
      <c r="G121" s="108"/>
      <c r="H121" s="108"/>
      <c r="I121" s="133"/>
      <c r="J121" s="132"/>
      <c r="K121" s="132"/>
      <c r="L121" s="108"/>
      <c r="M121" s="108"/>
      <c r="N121" s="108"/>
      <c r="O121" s="108"/>
      <c r="P121" s="108"/>
      <c r="Q121" s="108"/>
    </row>
    <row r="122" spans="1:17" ht="15.6" x14ac:dyDescent="0.3">
      <c r="A122" s="108"/>
      <c r="B122" s="143">
        <f ca="1">+'N° de Obs.'!M49</f>
        <v>85</v>
      </c>
      <c r="C122" s="143">
        <f ca="1">+'N° de Obs.'!N49</f>
        <v>19817</v>
      </c>
      <c r="D122" s="143">
        <f ca="1">+'N° de Obs.'!O49</f>
        <v>16844.45</v>
      </c>
      <c r="E122" s="108"/>
      <c r="F122" s="108"/>
      <c r="G122" s="108"/>
      <c r="H122" s="108"/>
      <c r="I122" s="133"/>
      <c r="J122" s="132"/>
      <c r="K122" s="132"/>
      <c r="L122" s="108"/>
      <c r="M122" s="108"/>
      <c r="N122" s="108"/>
      <c r="O122" s="108"/>
      <c r="P122" s="108"/>
      <c r="Q122" s="108"/>
    </row>
    <row r="123" spans="1:17" ht="15.6" x14ac:dyDescent="0.3">
      <c r="A123" s="108"/>
      <c r="B123" s="143">
        <f ca="1">+'N° de Obs.'!M50</f>
        <v>100</v>
      </c>
      <c r="C123" s="143">
        <f ca="1">+'N° de Obs.'!N50</f>
        <v>19149</v>
      </c>
      <c r="D123" s="143">
        <f ca="1">+'N° de Obs.'!O50</f>
        <v>19149</v>
      </c>
      <c r="E123" s="108"/>
      <c r="F123" s="108"/>
      <c r="G123" s="108"/>
      <c r="H123" s="108"/>
      <c r="I123" s="133"/>
      <c r="J123" s="132"/>
      <c r="K123" s="132"/>
      <c r="L123" s="108"/>
      <c r="M123" s="108"/>
      <c r="N123" s="108"/>
      <c r="O123" s="108"/>
      <c r="P123" s="108"/>
      <c r="Q123" s="108"/>
    </row>
    <row r="124" spans="1:17" ht="15.6" x14ac:dyDescent="0.3">
      <c r="A124" s="108"/>
      <c r="B124" s="143">
        <f ca="1">+'N° de Obs.'!M51</f>
        <v>90</v>
      </c>
      <c r="C124" s="143">
        <f ca="1">+'N° de Obs.'!N51</f>
        <v>19440</v>
      </c>
      <c r="D124" s="143">
        <f ca="1">+'N° de Obs.'!O51</f>
        <v>17496</v>
      </c>
      <c r="E124" s="108"/>
      <c r="F124" s="108"/>
      <c r="G124" s="108"/>
      <c r="H124" s="108"/>
      <c r="I124" s="133"/>
      <c r="J124" s="132"/>
      <c r="K124" s="132"/>
      <c r="L124" s="108"/>
      <c r="M124" s="108"/>
      <c r="N124" s="108"/>
      <c r="O124" s="108"/>
      <c r="P124" s="108"/>
      <c r="Q124" s="108"/>
    </row>
    <row r="125" spans="1:17" ht="15.6" x14ac:dyDescent="0.3">
      <c r="A125" s="108"/>
      <c r="B125" s="143">
        <f ca="1">+'N° de Obs.'!M52</f>
        <v>90</v>
      </c>
      <c r="C125" s="143">
        <f ca="1">+'N° de Obs.'!N52</f>
        <v>18740</v>
      </c>
      <c r="D125" s="143">
        <f ca="1">+'N° de Obs.'!O52</f>
        <v>16866</v>
      </c>
      <c r="E125" s="108"/>
      <c r="F125" s="108"/>
      <c r="G125" s="108"/>
      <c r="H125" s="108"/>
      <c r="I125" s="133"/>
      <c r="J125" s="132"/>
      <c r="K125" s="132"/>
      <c r="L125" s="108"/>
      <c r="M125" s="108"/>
      <c r="N125" s="108"/>
      <c r="O125" s="108"/>
      <c r="P125" s="108"/>
      <c r="Q125" s="108"/>
    </row>
    <row r="126" spans="1:17" ht="15.6" x14ac:dyDescent="0.3">
      <c r="A126" s="108"/>
      <c r="B126" s="143">
        <f ca="1">+'N° de Obs.'!M53</f>
        <v>85</v>
      </c>
      <c r="C126" s="143">
        <f ca="1">+'N° de Obs.'!N53</f>
        <v>20371</v>
      </c>
      <c r="D126" s="143">
        <f ca="1">+'N° de Obs.'!O53</f>
        <v>17315.349999999999</v>
      </c>
      <c r="E126" s="108"/>
      <c r="F126" s="108"/>
      <c r="G126" s="108"/>
      <c r="H126" s="108"/>
      <c r="I126" s="133"/>
      <c r="J126" s="132"/>
      <c r="K126" s="132"/>
      <c r="L126" s="108"/>
      <c r="M126" s="108"/>
      <c r="N126" s="108"/>
      <c r="O126" s="108"/>
      <c r="P126" s="108"/>
      <c r="Q126" s="108"/>
    </row>
    <row r="127" spans="1:17" ht="15.6" x14ac:dyDescent="0.3">
      <c r="A127" s="108"/>
      <c r="B127" s="108"/>
      <c r="C127" s="108"/>
      <c r="D127" s="108"/>
      <c r="E127" s="108"/>
      <c r="F127" s="108"/>
      <c r="G127" s="108"/>
      <c r="H127" s="108"/>
      <c r="I127" s="133"/>
      <c r="J127" s="132"/>
      <c r="K127" s="132"/>
      <c r="L127" s="108"/>
      <c r="M127" s="108"/>
      <c r="N127" s="108"/>
      <c r="O127" s="108"/>
      <c r="P127" s="108"/>
      <c r="Q127" s="108"/>
    </row>
    <row r="128" spans="1:17" ht="15.6" x14ac:dyDescent="0.3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</row>
    <row r="129" spans="1:19" ht="15.6" x14ac:dyDescent="0.3">
      <c r="A129" s="108"/>
      <c r="B129" s="108"/>
      <c r="C129" s="108"/>
      <c r="D129" s="124" t="s">
        <v>23</v>
      </c>
      <c r="E129" s="123">
        <f ca="1">COUNTA(C107:C126)</f>
        <v>20</v>
      </c>
      <c r="F129" s="108"/>
      <c r="G129" s="108"/>
      <c r="H129" s="123">
        <f ca="1">MIN(D107:D126)</f>
        <v>15838.05</v>
      </c>
      <c r="I129" s="135">
        <v>100</v>
      </c>
      <c r="J129" s="136" t="s">
        <v>8</v>
      </c>
      <c r="K129" s="108"/>
      <c r="L129" s="123" t="s">
        <v>128</v>
      </c>
      <c r="M129" s="123">
        <f ca="1">ROUND(MIN(D107:D126),0)</f>
        <v>15838</v>
      </c>
      <c r="N129" s="108"/>
      <c r="O129" s="108"/>
      <c r="P129" s="108"/>
      <c r="Q129" s="108"/>
    </row>
    <row r="130" spans="1:19" ht="15.6" x14ac:dyDescent="0.3">
      <c r="A130" s="108"/>
      <c r="B130" s="108"/>
      <c r="C130" s="108"/>
      <c r="D130" s="108"/>
      <c r="E130" s="108"/>
      <c r="F130" s="108"/>
      <c r="G130" s="108"/>
      <c r="H130" s="137">
        <f ca="1">(I130*H129)/I129</f>
        <v>791.90250000000003</v>
      </c>
      <c r="I130" s="138">
        <v>5</v>
      </c>
      <c r="J130" s="139" t="s">
        <v>8</v>
      </c>
      <c r="K130" s="108"/>
      <c r="L130" s="123" t="s">
        <v>129</v>
      </c>
      <c r="M130" s="123">
        <f ca="1">ROUND(MAX(D107:D126),0)</f>
        <v>19149</v>
      </c>
      <c r="N130" s="108"/>
      <c r="O130" s="108"/>
      <c r="P130" s="108"/>
      <c r="Q130" s="108"/>
    </row>
    <row r="131" spans="1:19" ht="15.6" x14ac:dyDescent="0.3">
      <c r="A131" s="108"/>
      <c r="B131" s="140" t="s">
        <v>24</v>
      </c>
      <c r="C131" s="140"/>
      <c r="D131" s="140"/>
      <c r="E131" s="123">
        <f ca="1">ROUND(SUM(D107:D126)/E129,0)</f>
        <v>17572</v>
      </c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</row>
    <row r="132" spans="1:19" x14ac:dyDescent="0.3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</row>
    <row r="133" spans="1:19" x14ac:dyDescent="0.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</row>
    <row r="134" spans="1:19" x14ac:dyDescent="0.3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</row>
    <row r="135" spans="1:19" x14ac:dyDescent="0.3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</row>
    <row r="136" spans="1:19" x14ac:dyDescent="0.3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</row>
    <row r="137" spans="1:19" x14ac:dyDescent="0.3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</row>
  </sheetData>
  <mergeCells count="12">
    <mergeCell ref="N13:O14"/>
    <mergeCell ref="D2:E2"/>
    <mergeCell ref="B63:D63"/>
    <mergeCell ref="D70:E70"/>
    <mergeCell ref="D36:E36"/>
    <mergeCell ref="N47:O48"/>
    <mergeCell ref="B29:D29"/>
    <mergeCell ref="B131:D131"/>
    <mergeCell ref="N115:O116"/>
    <mergeCell ref="B97:D97"/>
    <mergeCell ref="D104:E104"/>
    <mergeCell ref="N81:O8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4:AF12"/>
  <sheetViews>
    <sheetView showGridLines="0" topLeftCell="C1" zoomScale="85" zoomScaleNormal="85" workbookViewId="0">
      <selection activeCell="X13" sqref="X13"/>
    </sheetView>
  </sheetViews>
  <sheetFormatPr baseColWidth="10" defaultRowHeight="14.4" x14ac:dyDescent="0.3"/>
  <cols>
    <col min="4" max="4" width="18.77734375" customWidth="1"/>
    <col min="5" max="16" width="8.77734375" customWidth="1"/>
    <col min="17" max="17" width="16.77734375" customWidth="1"/>
    <col min="18" max="18" width="12.77734375" customWidth="1"/>
  </cols>
  <sheetData>
    <row r="4" spans="4:32" ht="62.4" x14ac:dyDescent="0.3">
      <c r="T4" s="29" t="s">
        <v>31</v>
      </c>
      <c r="U4" s="29" t="s">
        <v>32</v>
      </c>
      <c r="V4" s="29" t="s">
        <v>33</v>
      </c>
      <c r="W4" s="29" t="s">
        <v>34</v>
      </c>
      <c r="X4" s="29" t="s">
        <v>35</v>
      </c>
      <c r="Y4" s="29" t="s">
        <v>36</v>
      </c>
      <c r="Z4" s="29" t="s">
        <v>37</v>
      </c>
      <c r="AA4" s="29" t="s">
        <v>38</v>
      </c>
      <c r="AB4" s="29" t="s">
        <v>39</v>
      </c>
      <c r="AC4" s="29" t="s">
        <v>40</v>
      </c>
      <c r="AD4" s="29" t="s">
        <v>41</v>
      </c>
      <c r="AE4" s="42" t="s">
        <v>42</v>
      </c>
      <c r="AF4" s="42" t="s">
        <v>43</v>
      </c>
    </row>
    <row r="7" spans="4:32" ht="34.950000000000003" customHeight="1" x14ac:dyDescent="0.3">
      <c r="D7" s="151" t="s">
        <v>28</v>
      </c>
      <c r="E7" s="154" t="s">
        <v>30</v>
      </c>
      <c r="F7" s="152" t="s">
        <v>152</v>
      </c>
      <c r="G7" s="152" t="s">
        <v>32</v>
      </c>
      <c r="H7" s="152" t="s">
        <v>139</v>
      </c>
      <c r="I7" s="152" t="s">
        <v>153</v>
      </c>
      <c r="J7" s="152" t="s">
        <v>29</v>
      </c>
      <c r="K7" s="152" t="s">
        <v>154</v>
      </c>
      <c r="L7" s="152" t="s">
        <v>155</v>
      </c>
      <c r="M7" s="152" t="s">
        <v>156</v>
      </c>
      <c r="N7" s="152" t="s">
        <v>157</v>
      </c>
      <c r="O7" s="152" t="s">
        <v>158</v>
      </c>
      <c r="P7" s="152" t="s">
        <v>94</v>
      </c>
      <c r="Q7" s="158" t="s">
        <v>42</v>
      </c>
      <c r="R7" s="153" t="s">
        <v>43</v>
      </c>
    </row>
    <row r="8" spans="4:32" ht="30" customHeight="1" x14ac:dyDescent="0.3">
      <c r="D8" s="144" t="str">
        <f>+'Elementos de la operación'!D3</f>
        <v>Determina el largo del tendido</v>
      </c>
      <c r="E8" s="155">
        <v>0.05</v>
      </c>
      <c r="F8" s="145">
        <v>0.05</v>
      </c>
      <c r="G8" s="145">
        <v>0.02</v>
      </c>
      <c r="H8" s="145">
        <v>0.02</v>
      </c>
      <c r="I8" s="145">
        <v>0</v>
      </c>
      <c r="J8" s="145">
        <v>0.02</v>
      </c>
      <c r="K8" s="145">
        <v>0</v>
      </c>
      <c r="L8" s="145">
        <v>0</v>
      </c>
      <c r="M8" s="145">
        <v>0</v>
      </c>
      <c r="N8" s="145">
        <v>0</v>
      </c>
      <c r="O8" s="145">
        <v>0.02</v>
      </c>
      <c r="P8" s="145">
        <v>0.02</v>
      </c>
      <c r="Q8" s="159">
        <f t="shared" ref="Q8:Q10" si="0">(SUM(E8:P8))</f>
        <v>0.19999999999999998</v>
      </c>
      <c r="R8" s="146">
        <f t="shared" ref="R8:R11" si="1">Q8+1</f>
        <v>1.2</v>
      </c>
    </row>
    <row r="9" spans="4:32" ht="30" customHeight="1" x14ac:dyDescent="0.3">
      <c r="D9" s="144" t="str">
        <f>+'Elementos de la operación'!D4</f>
        <v>Extiende tela</v>
      </c>
      <c r="E9" s="156">
        <v>0.05</v>
      </c>
      <c r="F9" s="147">
        <v>0.05</v>
      </c>
      <c r="G9" s="147">
        <v>0.02</v>
      </c>
      <c r="H9" s="147">
        <v>0.02</v>
      </c>
      <c r="I9" s="147">
        <v>0</v>
      </c>
      <c r="J9" s="147">
        <v>0.02</v>
      </c>
      <c r="K9" s="147">
        <v>0</v>
      </c>
      <c r="L9" s="147">
        <v>0</v>
      </c>
      <c r="M9" s="147">
        <v>0</v>
      </c>
      <c r="N9" s="147">
        <v>0</v>
      </c>
      <c r="O9" s="147">
        <v>0.02</v>
      </c>
      <c r="P9" s="147">
        <v>0.02</v>
      </c>
      <c r="Q9" s="159">
        <f t="shared" si="0"/>
        <v>0.19999999999999998</v>
      </c>
      <c r="R9" s="146">
        <f t="shared" si="1"/>
        <v>1.2</v>
      </c>
    </row>
    <row r="10" spans="4:32" ht="30" customHeight="1" x14ac:dyDescent="0.3">
      <c r="D10" s="144" t="str">
        <f>+'Elementos de la operación'!D5</f>
        <v xml:space="preserve">Tiende Paño </v>
      </c>
      <c r="E10" s="156">
        <v>0.05</v>
      </c>
      <c r="F10" s="147">
        <v>0.05</v>
      </c>
      <c r="G10" s="147">
        <v>0.02</v>
      </c>
      <c r="H10" s="147">
        <v>0.02</v>
      </c>
      <c r="I10" s="147">
        <v>0</v>
      </c>
      <c r="J10" s="147">
        <v>0.02</v>
      </c>
      <c r="K10" s="147">
        <v>0</v>
      </c>
      <c r="L10" s="147">
        <v>0</v>
      </c>
      <c r="M10" s="147">
        <v>0</v>
      </c>
      <c r="N10" s="147">
        <v>0</v>
      </c>
      <c r="O10" s="147">
        <v>0.02</v>
      </c>
      <c r="P10" s="147">
        <v>0.02</v>
      </c>
      <c r="Q10" s="159">
        <f t="shared" si="0"/>
        <v>0.19999999999999998</v>
      </c>
      <c r="R10" s="146">
        <f t="shared" si="1"/>
        <v>1.2</v>
      </c>
    </row>
    <row r="11" spans="4:32" ht="30" customHeight="1" x14ac:dyDescent="0.3">
      <c r="D11" s="148" t="str">
        <f>+'Elementos de la operación'!D6</f>
        <v>Coloca Papel tizado del tendido</v>
      </c>
      <c r="E11" s="157">
        <v>0.05</v>
      </c>
      <c r="F11" s="149">
        <v>0.05</v>
      </c>
      <c r="G11" s="149">
        <v>0.02</v>
      </c>
      <c r="H11" s="149">
        <v>0.02</v>
      </c>
      <c r="I11" s="149">
        <v>0.02</v>
      </c>
      <c r="J11" s="149">
        <v>0.02</v>
      </c>
      <c r="K11" s="149">
        <v>0</v>
      </c>
      <c r="L11" s="149">
        <v>0</v>
      </c>
      <c r="M11" s="149">
        <v>0</v>
      </c>
      <c r="N11" s="149">
        <v>0</v>
      </c>
      <c r="O11" s="149">
        <v>0.02</v>
      </c>
      <c r="P11" s="149">
        <v>0</v>
      </c>
      <c r="Q11" s="160">
        <f t="shared" ref="Q11" si="2">(SUM(E11:P11))</f>
        <v>0.19999999999999998</v>
      </c>
      <c r="R11" s="150">
        <f t="shared" si="1"/>
        <v>1.2</v>
      </c>
    </row>
    <row r="12" spans="4:32" ht="1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M51"/>
  <sheetViews>
    <sheetView tabSelected="1" topLeftCell="A58" workbookViewId="0">
      <selection activeCell="L29" sqref="L29"/>
    </sheetView>
  </sheetViews>
  <sheetFormatPr baseColWidth="10" defaultRowHeight="14.4" x14ac:dyDescent="0.3"/>
  <cols>
    <col min="2" max="2" width="18.44140625" customWidth="1"/>
    <col min="4" max="4" width="25.77734375" customWidth="1"/>
    <col min="5" max="5" width="15.5546875" customWidth="1"/>
    <col min="6" max="6" width="19.88671875" customWidth="1"/>
    <col min="7" max="7" width="22.88671875" customWidth="1"/>
    <col min="19" max="19" width="23.88671875" customWidth="1"/>
    <col min="20" max="20" width="15.44140625" customWidth="1"/>
    <col min="21" max="21" width="19.6640625" customWidth="1"/>
    <col min="22" max="22" width="21.33203125" customWidth="1"/>
  </cols>
  <sheetData>
    <row r="2" spans="1:13" ht="15.6" x14ac:dyDescent="0.3">
      <c r="D2" s="27"/>
      <c r="E2" s="28"/>
      <c r="F2" s="27"/>
      <c r="G2" s="27"/>
    </row>
    <row r="3" spans="1:13" ht="15.6" x14ac:dyDescent="0.3">
      <c r="D3" s="27"/>
      <c r="E3" s="28"/>
      <c r="F3" s="27"/>
      <c r="G3" s="27"/>
    </row>
    <row r="4" spans="1:13" ht="15.6" customHeight="1" x14ac:dyDescent="0.3">
      <c r="B4" s="26" t="s">
        <v>108</v>
      </c>
      <c r="D4" s="27"/>
      <c r="E4" t="s">
        <v>110</v>
      </c>
      <c r="F4" s="27"/>
      <c r="G4" s="43" t="s">
        <v>111</v>
      </c>
      <c r="H4" s="43"/>
      <c r="I4" s="43"/>
    </row>
    <row r="5" spans="1:13" ht="15.6" x14ac:dyDescent="0.3">
      <c r="B5" t="str">
        <f>+'Elementos de la operación'!B3</f>
        <v>Tendido</v>
      </c>
      <c r="D5" s="27"/>
      <c r="E5" t="s">
        <v>112</v>
      </c>
      <c r="F5" s="27"/>
      <c r="G5" s="27"/>
    </row>
    <row r="6" spans="1:13" ht="15.6" x14ac:dyDescent="0.3">
      <c r="D6" s="27"/>
      <c r="E6" s="28"/>
      <c r="F6" s="27"/>
      <c r="G6" s="27"/>
    </row>
    <row r="7" spans="1:13" ht="15.6" x14ac:dyDescent="0.3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</row>
    <row r="8" spans="1:13" ht="15.6" x14ac:dyDescent="0.3">
      <c r="A8" s="78"/>
      <c r="B8" s="168" t="s">
        <v>28</v>
      </c>
      <c r="C8" s="173" t="s">
        <v>50</v>
      </c>
      <c r="D8" s="169" t="s">
        <v>113</v>
      </c>
      <c r="E8" s="173" t="s">
        <v>43</v>
      </c>
      <c r="F8" s="173" t="s">
        <v>44</v>
      </c>
      <c r="G8" s="152" t="s">
        <v>45</v>
      </c>
      <c r="H8" s="158" t="s">
        <v>46</v>
      </c>
      <c r="I8" s="152" t="s">
        <v>47</v>
      </c>
      <c r="J8" s="173" t="s">
        <v>48</v>
      </c>
      <c r="K8" s="173" t="s">
        <v>49</v>
      </c>
      <c r="L8" s="173" t="s">
        <v>52</v>
      </c>
      <c r="M8" s="78"/>
    </row>
    <row r="9" spans="1:13" ht="15.6" x14ac:dyDescent="0.3">
      <c r="A9" s="78"/>
      <c r="B9" s="170"/>
      <c r="C9" s="174"/>
      <c r="D9" s="171"/>
      <c r="E9" s="174"/>
      <c r="F9" s="174"/>
      <c r="G9" s="172" t="str">
        <f>+CONCATENATE("POR ",UPPER(B5))</f>
        <v>POR TENDIDO</v>
      </c>
      <c r="H9" s="172"/>
      <c r="I9" s="172"/>
      <c r="J9" s="174"/>
      <c r="K9" s="174"/>
      <c r="L9" s="174"/>
      <c r="M9" s="78"/>
    </row>
    <row r="10" spans="1:13" ht="28.95" customHeight="1" x14ac:dyDescent="0.3">
      <c r="A10" s="78"/>
      <c r="B10" s="113" t="str">
        <f>+'Elementos de la operación'!D3</f>
        <v>Determina el largo del tendido</v>
      </c>
      <c r="C10" s="175" t="s">
        <v>46</v>
      </c>
      <c r="D10" s="163">
        <f ca="1">+MAI!E29</f>
        <v>13087</v>
      </c>
      <c r="E10" s="177">
        <f>+Suplementos!R8</f>
        <v>1.2</v>
      </c>
      <c r="F10" s="175">
        <f t="shared" ref="F10:F13" ca="1" si="0">D10*E10</f>
        <v>15704.4</v>
      </c>
      <c r="G10" s="179">
        <v>6.2500000000000003E-3</v>
      </c>
      <c r="H10" s="182">
        <f t="shared" ref="H10:H13" ca="1" si="1">+IFERROR(IF(VLOOKUP("tmp",C10,1)="tmp",F10,"")*G10,"")</f>
        <v>98.152500000000003</v>
      </c>
      <c r="I10" s="164" t="str">
        <f t="shared" ref="I10:I13" si="2">+IFERROR(IF(VLOOKUP("ttm",C10,1)="ttm",F10,"")*G10,"")</f>
        <v/>
      </c>
      <c r="J10" s="183">
        <f t="shared" ref="J10:J13" ca="1" si="3">+SUM(H10:I10)</f>
        <v>98.152500000000003</v>
      </c>
      <c r="K10" s="183">
        <f t="shared" ref="K10:K13" ca="1" si="4">J10*0.75</f>
        <v>73.614374999999995</v>
      </c>
      <c r="L10" s="183">
        <f t="shared" ref="L10:L13" ca="1" si="5">J10*0.8</f>
        <v>78.522000000000006</v>
      </c>
      <c r="M10" s="78"/>
    </row>
    <row r="11" spans="1:13" ht="28.95" customHeight="1" x14ac:dyDescent="0.3">
      <c r="A11" s="78"/>
      <c r="B11" s="113" t="str">
        <f>+'Elementos de la operación'!D4</f>
        <v>Extiende tela</v>
      </c>
      <c r="C11" s="175" t="s">
        <v>46</v>
      </c>
      <c r="D11" s="163">
        <f ca="1">+MAI!E63</f>
        <v>26130</v>
      </c>
      <c r="E11" s="177">
        <f>+Suplementos!R9</f>
        <v>1.2</v>
      </c>
      <c r="F11" s="175">
        <f t="shared" ca="1" si="0"/>
        <v>31356</v>
      </c>
      <c r="G11" s="180">
        <v>2.5000000000000001E-2</v>
      </c>
      <c r="H11" s="183">
        <f t="shared" ca="1" si="1"/>
        <v>783.90000000000009</v>
      </c>
      <c r="I11" s="164" t="str">
        <f t="shared" si="2"/>
        <v/>
      </c>
      <c r="J11" s="183">
        <f t="shared" ca="1" si="3"/>
        <v>783.90000000000009</v>
      </c>
      <c r="K11" s="183">
        <f t="shared" ca="1" si="4"/>
        <v>587.92500000000007</v>
      </c>
      <c r="L11" s="183">
        <f t="shared" ca="1" si="5"/>
        <v>627.12000000000012</v>
      </c>
      <c r="M11" s="78"/>
    </row>
    <row r="12" spans="1:13" ht="28.95" customHeight="1" x14ac:dyDescent="0.3">
      <c r="A12" s="78"/>
      <c r="B12" s="113" t="str">
        <f>+'Elementos de la operación'!D5</f>
        <v xml:space="preserve">Tiende Paño </v>
      </c>
      <c r="C12" s="175" t="s">
        <v>46</v>
      </c>
      <c r="D12" s="163">
        <f ca="1">+MAI!E97</f>
        <v>8616</v>
      </c>
      <c r="E12" s="177">
        <f>+Suplementos!R10</f>
        <v>1.2</v>
      </c>
      <c r="F12" s="175">
        <f t="shared" ca="1" si="0"/>
        <v>10339.199999999999</v>
      </c>
      <c r="G12" s="180">
        <v>1</v>
      </c>
      <c r="H12" s="183">
        <f t="shared" ca="1" si="1"/>
        <v>10339.199999999999</v>
      </c>
      <c r="I12" s="164" t="str">
        <f t="shared" si="2"/>
        <v/>
      </c>
      <c r="J12" s="183">
        <f t="shared" ca="1" si="3"/>
        <v>10339.199999999999</v>
      </c>
      <c r="K12" s="183">
        <f t="shared" ca="1" si="4"/>
        <v>7754.4</v>
      </c>
      <c r="L12" s="183">
        <f t="shared" ca="1" si="5"/>
        <v>8271.3599999999988</v>
      </c>
      <c r="M12" s="78"/>
    </row>
    <row r="13" spans="1:13" ht="28.95" customHeight="1" x14ac:dyDescent="0.3">
      <c r="A13" s="78"/>
      <c r="B13" s="113" t="str">
        <f>+'Elementos de la operación'!D6</f>
        <v>Coloca Papel tizado del tendido</v>
      </c>
      <c r="C13" s="176" t="s">
        <v>46</v>
      </c>
      <c r="D13" s="163">
        <f ca="1">+MAI!E131</f>
        <v>17572</v>
      </c>
      <c r="E13" s="178">
        <f>+Suplementos!R11</f>
        <v>1.2</v>
      </c>
      <c r="F13" s="176">
        <f t="shared" ca="1" si="0"/>
        <v>21086.399999999998</v>
      </c>
      <c r="G13" s="181">
        <v>6.2500000000000003E-3</v>
      </c>
      <c r="H13" s="184">
        <f t="shared" ca="1" si="1"/>
        <v>131.79</v>
      </c>
      <c r="I13" s="164" t="str">
        <f t="shared" si="2"/>
        <v/>
      </c>
      <c r="J13" s="184">
        <f t="shared" ca="1" si="3"/>
        <v>131.79</v>
      </c>
      <c r="K13" s="184">
        <f t="shared" ca="1" si="4"/>
        <v>98.842500000000001</v>
      </c>
      <c r="L13" s="184">
        <f t="shared" ca="1" si="5"/>
        <v>105.432</v>
      </c>
      <c r="M13" s="78"/>
    </row>
    <row r="14" spans="1:13" ht="15.6" customHeight="1" x14ac:dyDescent="0.3">
      <c r="A14" s="78"/>
      <c r="B14" s="165" t="s">
        <v>114</v>
      </c>
      <c r="C14" s="161"/>
      <c r="D14" s="161"/>
      <c r="E14" s="161"/>
      <c r="F14" s="161"/>
      <c r="G14" s="161"/>
      <c r="H14" s="182">
        <f ca="1">SUM(H10:H13)</f>
        <v>11353.0425</v>
      </c>
      <c r="I14" s="182">
        <f>SUM(I10:I13)</f>
        <v>0</v>
      </c>
      <c r="J14" s="167">
        <f ca="1">SUM(J10:J12)</f>
        <v>11221.252499999999</v>
      </c>
      <c r="K14" s="182"/>
      <c r="L14" s="166"/>
      <c r="M14" s="78"/>
    </row>
    <row r="15" spans="1:13" ht="15.6" customHeight="1" x14ac:dyDescent="0.3">
      <c r="A15" s="78"/>
      <c r="B15" s="165" t="s">
        <v>115</v>
      </c>
      <c r="C15" s="161"/>
      <c r="D15" s="161"/>
      <c r="E15" s="161"/>
      <c r="F15" s="161"/>
      <c r="G15" s="161"/>
      <c r="H15" s="182">
        <f ca="1">H14*0.75</f>
        <v>8514.7818750000006</v>
      </c>
      <c r="I15" s="182">
        <f>I14*0.75</f>
        <v>0</v>
      </c>
      <c r="J15" s="162"/>
      <c r="K15" s="185">
        <f ca="1">SUM(K10:K12)</f>
        <v>8415.9393749999999</v>
      </c>
      <c r="L15" s="166"/>
      <c r="M15" s="78"/>
    </row>
    <row r="16" spans="1:13" ht="15.6" customHeight="1" x14ac:dyDescent="0.3">
      <c r="A16" s="78"/>
      <c r="B16" s="165" t="s">
        <v>51</v>
      </c>
      <c r="C16" s="161"/>
      <c r="D16" s="161"/>
      <c r="E16" s="161"/>
      <c r="F16" s="161"/>
      <c r="G16" s="161"/>
      <c r="H16" s="185">
        <f ca="1">H14*0.8</f>
        <v>9082.4339999999993</v>
      </c>
      <c r="I16" s="185">
        <f>I14*0.8</f>
        <v>0</v>
      </c>
      <c r="J16" s="167"/>
      <c r="K16" s="185"/>
      <c r="L16" s="190">
        <f ca="1">SUM(H16:I16)</f>
        <v>9082.4339999999993</v>
      </c>
      <c r="M16" s="78"/>
    </row>
    <row r="17" spans="1:13" ht="14.4" customHeight="1" x14ac:dyDescent="0.3">
      <c r="A17" s="78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78"/>
    </row>
    <row r="18" spans="1:13" ht="14.4" customHeight="1" x14ac:dyDescent="0.3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</row>
    <row r="19" spans="1:13" ht="15.6" x14ac:dyDescent="0.3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</row>
    <row r="20" spans="1:13" ht="15.6" x14ac:dyDescent="0.3">
      <c r="A20" s="78"/>
      <c r="B20" s="78"/>
      <c r="C20" s="78"/>
      <c r="D20" s="78"/>
      <c r="E20" s="173" t="s">
        <v>53</v>
      </c>
      <c r="F20" s="99" t="s">
        <v>55</v>
      </c>
      <c r="G20" s="186">
        <f ca="1">SUM(H14:I14)</f>
        <v>11353.0425</v>
      </c>
      <c r="H20" s="78"/>
      <c r="I20" s="78"/>
      <c r="J20" s="78"/>
      <c r="K20" s="78"/>
      <c r="L20" s="78"/>
      <c r="M20" s="78"/>
    </row>
    <row r="21" spans="1:13" ht="15.6" x14ac:dyDescent="0.3">
      <c r="A21" s="78"/>
      <c r="B21" s="78"/>
      <c r="C21" s="78"/>
      <c r="D21" s="78"/>
      <c r="E21" s="189"/>
      <c r="F21" s="91" t="s">
        <v>56</v>
      </c>
      <c r="G21" s="187">
        <f ca="1">SUM(H15:I15)</f>
        <v>8514.7818750000006</v>
      </c>
      <c r="H21" s="78"/>
      <c r="I21" s="78"/>
      <c r="J21" s="78"/>
      <c r="K21" s="78"/>
      <c r="L21" s="78"/>
      <c r="M21" s="78"/>
    </row>
    <row r="22" spans="1:13" ht="15.6" x14ac:dyDescent="0.3">
      <c r="A22" s="78"/>
      <c r="B22" s="78"/>
      <c r="C22" s="78"/>
      <c r="D22" s="78"/>
      <c r="E22" s="174"/>
      <c r="F22" s="79" t="s">
        <v>29</v>
      </c>
      <c r="G22" s="188">
        <f ca="1">SUM(H16:I16)</f>
        <v>9082.4339999999993</v>
      </c>
      <c r="H22" s="78"/>
      <c r="I22" s="78"/>
      <c r="J22" s="78"/>
      <c r="K22" s="78"/>
      <c r="L22" s="78"/>
      <c r="M22" s="78"/>
    </row>
    <row r="23" spans="1:13" ht="15.6" x14ac:dyDescent="0.3">
      <c r="A23" s="78"/>
      <c r="B23" s="78"/>
      <c r="C23" s="78"/>
      <c r="D23" s="78"/>
      <c r="E23" s="173" t="s">
        <v>54</v>
      </c>
      <c r="F23" s="99" t="s">
        <v>55</v>
      </c>
      <c r="G23" s="186">
        <f>I14</f>
        <v>0</v>
      </c>
      <c r="H23" s="78"/>
      <c r="I23" s="78"/>
      <c r="J23" s="78"/>
      <c r="K23" s="78"/>
      <c r="L23" s="78"/>
      <c r="M23" s="78"/>
    </row>
    <row r="24" spans="1:13" ht="15.6" x14ac:dyDescent="0.3">
      <c r="A24" s="78"/>
      <c r="B24" s="78"/>
      <c r="C24" s="78"/>
      <c r="D24" s="78"/>
      <c r="E24" s="189"/>
      <c r="F24" s="91" t="s">
        <v>56</v>
      </c>
      <c r="G24" s="187">
        <f>I15</f>
        <v>0</v>
      </c>
      <c r="H24" s="78"/>
      <c r="I24" s="78"/>
      <c r="J24" s="78"/>
      <c r="K24" s="78"/>
      <c r="L24" s="78"/>
      <c r="M24" s="78"/>
    </row>
    <row r="25" spans="1:13" ht="15.6" x14ac:dyDescent="0.3">
      <c r="A25" s="78"/>
      <c r="B25" s="78"/>
      <c r="C25" s="78"/>
      <c r="D25" s="78"/>
      <c r="E25" s="174"/>
      <c r="F25" s="79" t="s">
        <v>29</v>
      </c>
      <c r="G25" s="188">
        <f>I16</f>
        <v>0</v>
      </c>
      <c r="H25" s="78"/>
      <c r="I25" s="78"/>
      <c r="J25" s="78"/>
      <c r="K25" s="78"/>
      <c r="L25" s="78"/>
      <c r="M25" s="78"/>
    </row>
    <row r="26" spans="1:13" ht="15.6" x14ac:dyDescent="0.3">
      <c r="A26" s="78"/>
      <c r="B26" s="78"/>
      <c r="C26" s="78"/>
      <c r="D26" s="78"/>
      <c r="E26" s="189" t="s">
        <v>116</v>
      </c>
      <c r="F26" s="91" t="s">
        <v>55</v>
      </c>
      <c r="G26" s="187">
        <f ca="1">SUM(H14:I14)</f>
        <v>11353.0425</v>
      </c>
      <c r="H26" s="78"/>
      <c r="I26" s="78"/>
      <c r="J26" s="78"/>
      <c r="K26" s="78"/>
      <c r="L26" s="78"/>
      <c r="M26" s="78"/>
    </row>
    <row r="27" spans="1:13" ht="15.6" x14ac:dyDescent="0.3">
      <c r="A27" s="78"/>
      <c r="B27" s="78"/>
      <c r="C27" s="78"/>
      <c r="D27" s="78"/>
      <c r="E27" s="189"/>
      <c r="F27" s="91" t="s">
        <v>56</v>
      </c>
      <c r="G27" s="187">
        <f ca="1">SUM(H15:I15)</f>
        <v>8514.7818750000006</v>
      </c>
      <c r="H27" s="78"/>
      <c r="I27" s="78"/>
      <c r="J27" s="78"/>
      <c r="K27" s="78"/>
      <c r="L27" s="78"/>
      <c r="M27" s="78"/>
    </row>
    <row r="28" spans="1:13" ht="15.6" x14ac:dyDescent="0.3">
      <c r="A28" s="78"/>
      <c r="B28" s="78"/>
      <c r="C28" s="78"/>
      <c r="D28" s="78"/>
      <c r="E28" s="174"/>
      <c r="F28" s="79" t="s">
        <v>29</v>
      </c>
      <c r="G28" s="188">
        <f ca="1">SUM(H16:I16)</f>
        <v>9082.4339999999993</v>
      </c>
      <c r="H28" s="78"/>
      <c r="I28" s="78"/>
      <c r="J28" s="78"/>
      <c r="K28" s="78"/>
      <c r="L28" s="78"/>
      <c r="M28" s="78"/>
    </row>
    <row r="29" spans="1:13" ht="15.6" x14ac:dyDescent="0.3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</row>
    <row r="30" spans="1:13" ht="15.6" x14ac:dyDescent="0.3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</row>
    <row r="31" spans="1:13" ht="15.6" x14ac:dyDescent="0.3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</row>
    <row r="32" spans="1:13" ht="15.6" x14ac:dyDescent="0.3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1:13" ht="30" customHeight="1" x14ac:dyDescent="0.3">
      <c r="A33" s="78"/>
      <c r="B33" s="78"/>
      <c r="C33" s="78"/>
      <c r="D33" s="151" t="s">
        <v>159</v>
      </c>
      <c r="E33" s="158" t="s">
        <v>57</v>
      </c>
      <c r="F33" s="158" t="s">
        <v>58</v>
      </c>
      <c r="G33" s="153" t="s">
        <v>160</v>
      </c>
      <c r="H33" s="78"/>
      <c r="I33" s="78"/>
      <c r="J33" s="78"/>
      <c r="K33" s="78"/>
      <c r="L33" s="78"/>
      <c r="M33" s="78"/>
    </row>
    <row r="34" spans="1:13" ht="16.95" customHeight="1" x14ac:dyDescent="0.3">
      <c r="A34" s="78"/>
      <c r="B34" s="78"/>
      <c r="C34" s="78"/>
      <c r="D34" s="191" t="s">
        <v>59</v>
      </c>
      <c r="E34" s="195">
        <f ca="1">360000/G26</f>
        <v>31.709561555856062</v>
      </c>
      <c r="F34" s="197">
        <f ca="1">360000/G27</f>
        <v>42.279415407808081</v>
      </c>
      <c r="G34" s="192">
        <f ca="1">360000/G28</f>
        <v>39.636951944820083</v>
      </c>
      <c r="H34" s="78"/>
      <c r="I34" s="78"/>
      <c r="J34" s="78"/>
      <c r="K34" s="78"/>
      <c r="L34" s="78"/>
      <c r="M34" s="78"/>
    </row>
    <row r="35" spans="1:13" ht="16.95" customHeight="1" x14ac:dyDescent="0.3">
      <c r="A35" s="78"/>
      <c r="B35" s="78"/>
      <c r="C35" s="78"/>
      <c r="D35" s="191"/>
      <c r="E35" s="195"/>
      <c r="F35" s="195"/>
      <c r="G35" s="192"/>
      <c r="H35" s="78"/>
      <c r="I35" s="78"/>
      <c r="J35" s="78"/>
      <c r="K35" s="78"/>
      <c r="L35" s="78"/>
      <c r="M35" s="78"/>
    </row>
    <row r="36" spans="1:13" ht="16.95" customHeight="1" x14ac:dyDescent="0.3">
      <c r="A36" s="78"/>
      <c r="B36" s="78"/>
      <c r="C36" s="78"/>
      <c r="D36" s="191" t="s">
        <v>60</v>
      </c>
      <c r="E36" s="195">
        <f ca="1">((G20*100)/G26)</f>
        <v>100</v>
      </c>
      <c r="F36" s="195">
        <f ca="1">((G21*100)/G27)</f>
        <v>100</v>
      </c>
      <c r="G36" s="192">
        <f ca="1">((G22*100)/G28)</f>
        <v>100</v>
      </c>
      <c r="H36" s="78"/>
      <c r="I36" s="78"/>
      <c r="J36" s="78"/>
      <c r="K36" s="78"/>
      <c r="L36" s="78"/>
      <c r="M36" s="78"/>
    </row>
    <row r="37" spans="1:13" ht="16.95" customHeight="1" x14ac:dyDescent="0.3">
      <c r="A37" s="78"/>
      <c r="B37" s="78"/>
      <c r="C37" s="78"/>
      <c r="D37" s="191"/>
      <c r="E37" s="195"/>
      <c r="F37" s="195"/>
      <c r="G37" s="192"/>
      <c r="H37" s="78"/>
      <c r="I37" s="78"/>
      <c r="J37" s="78"/>
      <c r="K37" s="78"/>
      <c r="L37" s="78"/>
      <c r="M37" s="78"/>
    </row>
    <row r="38" spans="1:13" ht="16.95" customHeight="1" x14ac:dyDescent="0.3">
      <c r="A38" s="78"/>
      <c r="B38" s="78"/>
      <c r="C38" s="78"/>
      <c r="D38" s="191" t="s">
        <v>61</v>
      </c>
      <c r="E38" s="195">
        <f ca="1">100/E36</f>
        <v>1</v>
      </c>
      <c r="F38" s="195">
        <f ca="1">100/F36</f>
        <v>1</v>
      </c>
      <c r="G38" s="192">
        <f ca="1">100/G36</f>
        <v>1</v>
      </c>
      <c r="H38" s="78"/>
      <c r="I38" s="78"/>
      <c r="J38" s="78"/>
      <c r="K38" s="78"/>
      <c r="L38" s="78"/>
      <c r="M38" s="78"/>
    </row>
    <row r="39" spans="1:13" ht="16.95" customHeight="1" x14ac:dyDescent="0.3">
      <c r="A39" s="78"/>
      <c r="B39" s="78"/>
      <c r="C39" s="78"/>
      <c r="D39" s="191"/>
      <c r="E39" s="195"/>
      <c r="F39" s="195"/>
      <c r="G39" s="192"/>
      <c r="H39" s="78"/>
      <c r="I39" s="78"/>
      <c r="J39" s="78"/>
      <c r="K39" s="78"/>
      <c r="L39" s="78"/>
      <c r="M39" s="78"/>
    </row>
    <row r="40" spans="1:13" ht="16.95" customHeight="1" x14ac:dyDescent="0.3">
      <c r="A40" s="78"/>
      <c r="B40" s="78"/>
      <c r="C40" s="78"/>
      <c r="D40" s="191" t="s">
        <v>62</v>
      </c>
      <c r="E40" s="195" t="str">
        <f ca="1">IF((G23*100)/G26,0,"-")</f>
        <v>-</v>
      </c>
      <c r="F40" s="195" t="str">
        <f ca="1">IF((G24*100)/G27,0,"-")</f>
        <v>-</v>
      </c>
      <c r="G40" s="192" t="str">
        <f ca="1">IF((G25*100)/G28,0,"-")</f>
        <v>-</v>
      </c>
      <c r="H40" s="78"/>
      <c r="I40" s="78"/>
      <c r="J40" s="78"/>
      <c r="K40" s="78"/>
      <c r="L40" s="78"/>
      <c r="M40" s="78"/>
    </row>
    <row r="41" spans="1:13" ht="16.95" customHeight="1" x14ac:dyDescent="0.3">
      <c r="A41" s="78"/>
      <c r="B41" s="78"/>
      <c r="C41" s="78"/>
      <c r="D41" s="191"/>
      <c r="E41" s="195"/>
      <c r="F41" s="195"/>
      <c r="G41" s="192"/>
      <c r="H41" s="78"/>
      <c r="I41" s="78"/>
      <c r="J41" s="78"/>
      <c r="K41" s="78"/>
      <c r="L41" s="78"/>
      <c r="M41" s="78"/>
    </row>
    <row r="42" spans="1:13" ht="16.95" customHeight="1" x14ac:dyDescent="0.3">
      <c r="A42" s="78"/>
      <c r="B42" s="78"/>
      <c r="C42" s="78"/>
      <c r="D42" s="191" t="s">
        <v>64</v>
      </c>
      <c r="E42" s="195" t="s">
        <v>63</v>
      </c>
      <c r="F42" s="195" t="str">
        <f>IFERROR(360000/G24,"-")</f>
        <v>-</v>
      </c>
      <c r="G42" s="192" t="s">
        <v>63</v>
      </c>
      <c r="H42" s="78"/>
      <c r="I42" s="78"/>
      <c r="J42" s="78"/>
      <c r="K42" s="78"/>
      <c r="L42" s="78"/>
      <c r="M42" s="78"/>
    </row>
    <row r="43" spans="1:13" ht="16.95" customHeight="1" x14ac:dyDescent="0.3">
      <c r="A43" s="78"/>
      <c r="B43" s="78"/>
      <c r="C43" s="78"/>
      <c r="D43" s="191"/>
      <c r="E43" s="195"/>
      <c r="F43" s="195"/>
      <c r="G43" s="192"/>
      <c r="H43" s="78"/>
      <c r="I43" s="78"/>
      <c r="J43" s="78"/>
      <c r="K43" s="78"/>
      <c r="L43" s="78"/>
      <c r="M43" s="78"/>
    </row>
    <row r="44" spans="1:13" ht="16.95" customHeight="1" x14ac:dyDescent="0.3">
      <c r="A44" s="78"/>
      <c r="B44" s="78"/>
      <c r="C44" s="78"/>
      <c r="D44" s="191" t="s">
        <v>67</v>
      </c>
      <c r="E44" s="195" t="s">
        <v>63</v>
      </c>
      <c r="F44" s="195">
        <f ca="1">(12*G27*100)/'Error de vuelta a 0'!L9</f>
        <v>7.2073352279700869</v>
      </c>
      <c r="G44" s="192" t="s">
        <v>63</v>
      </c>
      <c r="H44" s="78"/>
      <c r="I44" s="78"/>
      <c r="J44" s="78"/>
      <c r="K44" s="78"/>
      <c r="L44" s="78"/>
      <c r="M44" s="78"/>
    </row>
    <row r="45" spans="1:13" ht="16.95" customHeight="1" x14ac:dyDescent="0.3">
      <c r="A45" s="78"/>
      <c r="B45" s="78"/>
      <c r="C45" s="78"/>
      <c r="D45" s="191"/>
      <c r="E45" s="195"/>
      <c r="F45" s="195"/>
      <c r="G45" s="192"/>
      <c r="H45" s="78"/>
      <c r="I45" s="78"/>
      <c r="J45" s="78"/>
      <c r="K45" s="78"/>
      <c r="L45" s="78"/>
      <c r="M45" s="78"/>
    </row>
    <row r="46" spans="1:13" ht="16.95" customHeight="1" x14ac:dyDescent="0.3">
      <c r="A46" s="78"/>
      <c r="B46" s="78"/>
      <c r="C46" s="78"/>
      <c r="D46" s="191" t="s">
        <v>66</v>
      </c>
      <c r="E46" s="195" t="s">
        <v>63</v>
      </c>
      <c r="F46" s="195">
        <f ca="1">(12*G27*100)/'Error de vuelta a 0'!L8</f>
        <v>7.2073352279700869</v>
      </c>
      <c r="G46" s="192" t="s">
        <v>63</v>
      </c>
      <c r="H46" s="78"/>
      <c r="I46" s="78"/>
      <c r="J46" s="78"/>
      <c r="K46" s="78"/>
      <c r="L46" s="78"/>
      <c r="M46" s="78"/>
    </row>
    <row r="47" spans="1:13" ht="16.95" customHeight="1" x14ac:dyDescent="0.3">
      <c r="A47" s="78"/>
      <c r="B47" s="78"/>
      <c r="C47" s="78"/>
      <c r="D47" s="191"/>
      <c r="E47" s="195"/>
      <c r="F47" s="195"/>
      <c r="G47" s="192"/>
      <c r="H47" s="78"/>
      <c r="I47" s="78"/>
      <c r="J47" s="78"/>
      <c r="K47" s="78"/>
      <c r="L47" s="78"/>
      <c r="M47" s="78"/>
    </row>
    <row r="48" spans="1:13" ht="16.95" customHeight="1" x14ac:dyDescent="0.3">
      <c r="A48" s="78"/>
      <c r="B48" s="78"/>
      <c r="C48" s="78"/>
      <c r="D48" s="191" t="s">
        <v>65</v>
      </c>
      <c r="E48" s="195" t="s">
        <v>63</v>
      </c>
      <c r="F48" s="195">
        <f ca="1">(E34*100)/F34</f>
        <v>75</v>
      </c>
      <c r="G48" s="192" t="s">
        <v>63</v>
      </c>
      <c r="H48" s="78"/>
      <c r="I48" s="78"/>
      <c r="J48" s="78"/>
      <c r="K48" s="78"/>
      <c r="L48" s="78"/>
      <c r="M48" s="78"/>
    </row>
    <row r="49" spans="1:13" ht="16.95" customHeight="1" x14ac:dyDescent="0.3">
      <c r="A49" s="78"/>
      <c r="B49" s="78"/>
      <c r="C49" s="78"/>
      <c r="D49" s="193"/>
      <c r="E49" s="196"/>
      <c r="F49" s="196"/>
      <c r="G49" s="194"/>
      <c r="H49" s="78"/>
      <c r="I49" s="78"/>
      <c r="J49" s="78"/>
      <c r="K49" s="78"/>
      <c r="L49" s="78"/>
      <c r="M49" s="78"/>
    </row>
    <row r="50" spans="1:13" ht="15.6" x14ac:dyDescent="0.3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</row>
    <row r="51" spans="1:13" ht="15.6" x14ac:dyDescent="0.3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</row>
  </sheetData>
  <mergeCells count="48">
    <mergeCell ref="B14:G14"/>
    <mergeCell ref="J8:J9"/>
    <mergeCell ref="K8:K9"/>
    <mergeCell ref="L8:L9"/>
    <mergeCell ref="G4:I4"/>
    <mergeCell ref="B8:B9"/>
    <mergeCell ref="C8:C9"/>
    <mergeCell ref="D8:D9"/>
    <mergeCell ref="E8:E9"/>
    <mergeCell ref="F8:F9"/>
    <mergeCell ref="G9:I9"/>
    <mergeCell ref="B16:G16"/>
    <mergeCell ref="E20:E22"/>
    <mergeCell ref="E23:E25"/>
    <mergeCell ref="E26:E28"/>
    <mergeCell ref="B15:G15"/>
    <mergeCell ref="D34:D35"/>
    <mergeCell ref="E34:E35"/>
    <mergeCell ref="F34:F35"/>
    <mergeCell ref="G34:G35"/>
    <mergeCell ref="D36:D37"/>
    <mergeCell ref="E36:E37"/>
    <mergeCell ref="F36:F37"/>
    <mergeCell ref="G36:G37"/>
    <mergeCell ref="D38:D39"/>
    <mergeCell ref="E38:E39"/>
    <mergeCell ref="F38:F39"/>
    <mergeCell ref="G38:G39"/>
    <mergeCell ref="D40:D41"/>
    <mergeCell ref="E40:E41"/>
    <mergeCell ref="F40:F41"/>
    <mergeCell ref="G40:G41"/>
    <mergeCell ref="D42:D43"/>
    <mergeCell ref="E42:E43"/>
    <mergeCell ref="F42:F43"/>
    <mergeCell ref="G42:G43"/>
    <mergeCell ref="D48:D49"/>
    <mergeCell ref="E48:E49"/>
    <mergeCell ref="F48:F49"/>
    <mergeCell ref="G48:G49"/>
    <mergeCell ref="D44:D45"/>
    <mergeCell ref="E44:E45"/>
    <mergeCell ref="F44:F45"/>
    <mergeCell ref="G44:G45"/>
    <mergeCell ref="D46:D47"/>
    <mergeCell ref="E46:E47"/>
    <mergeCell ref="F46:F47"/>
    <mergeCell ref="G46:G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MAI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2022-09-12T23:54:37Z</dcterms:modified>
</cp:coreProperties>
</file>