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477B5EE2-E2C7-4D04-8CBF-17DB6ACA718D}" xr6:coauthVersionLast="47" xr6:coauthVersionMax="47" xr10:uidLastSave="{00000000-0000-0000-0000-000000000000}"/>
  <bookViews>
    <workbookView xWindow="-108" yWindow="-108" windowWidth="23256" windowHeight="12456" firstSheet="2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AI" sheetId="13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1" l="1"/>
  <c r="E77" i="8"/>
  <c r="E40" i="8"/>
  <c r="E3" i="8"/>
  <c r="C23" i="6"/>
  <c r="K54" i="6" s="1"/>
  <c r="C22" i="6"/>
  <c r="N4" i="6" s="1"/>
  <c r="C21" i="6"/>
  <c r="K4" i="6" s="1"/>
  <c r="F12" i="10"/>
  <c r="F11" i="10"/>
  <c r="K57" i="6"/>
  <c r="Q12" i="7" l="1"/>
  <c r="R12" i="7" s="1"/>
  <c r="F14" i="12" s="1"/>
  <c r="Q9" i="7"/>
  <c r="Q10" i="7"/>
  <c r="Q11" i="7"/>
  <c r="Q8" i="7"/>
  <c r="D12" i="7"/>
  <c r="D9" i="7"/>
  <c r="D10" i="7"/>
  <c r="D11" i="7"/>
  <c r="D8" i="7"/>
  <c r="C5" i="12" l="1"/>
  <c r="H9" i="12" s="1"/>
  <c r="C13" i="12"/>
  <c r="C14" i="12"/>
  <c r="C12" i="12"/>
  <c r="C11" i="12"/>
  <c r="C10" i="12"/>
  <c r="J14" i="12"/>
  <c r="J13" i="12"/>
  <c r="I12" i="12"/>
  <c r="I11" i="12"/>
  <c r="J10" i="12"/>
  <c r="F10" i="10" l="1"/>
  <c r="F9" i="10"/>
  <c r="F8" i="10"/>
  <c r="L57" i="6" l="1"/>
  <c r="C26" i="6"/>
  <c r="C29" i="6" s="1"/>
  <c r="C32" i="6" s="1"/>
  <c r="C35" i="6" s="1"/>
  <c r="C38" i="6" s="1"/>
  <c r="C41" i="6" s="1"/>
  <c r="C44" i="6" s="1"/>
  <c r="C47" i="6" s="1"/>
  <c r="C50" i="6" s="1"/>
  <c r="C53" i="6" s="1"/>
  <c r="C56" i="6" s="1"/>
  <c r="C59" i="6" s="1"/>
  <c r="C62" i="6" s="1"/>
  <c r="C65" i="6" s="1"/>
  <c r="C68" i="6" s="1"/>
  <c r="C71" i="6" s="1"/>
  <c r="C25" i="6"/>
  <c r="C28" i="6" s="1"/>
  <c r="C31" i="6" s="1"/>
  <c r="C34" i="6" s="1"/>
  <c r="C37" i="6" s="1"/>
  <c r="C40" i="6" s="1"/>
  <c r="C43" i="6" s="1"/>
  <c r="C46" i="6" s="1"/>
  <c r="C49" i="6" s="1"/>
  <c r="C52" i="6" s="1"/>
  <c r="C55" i="6" s="1"/>
  <c r="C58" i="6" s="1"/>
  <c r="C61" i="6" s="1"/>
  <c r="C64" i="6" s="1"/>
  <c r="C67" i="6" s="1"/>
  <c r="C70" i="6" s="1"/>
  <c r="C73" i="6" l="1"/>
  <c r="C74" i="6"/>
  <c r="Q11" i="1"/>
  <c r="C77" i="6" l="1"/>
  <c r="C76" i="6"/>
  <c r="G30" i="2"/>
  <c r="D70" i="13" s="1"/>
  <c r="P2" i="2"/>
  <c r="D36" i="13" s="1"/>
  <c r="G2" i="2"/>
  <c r="D2" i="13" s="1"/>
  <c r="L4" i="1"/>
  <c r="Q9" i="1" s="1"/>
  <c r="L3" i="1"/>
  <c r="Q8" i="1" s="1"/>
  <c r="H16" i="6"/>
  <c r="K8" i="6" l="1"/>
  <c r="N8" i="6"/>
  <c r="M7" i="2" s="1"/>
  <c r="K58" i="6"/>
  <c r="D35" i="2" s="1"/>
  <c r="B74" i="13" s="1"/>
  <c r="H17" i="6"/>
  <c r="C79" i="6"/>
  <c r="C80" i="6"/>
  <c r="E34" i="2"/>
  <c r="C73" i="13" s="1"/>
  <c r="N7" i="6"/>
  <c r="M6" i="2" s="1"/>
  <c r="D34" i="2"/>
  <c r="B73" i="13" s="1"/>
  <c r="B20" i="6"/>
  <c r="D5" i="1"/>
  <c r="E5" i="1"/>
  <c r="C5" i="1"/>
  <c r="K59" i="6" l="1"/>
  <c r="D36" i="2" s="1"/>
  <c r="K9" i="6"/>
  <c r="D8" i="2" s="1"/>
  <c r="N9" i="6"/>
  <c r="M8" i="2" s="1"/>
  <c r="B45" i="8"/>
  <c r="B40" i="13"/>
  <c r="B44" i="8"/>
  <c r="B39" i="13"/>
  <c r="C81" i="8"/>
  <c r="B82" i="8"/>
  <c r="B81" i="8"/>
  <c r="H18" i="6"/>
  <c r="C24" i="6"/>
  <c r="C27" i="6" s="1"/>
  <c r="C30" i="6" s="1"/>
  <c r="C33" i="6" s="1"/>
  <c r="C36" i="6" s="1"/>
  <c r="C39" i="6" s="1"/>
  <c r="C42" i="6" s="1"/>
  <c r="C45" i="6" s="1"/>
  <c r="C48" i="6" s="1"/>
  <c r="C51" i="6" s="1"/>
  <c r="C54" i="6" s="1"/>
  <c r="C57" i="6" s="1"/>
  <c r="C60" i="6" s="1"/>
  <c r="C63" i="6" s="1"/>
  <c r="C66" i="6" s="1"/>
  <c r="C69" i="6" s="1"/>
  <c r="L7" i="6"/>
  <c r="E6" i="2" s="1"/>
  <c r="Q5" i="1"/>
  <c r="O7" i="6"/>
  <c r="N6" i="2" s="1"/>
  <c r="F34" i="2"/>
  <c r="K7" i="6"/>
  <c r="D6" i="2" s="1"/>
  <c r="D7" i="2"/>
  <c r="R11" i="7"/>
  <c r="F13" i="12" s="1"/>
  <c r="R10" i="7"/>
  <c r="F12" i="12" s="1"/>
  <c r="R9" i="7"/>
  <c r="F11" i="12" s="1"/>
  <c r="R8" i="7"/>
  <c r="F10" i="12" s="1"/>
  <c r="D73" i="13" l="1"/>
  <c r="B75" i="13"/>
  <c r="B83" i="8"/>
  <c r="K10" i="6"/>
  <c r="D9" i="2" s="1"/>
  <c r="K60" i="6"/>
  <c r="D37" i="2" s="1"/>
  <c r="B76" i="13" s="1"/>
  <c r="N10" i="6"/>
  <c r="M9" i="2" s="1"/>
  <c r="O10" i="6"/>
  <c r="C44" i="8"/>
  <c r="C39" i="13"/>
  <c r="B46" i="8"/>
  <c r="B41" i="13"/>
  <c r="C7" i="8"/>
  <c r="C5" i="13"/>
  <c r="B9" i="8"/>
  <c r="B7" i="13"/>
  <c r="B8" i="8"/>
  <c r="B6" i="13"/>
  <c r="B7" i="8"/>
  <c r="B5" i="13"/>
  <c r="G34" i="2"/>
  <c r="H19" i="6"/>
  <c r="L11" i="6" s="1"/>
  <c r="C72" i="6"/>
  <c r="O8" i="6"/>
  <c r="L8" i="6"/>
  <c r="K11" i="6" l="1"/>
  <c r="D10" i="2" s="1"/>
  <c r="N11" i="6"/>
  <c r="M10" i="2" s="1"/>
  <c r="K61" i="6"/>
  <c r="D38" i="2" s="1"/>
  <c r="B77" i="13" s="1"/>
  <c r="L61" i="6"/>
  <c r="B47" i="8"/>
  <c r="B42" i="13"/>
  <c r="B84" i="8"/>
  <c r="B10" i="8"/>
  <c r="B8" i="13"/>
  <c r="H20" i="6"/>
  <c r="C75" i="6"/>
  <c r="N7" i="2"/>
  <c r="E7" i="2"/>
  <c r="L9" i="6"/>
  <c r="O9" i="6"/>
  <c r="E33" i="8"/>
  <c r="O6" i="2"/>
  <c r="F6" i="2"/>
  <c r="N12" i="6" l="1"/>
  <c r="M11" i="2" s="1"/>
  <c r="K62" i="6"/>
  <c r="D39" i="2" s="1"/>
  <c r="B78" i="13" s="1"/>
  <c r="K12" i="6"/>
  <c r="D11" i="2" s="1"/>
  <c r="C40" i="13"/>
  <c r="D5" i="13"/>
  <c r="D39" i="13"/>
  <c r="C6" i="13"/>
  <c r="B48" i="8"/>
  <c r="B43" i="13"/>
  <c r="B85" i="8"/>
  <c r="B11" i="8"/>
  <c r="B9" i="13"/>
  <c r="L58" i="6"/>
  <c r="E35" i="2" s="1"/>
  <c r="H21" i="6"/>
  <c r="N8" i="2"/>
  <c r="E8" i="2"/>
  <c r="C78" i="6"/>
  <c r="L10" i="6"/>
  <c r="C8" i="8"/>
  <c r="F7" i="2"/>
  <c r="C45" i="8"/>
  <c r="O7" i="2"/>
  <c r="L59" i="6"/>
  <c r="P6" i="2"/>
  <c r="G6" i="2"/>
  <c r="N13" i="6" l="1"/>
  <c r="M12" i="2" s="1"/>
  <c r="K13" i="6"/>
  <c r="D12" i="2" s="1"/>
  <c r="K63" i="6"/>
  <c r="D40" i="2" s="1"/>
  <c r="B79" i="13" s="1"/>
  <c r="C7" i="13"/>
  <c r="C41" i="13"/>
  <c r="C74" i="13"/>
  <c r="P7" i="2"/>
  <c r="D40" i="13"/>
  <c r="B49" i="8"/>
  <c r="B44" i="13"/>
  <c r="G7" i="2"/>
  <c r="D6" i="13"/>
  <c r="B12" i="8"/>
  <c r="B10" i="13"/>
  <c r="C82" i="8"/>
  <c r="F35" i="2"/>
  <c r="E36" i="2"/>
  <c r="C75" i="13" s="1"/>
  <c r="E10" i="2"/>
  <c r="B86" i="8"/>
  <c r="H22" i="6"/>
  <c r="C9" i="8"/>
  <c r="F8" i="2"/>
  <c r="C46" i="8"/>
  <c r="O8" i="2"/>
  <c r="L60" i="6"/>
  <c r="N9" i="2"/>
  <c r="E9" i="2"/>
  <c r="G5" i="1"/>
  <c r="D74" i="13" l="1"/>
  <c r="K14" i="6"/>
  <c r="D13" i="2" s="1"/>
  <c r="K64" i="6"/>
  <c r="D41" i="2" s="1"/>
  <c r="B80" i="13" s="1"/>
  <c r="N14" i="6"/>
  <c r="M13" i="2" s="1"/>
  <c r="O14" i="6"/>
  <c r="D7" i="13"/>
  <c r="C9" i="13"/>
  <c r="D41" i="13"/>
  <c r="C42" i="13"/>
  <c r="B50" i="8"/>
  <c r="B45" i="13"/>
  <c r="B87" i="8"/>
  <c r="C8" i="13"/>
  <c r="B13" i="8"/>
  <c r="B11" i="13"/>
  <c r="G35" i="2"/>
  <c r="C11" i="8"/>
  <c r="F10" i="2"/>
  <c r="H23" i="6"/>
  <c r="C83" i="8"/>
  <c r="F36" i="2"/>
  <c r="D75" i="13" s="1"/>
  <c r="E37" i="2"/>
  <c r="C76" i="13" s="1"/>
  <c r="G8" i="2"/>
  <c r="C10" i="8"/>
  <c r="F9" i="2"/>
  <c r="C47" i="8"/>
  <c r="O9" i="2"/>
  <c r="P8" i="2"/>
  <c r="K15" i="6" l="1"/>
  <c r="D14" i="2" s="1"/>
  <c r="N15" i="6"/>
  <c r="M14" i="2" s="1"/>
  <c r="K65" i="6"/>
  <c r="D42" i="2" s="1"/>
  <c r="B81" i="13" s="1"/>
  <c r="L65" i="6"/>
  <c r="L15" i="6"/>
  <c r="P9" i="2"/>
  <c r="D42" i="13"/>
  <c r="B51" i="8"/>
  <c r="B46" i="13"/>
  <c r="G36" i="2"/>
  <c r="B88" i="8"/>
  <c r="G9" i="2"/>
  <c r="D8" i="13"/>
  <c r="G10" i="2"/>
  <c r="D9" i="13"/>
  <c r="B14" i="8"/>
  <c r="B12" i="13"/>
  <c r="O11" i="6"/>
  <c r="N10" i="2" s="1"/>
  <c r="H24" i="6"/>
  <c r="E38" i="2"/>
  <c r="C77" i="13" s="1"/>
  <c r="C84" i="8"/>
  <c r="F37" i="2"/>
  <c r="D76" i="13" s="1"/>
  <c r="O12" i="6"/>
  <c r="K16" i="6" l="1"/>
  <c r="D15" i="2" s="1"/>
  <c r="N16" i="6"/>
  <c r="M15" i="2" s="1"/>
  <c r="K66" i="6"/>
  <c r="D43" i="2" s="1"/>
  <c r="B82" i="13" s="1"/>
  <c r="C43" i="13"/>
  <c r="B52" i="8"/>
  <c r="B47" i="13"/>
  <c r="B89" i="8"/>
  <c r="B15" i="8"/>
  <c r="B13" i="13"/>
  <c r="C48" i="8"/>
  <c r="O10" i="2"/>
  <c r="L12" i="6"/>
  <c r="E11" i="2" s="1"/>
  <c r="H25" i="6"/>
  <c r="F38" i="2"/>
  <c r="D77" i="13" s="1"/>
  <c r="C85" i="8"/>
  <c r="N11" i="2"/>
  <c r="G37" i="2"/>
  <c r="O13" i="6"/>
  <c r="K67" i="6" l="1"/>
  <c r="D44" i="2" s="1"/>
  <c r="B83" i="13" s="1"/>
  <c r="N17" i="6"/>
  <c r="M16" i="2" s="1"/>
  <c r="K17" i="6"/>
  <c r="D16" i="2" s="1"/>
  <c r="P10" i="2"/>
  <c r="D43" i="13"/>
  <c r="C44" i="13"/>
  <c r="B53" i="8"/>
  <c r="B48" i="13"/>
  <c r="G38" i="2"/>
  <c r="B90" i="8"/>
  <c r="C10" i="13"/>
  <c r="B16" i="8"/>
  <c r="B14" i="13"/>
  <c r="L62" i="6"/>
  <c r="E39" i="2" s="1"/>
  <c r="C78" i="13" s="1"/>
  <c r="F11" i="2"/>
  <c r="L13" i="6"/>
  <c r="E12" i="2" s="1"/>
  <c r="C12" i="8"/>
  <c r="H26" i="6"/>
  <c r="O11" i="2"/>
  <c r="C49" i="8"/>
  <c r="N12" i="2"/>
  <c r="L14" i="6"/>
  <c r="N18" i="6" l="1"/>
  <c r="M17" i="2" s="1"/>
  <c r="K68" i="6"/>
  <c r="D45" i="2" s="1"/>
  <c r="B84" i="13" s="1"/>
  <c r="K18" i="6"/>
  <c r="D17" i="2" s="1"/>
  <c r="O18" i="6"/>
  <c r="P11" i="2"/>
  <c r="D44" i="13"/>
  <c r="O12" i="2"/>
  <c r="C45" i="13"/>
  <c r="B54" i="8"/>
  <c r="B49" i="13"/>
  <c r="G11" i="2"/>
  <c r="D10" i="13"/>
  <c r="C11" i="13"/>
  <c r="B17" i="8"/>
  <c r="B15" i="13"/>
  <c r="F39" i="2"/>
  <c r="D78" i="13" s="1"/>
  <c r="C86" i="8"/>
  <c r="L63" i="6"/>
  <c r="E40" i="2" s="1"/>
  <c r="C79" i="13" s="1"/>
  <c r="B91" i="8"/>
  <c r="H27" i="6"/>
  <c r="C13" i="8"/>
  <c r="F12" i="2"/>
  <c r="C50" i="8"/>
  <c r="E13" i="2"/>
  <c r="N13" i="2"/>
  <c r="L64" i="6"/>
  <c r="K19" i="6" l="1"/>
  <c r="D18" i="2" s="1"/>
  <c r="N19" i="6"/>
  <c r="M18" i="2" s="1"/>
  <c r="K69" i="6"/>
  <c r="D46" i="2" s="1"/>
  <c r="B85" i="13" s="1"/>
  <c r="L69" i="6"/>
  <c r="L19" i="6"/>
  <c r="P12" i="2"/>
  <c r="D45" i="13"/>
  <c r="C46" i="13"/>
  <c r="B55" i="8"/>
  <c r="B50" i="13"/>
  <c r="B92" i="8"/>
  <c r="G12" i="2"/>
  <c r="D11" i="13"/>
  <c r="F13" i="2"/>
  <c r="C12" i="13"/>
  <c r="B18" i="8"/>
  <c r="B16" i="13"/>
  <c r="G39" i="2"/>
  <c r="F40" i="2"/>
  <c r="D79" i="13" s="1"/>
  <c r="C87" i="8"/>
  <c r="H28" i="6"/>
  <c r="E41" i="2"/>
  <c r="C80" i="13" s="1"/>
  <c r="C14" i="8"/>
  <c r="O13" i="2"/>
  <c r="C51" i="8"/>
  <c r="E14" i="2"/>
  <c r="O15" i="6"/>
  <c r="N20" i="6" l="1"/>
  <c r="M19" i="2" s="1"/>
  <c r="K20" i="6"/>
  <c r="D19" i="2" s="1"/>
  <c r="K70" i="6"/>
  <c r="D47" i="2" s="1"/>
  <c r="B86" i="13" s="1"/>
  <c r="D12" i="13"/>
  <c r="P13" i="2"/>
  <c r="D46" i="13"/>
  <c r="B56" i="8"/>
  <c r="B51" i="13"/>
  <c r="G40" i="2"/>
  <c r="B93" i="8"/>
  <c r="G13" i="2"/>
  <c r="C15" i="8"/>
  <c r="C13" i="13"/>
  <c r="B19" i="8"/>
  <c r="B17" i="13"/>
  <c r="H29" i="6"/>
  <c r="F41" i="2"/>
  <c r="D80" i="13" s="1"/>
  <c r="C88" i="8"/>
  <c r="E42" i="2"/>
  <c r="C81" i="13" s="1"/>
  <c r="N14" i="2"/>
  <c r="F14" i="2"/>
  <c r="N21" i="6" l="1"/>
  <c r="M20" i="2" s="1"/>
  <c r="K71" i="6"/>
  <c r="D48" i="2" s="1"/>
  <c r="B87" i="13" s="1"/>
  <c r="K21" i="6"/>
  <c r="D20" i="2" s="1"/>
  <c r="C47" i="13"/>
  <c r="B57" i="8"/>
  <c r="B52" i="13"/>
  <c r="G41" i="2"/>
  <c r="B94" i="8"/>
  <c r="G14" i="2"/>
  <c r="D13" i="13"/>
  <c r="B20" i="8"/>
  <c r="B18" i="13"/>
  <c r="O16" i="6"/>
  <c r="N15" i="2" s="1"/>
  <c r="L16" i="6"/>
  <c r="E15" i="2" s="1"/>
  <c r="H30" i="6"/>
  <c r="F42" i="2"/>
  <c r="D81" i="13" s="1"/>
  <c r="C89" i="8"/>
  <c r="O14" i="2"/>
  <c r="C52" i="8"/>
  <c r="L17" i="6"/>
  <c r="O17" i="6"/>
  <c r="K22" i="6" l="1"/>
  <c r="D21" i="2" s="1"/>
  <c r="N22" i="6"/>
  <c r="M21" i="2" s="1"/>
  <c r="K72" i="6"/>
  <c r="D49" i="2" s="1"/>
  <c r="B88" i="13" s="1"/>
  <c r="O22" i="6"/>
  <c r="C48" i="13"/>
  <c r="P14" i="2"/>
  <c r="D47" i="13"/>
  <c r="B58" i="8"/>
  <c r="B53" i="13"/>
  <c r="G42" i="2"/>
  <c r="B95" i="8"/>
  <c r="C14" i="13"/>
  <c r="B21" i="8"/>
  <c r="B19" i="13"/>
  <c r="L66" i="6"/>
  <c r="E43" i="2" s="1"/>
  <c r="C82" i="13" s="1"/>
  <c r="C53" i="8"/>
  <c r="O15" i="2"/>
  <c r="C16" i="8"/>
  <c r="F15" i="2"/>
  <c r="H31" i="6"/>
  <c r="N16" i="2"/>
  <c r="E16" i="2"/>
  <c r="L67" i="6"/>
  <c r="L18" i="6"/>
  <c r="N23" i="6" l="1"/>
  <c r="M22" i="2" s="1"/>
  <c r="K73" i="6"/>
  <c r="D50" i="2" s="1"/>
  <c r="B89" i="13" s="1"/>
  <c r="K23" i="6"/>
  <c r="D22" i="2" s="1"/>
  <c r="O23" i="6"/>
  <c r="L73" i="6"/>
  <c r="L23" i="6"/>
  <c r="C49" i="13"/>
  <c r="P15" i="2"/>
  <c r="D48" i="13"/>
  <c r="B59" i="8"/>
  <c r="B54" i="13"/>
  <c r="C15" i="13"/>
  <c r="G15" i="2"/>
  <c r="D14" i="13"/>
  <c r="B22" i="8"/>
  <c r="B20" i="13"/>
  <c r="C90" i="8"/>
  <c r="F43" i="2"/>
  <c r="D82" i="13" s="1"/>
  <c r="E44" i="2"/>
  <c r="C83" i="13" s="1"/>
  <c r="B96" i="8"/>
  <c r="H32" i="6"/>
  <c r="O16" i="2"/>
  <c r="C54" i="8"/>
  <c r="F16" i="2"/>
  <c r="C17" i="8"/>
  <c r="E17" i="2"/>
  <c r="N17" i="2"/>
  <c r="K24" i="6" l="1"/>
  <c r="D23" i="2" s="1"/>
  <c r="N24" i="6"/>
  <c r="M23" i="2" s="1"/>
  <c r="K74" i="6"/>
  <c r="D51" i="2" s="1"/>
  <c r="B90" i="13" s="1"/>
  <c r="L74" i="6"/>
  <c r="O24" i="6"/>
  <c r="L24" i="6"/>
  <c r="C55" i="8"/>
  <c r="C50" i="13"/>
  <c r="P16" i="2"/>
  <c r="D49" i="13"/>
  <c r="B60" i="8"/>
  <c r="B55" i="13"/>
  <c r="B97" i="8"/>
  <c r="G16" i="2"/>
  <c r="D15" i="13"/>
  <c r="C16" i="13"/>
  <c r="B23" i="8"/>
  <c r="B21" i="13"/>
  <c r="G43" i="2"/>
  <c r="L68" i="6"/>
  <c r="E45" i="2" s="1"/>
  <c r="C84" i="13" s="1"/>
  <c r="C91" i="8"/>
  <c r="F44" i="2"/>
  <c r="D83" i="13" s="1"/>
  <c r="H33" i="6"/>
  <c r="C18" i="8"/>
  <c r="F17" i="2"/>
  <c r="E18" i="2"/>
  <c r="O17" i="2"/>
  <c r="O19" i="6"/>
  <c r="K25" i="6" l="1"/>
  <c r="D24" i="2" s="1"/>
  <c r="N25" i="6"/>
  <c r="M24" i="2" s="1"/>
  <c r="K75" i="6"/>
  <c r="D52" i="2" s="1"/>
  <c r="B91" i="13" s="1"/>
  <c r="O25" i="6"/>
  <c r="L75" i="6"/>
  <c r="L25" i="6"/>
  <c r="P17" i="2"/>
  <c r="D50" i="13"/>
  <c r="B61" i="8"/>
  <c r="B56" i="13"/>
  <c r="G44" i="2"/>
  <c r="B98" i="8"/>
  <c r="G17" i="2"/>
  <c r="D16" i="13"/>
  <c r="C17" i="13"/>
  <c r="B24" i="8"/>
  <c r="B22" i="13"/>
  <c r="C92" i="8"/>
  <c r="F45" i="2"/>
  <c r="D84" i="13" s="1"/>
  <c r="H34" i="6"/>
  <c r="E46" i="2"/>
  <c r="C85" i="13" s="1"/>
  <c r="N18" i="2"/>
  <c r="F18" i="2"/>
  <c r="C19" i="8"/>
  <c r="L20" i="6"/>
  <c r="K26" i="6" l="1"/>
  <c r="D25" i="2" s="1"/>
  <c r="N26" i="6"/>
  <c r="M25" i="2" s="1"/>
  <c r="K76" i="6"/>
  <c r="D53" i="2" s="1"/>
  <c r="B92" i="13" s="1"/>
  <c r="O26" i="6"/>
  <c r="L76" i="6"/>
  <c r="L26" i="6"/>
  <c r="C56" i="8"/>
  <c r="C51" i="13"/>
  <c r="B62" i="8"/>
  <c r="B57" i="13"/>
  <c r="G45" i="2"/>
  <c r="B99" i="8"/>
  <c r="G18" i="2"/>
  <c r="D17" i="13"/>
  <c r="B25" i="8"/>
  <c r="B23" i="13"/>
  <c r="O20" i="6"/>
  <c r="N19" i="2" s="1"/>
  <c r="F46" i="2"/>
  <c r="D85" i="13" s="1"/>
  <c r="C93" i="8"/>
  <c r="O18" i="2"/>
  <c r="E19" i="2"/>
  <c r="L21" i="6"/>
  <c r="L70" i="6"/>
  <c r="B24" i="13" l="1"/>
  <c r="C52" i="13"/>
  <c r="P18" i="2"/>
  <c r="D51" i="13"/>
  <c r="B63" i="8"/>
  <c r="B58" i="13"/>
  <c r="B100" i="8"/>
  <c r="C18" i="13"/>
  <c r="G46" i="2"/>
  <c r="C57" i="8"/>
  <c r="O19" i="2"/>
  <c r="O21" i="6"/>
  <c r="N20" i="2" s="1"/>
  <c r="B26" i="8"/>
  <c r="E47" i="2"/>
  <c r="C86" i="13" s="1"/>
  <c r="F19" i="2"/>
  <c r="C20" i="8"/>
  <c r="E20" i="2"/>
  <c r="L71" i="6"/>
  <c r="C19" i="13" l="1"/>
  <c r="C53" i="13"/>
  <c r="P19" i="2"/>
  <c r="D52" i="13"/>
  <c r="C94" i="8"/>
  <c r="G19" i="2"/>
  <c r="D18" i="13"/>
  <c r="L72" i="6"/>
  <c r="E49" i="2" s="1"/>
  <c r="C88" i="13" s="1"/>
  <c r="C58" i="8"/>
  <c r="O20" i="2"/>
  <c r="L22" i="6"/>
  <c r="E21" i="2" s="1"/>
  <c r="E48" i="2"/>
  <c r="N24" i="2"/>
  <c r="E25" i="2"/>
  <c r="F47" i="2"/>
  <c r="D86" i="13" s="1"/>
  <c r="C21" i="8"/>
  <c r="F20" i="2"/>
  <c r="N22" i="2"/>
  <c r="N21" i="2"/>
  <c r="E22" i="2"/>
  <c r="E50" i="2"/>
  <c r="C89" i="13" s="1"/>
  <c r="E82" i="6"/>
  <c r="E23" i="2" s="1"/>
  <c r="C21" i="13" l="1"/>
  <c r="C57" i="13"/>
  <c r="C24" i="13"/>
  <c r="C54" i="13"/>
  <c r="C87" i="13"/>
  <c r="P20" i="2"/>
  <c r="D53" i="13"/>
  <c r="C55" i="13"/>
  <c r="C20" i="13"/>
  <c r="C24" i="8"/>
  <c r="C22" i="13"/>
  <c r="G20" i="2"/>
  <c r="D19" i="13"/>
  <c r="C96" i="8"/>
  <c r="F49" i="2"/>
  <c r="D88" i="13" s="1"/>
  <c r="G47" i="2"/>
  <c r="C22" i="8"/>
  <c r="F21" i="2"/>
  <c r="F48" i="2"/>
  <c r="D87" i="13" s="1"/>
  <c r="C95" i="8"/>
  <c r="C26" i="8"/>
  <c r="F25" i="2"/>
  <c r="C60" i="8"/>
  <c r="O22" i="2"/>
  <c r="O21" i="2"/>
  <c r="C59" i="8"/>
  <c r="F22" i="2"/>
  <c r="C23" i="8"/>
  <c r="C97" i="8"/>
  <c r="F50" i="2"/>
  <c r="D89" i="13" s="1"/>
  <c r="F23" i="2"/>
  <c r="C62" i="8"/>
  <c r="L12" i="1"/>
  <c r="Q13" i="1" s="1"/>
  <c r="E84" i="6"/>
  <c r="O24" i="2"/>
  <c r="D24" i="13" l="1"/>
  <c r="P22" i="2"/>
  <c r="D55" i="13"/>
  <c r="P24" i="2"/>
  <c r="D57" i="13"/>
  <c r="P21" i="2"/>
  <c r="D54" i="13"/>
  <c r="G48" i="2"/>
  <c r="G49" i="2"/>
  <c r="G50" i="2"/>
  <c r="G22" i="2"/>
  <c r="D21" i="13"/>
  <c r="G23" i="2"/>
  <c r="D22" i="13"/>
  <c r="G21" i="2"/>
  <c r="D20" i="13"/>
  <c r="G25" i="2"/>
  <c r="N23" i="2"/>
  <c r="E85" i="6"/>
  <c r="C56" i="13" l="1"/>
  <c r="C61" i="8"/>
  <c r="O23" i="2"/>
  <c r="F145" i="6"/>
  <c r="E86" i="6" s="1"/>
  <c r="E51" i="2" s="1"/>
  <c r="C90" i="13" s="1"/>
  <c r="D56" i="13" l="1"/>
  <c r="P23" i="2"/>
  <c r="F51" i="2"/>
  <c r="D90" i="13" s="1"/>
  <c r="C98" i="8"/>
  <c r="E52" i="2"/>
  <c r="C91" i="13" s="1"/>
  <c r="F146" i="6"/>
  <c r="E87" i="6" s="1"/>
  <c r="E53" i="2"/>
  <c r="C92" i="13" s="1"/>
  <c r="G51" i="2" l="1"/>
  <c r="N25" i="2"/>
  <c r="F147" i="6"/>
  <c r="E3" i="6" s="1"/>
  <c r="E4" i="6" s="1"/>
  <c r="E9" i="6" s="1"/>
  <c r="E4" i="1" s="1"/>
  <c r="E24" i="2"/>
  <c r="F52" i="2"/>
  <c r="D91" i="13" s="1"/>
  <c r="C99" i="8"/>
  <c r="J35" i="2"/>
  <c r="C100" i="8"/>
  <c r="F53" i="2"/>
  <c r="D92" i="13" l="1"/>
  <c r="C103" i="8"/>
  <c r="C58" i="13"/>
  <c r="C23" i="13"/>
  <c r="G52" i="2"/>
  <c r="G53" i="2"/>
  <c r="F54" i="2"/>
  <c r="F24" i="2"/>
  <c r="C63" i="8"/>
  <c r="O25" i="2"/>
  <c r="C66" i="8" s="1"/>
  <c r="S7" i="2"/>
  <c r="D3" i="6"/>
  <c r="D4" i="6" s="1"/>
  <c r="D9" i="6" s="1"/>
  <c r="D4" i="1" s="1"/>
  <c r="J7" i="2"/>
  <c r="C25" i="8"/>
  <c r="G54" i="2" l="1"/>
  <c r="J40" i="2" s="1"/>
  <c r="F55" i="2" s="1"/>
  <c r="D58" i="13"/>
  <c r="C29" i="8"/>
  <c r="D23" i="13"/>
  <c r="P25" i="2"/>
  <c r="P26" i="2" s="1"/>
  <c r="O26" i="2"/>
  <c r="G24" i="2"/>
  <c r="G26" i="2" s="1"/>
  <c r="F26" i="2"/>
  <c r="C3" i="6"/>
  <c r="C4" i="6" s="1"/>
  <c r="C9" i="6" s="1"/>
  <c r="D96" i="8" l="1"/>
  <c r="H96" i="8" s="1"/>
  <c r="I96" i="8" s="1"/>
  <c r="J96" i="8" s="1" a="1"/>
  <c r="J96" i="8" s="1"/>
  <c r="E96" i="8" s="1"/>
  <c r="F96" i="8" s="1"/>
  <c r="K96" i="8" s="1"/>
  <c r="J12" i="2"/>
  <c r="F27" i="2" s="1"/>
  <c r="G12" i="12"/>
  <c r="J12" i="12" s="1"/>
  <c r="K12" i="12" s="1"/>
  <c r="L12" i="12" s="1"/>
  <c r="S12" i="2"/>
  <c r="O27" i="2" s="1"/>
  <c r="D85" i="8"/>
  <c r="H85" i="8" s="1"/>
  <c r="I85" i="8" s="1"/>
  <c r="J85" i="8" s="1" a="1"/>
  <c r="J85" i="8" s="1"/>
  <c r="E85" i="8" s="1"/>
  <c r="F85" i="8" s="1"/>
  <c r="K85" i="8" s="1"/>
  <c r="D97" i="8"/>
  <c r="H97" i="8" s="1"/>
  <c r="I97" i="8" s="1"/>
  <c r="J97" i="8" s="1" a="1"/>
  <c r="J97" i="8" s="1"/>
  <c r="E97" i="8" s="1"/>
  <c r="F97" i="8" s="1"/>
  <c r="K97" i="8" s="1"/>
  <c r="D98" i="8"/>
  <c r="H98" i="8" s="1"/>
  <c r="I98" i="8" s="1"/>
  <c r="J98" i="8" s="1" a="1"/>
  <c r="J98" i="8" s="1"/>
  <c r="E98" i="8" s="1"/>
  <c r="F98" i="8" s="1"/>
  <c r="K98" i="8" s="1"/>
  <c r="D92" i="8"/>
  <c r="H92" i="8" s="1"/>
  <c r="I92" i="8" s="1"/>
  <c r="J92" i="8" s="1" a="1"/>
  <c r="J92" i="8" s="1"/>
  <c r="E92" i="8" s="1"/>
  <c r="F92" i="8" s="1"/>
  <c r="K92" i="8" s="1"/>
  <c r="D93" i="8"/>
  <c r="H93" i="8" s="1"/>
  <c r="I93" i="8" s="1"/>
  <c r="J93" i="8" s="1" a="1"/>
  <c r="J93" i="8" s="1"/>
  <c r="E93" i="8" s="1"/>
  <c r="F93" i="8" s="1"/>
  <c r="K93" i="8" s="1"/>
  <c r="D83" i="8"/>
  <c r="H83" i="8" s="1"/>
  <c r="I83" i="8" s="1"/>
  <c r="J83" i="8" s="1" a="1"/>
  <c r="J83" i="8" s="1"/>
  <c r="E83" i="8" s="1"/>
  <c r="F83" i="8" s="1"/>
  <c r="K83" i="8" s="1"/>
  <c r="D89" i="8"/>
  <c r="H89" i="8" s="1"/>
  <c r="I89" i="8" s="1"/>
  <c r="J89" i="8" s="1" a="1"/>
  <c r="J89" i="8" s="1"/>
  <c r="E89" i="8" s="1"/>
  <c r="F89" i="8" s="1"/>
  <c r="K89" i="8" s="1"/>
  <c r="D84" i="8"/>
  <c r="H84" i="8" s="1"/>
  <c r="I84" i="8" s="1"/>
  <c r="J84" i="8" s="1" a="1"/>
  <c r="J84" i="8" s="1"/>
  <c r="E84" i="8" s="1"/>
  <c r="F84" i="8" s="1"/>
  <c r="K84" i="8" s="1"/>
  <c r="D87" i="8"/>
  <c r="H87" i="8" s="1"/>
  <c r="I87" i="8" s="1"/>
  <c r="J87" i="8" s="1" a="1"/>
  <c r="J87" i="8" s="1"/>
  <c r="E87" i="8" s="1"/>
  <c r="F87" i="8" s="1"/>
  <c r="K87" i="8" s="1"/>
  <c r="D91" i="8"/>
  <c r="H91" i="8" s="1"/>
  <c r="I91" i="8" s="1"/>
  <c r="J91" i="8" s="1" a="1"/>
  <c r="J91" i="8" s="1"/>
  <c r="E91" i="8" s="1"/>
  <c r="F91" i="8" s="1"/>
  <c r="K91" i="8" s="1"/>
  <c r="D82" i="8"/>
  <c r="H82" i="8" s="1"/>
  <c r="I82" i="8" s="1"/>
  <c r="J82" i="8" s="1" a="1"/>
  <c r="J82" i="8" s="1"/>
  <c r="E82" i="8" s="1"/>
  <c r="F82" i="8" s="1"/>
  <c r="K82" i="8" s="1"/>
  <c r="D81" i="8"/>
  <c r="H81" i="8" s="1"/>
  <c r="I81" i="8" s="1"/>
  <c r="J81" i="8" s="1" a="1"/>
  <c r="J81" i="8" s="1"/>
  <c r="E81" i="8" s="1"/>
  <c r="F81" i="8" s="1"/>
  <c r="K81" i="8" s="1"/>
  <c r="D95" i="8"/>
  <c r="H95" i="8" s="1"/>
  <c r="I95" i="8" s="1"/>
  <c r="J95" i="8" s="1" a="1"/>
  <c r="J95" i="8" s="1"/>
  <c r="E95" i="8" s="1"/>
  <c r="F95" i="8" s="1"/>
  <c r="K95" i="8" s="1"/>
  <c r="D86" i="8"/>
  <c r="H86" i="8" s="1"/>
  <c r="I86" i="8" s="1"/>
  <c r="J86" i="8" s="1" a="1"/>
  <c r="J86" i="8" s="1"/>
  <c r="E86" i="8" s="1"/>
  <c r="F86" i="8" s="1"/>
  <c r="K86" i="8" s="1"/>
  <c r="E108" i="8"/>
  <c r="D94" i="8"/>
  <c r="H94" i="8" s="1"/>
  <c r="I94" i="8" s="1"/>
  <c r="J94" i="8" s="1" a="1"/>
  <c r="J94" i="8" s="1"/>
  <c r="E94" i="8" s="1"/>
  <c r="F94" i="8" s="1"/>
  <c r="K94" i="8" s="1"/>
  <c r="D100" i="8"/>
  <c r="H100" i="8" s="1"/>
  <c r="I100" i="8" s="1"/>
  <c r="J100" i="8" s="1" a="1"/>
  <c r="J100" i="8" s="1"/>
  <c r="E100" i="8" s="1"/>
  <c r="F100" i="8" s="1"/>
  <c r="K100" i="8" s="1"/>
  <c r="D90" i="8"/>
  <c r="H90" i="8" s="1"/>
  <c r="I90" i="8" s="1"/>
  <c r="J90" i="8" s="1" a="1"/>
  <c r="J90" i="8" s="1"/>
  <c r="E90" i="8" s="1"/>
  <c r="F90" i="8" s="1"/>
  <c r="K90" i="8" s="1"/>
  <c r="D88" i="8"/>
  <c r="H88" i="8" s="1"/>
  <c r="I88" i="8" s="1"/>
  <c r="J88" i="8" s="1" a="1"/>
  <c r="J88" i="8" s="1"/>
  <c r="E88" i="8" s="1"/>
  <c r="F88" i="8" s="1"/>
  <c r="K88" i="8" s="1"/>
  <c r="D99" i="8"/>
  <c r="H99" i="8" s="1"/>
  <c r="I99" i="8" s="1"/>
  <c r="J99" i="8" s="1" a="1"/>
  <c r="J99" i="8" s="1"/>
  <c r="E99" i="8" s="1"/>
  <c r="F99" i="8" s="1"/>
  <c r="K99" i="8" s="1"/>
  <c r="C4" i="1"/>
  <c r="B81" i="6"/>
  <c r="M12" i="12" l="1"/>
  <c r="G13" i="12"/>
  <c r="I13" i="12" s="1"/>
  <c r="K13" i="12" s="1"/>
  <c r="M13" i="12" s="1"/>
  <c r="D7" i="8"/>
  <c r="H7" i="8" s="1"/>
  <c r="I7" i="8" s="1"/>
  <c r="J7" i="8" s="1" a="1"/>
  <c r="J7" i="8" s="1"/>
  <c r="E7" i="8" s="1"/>
  <c r="F7" i="8" s="1"/>
  <c r="K7" i="8" s="1"/>
  <c r="D54" i="8"/>
  <c r="H54" i="8" s="1"/>
  <c r="I54" i="8" s="1"/>
  <c r="J54" i="8" s="1" a="1"/>
  <c r="J54" i="8" s="1"/>
  <c r="E54" i="8" s="1"/>
  <c r="F54" i="8" s="1"/>
  <c r="K54" i="8" s="1"/>
  <c r="K101" i="8"/>
  <c r="E109" i="8" s="1"/>
  <c r="F101" i="8"/>
  <c r="G4" i="1"/>
  <c r="G7" i="1" s="1"/>
  <c r="Q4" i="1"/>
  <c r="E111" i="8" l="1"/>
  <c r="E110" i="8"/>
  <c r="D26" i="8"/>
  <c r="H26" i="8" s="1"/>
  <c r="I26" i="8" s="1"/>
  <c r="J26" i="8" s="1" a="1"/>
  <c r="J26" i="8" s="1"/>
  <c r="E26" i="8" s="1"/>
  <c r="F26" i="8" s="1"/>
  <c r="K26" i="8" s="1"/>
  <c r="D13" i="8"/>
  <c r="H13" i="8" s="1"/>
  <c r="I13" i="8" s="1"/>
  <c r="J13" i="8" s="1" a="1"/>
  <c r="J13" i="8" s="1"/>
  <c r="E13" i="8" s="1"/>
  <c r="F13" i="8" s="1"/>
  <c r="K13" i="8" s="1"/>
  <c r="D51" i="8"/>
  <c r="H51" i="8" s="1"/>
  <c r="I51" i="8" s="1"/>
  <c r="J51" i="8" s="1" a="1"/>
  <c r="J51" i="8" s="1"/>
  <c r="E51" i="8" s="1"/>
  <c r="F51" i="8" s="1"/>
  <c r="K51" i="8" s="1"/>
  <c r="D52" i="8"/>
  <c r="H52" i="8" s="1"/>
  <c r="I52" i="8" s="1"/>
  <c r="J52" i="8" s="1" a="1"/>
  <c r="J52" i="8" s="1"/>
  <c r="E52" i="8" s="1"/>
  <c r="F52" i="8" s="1"/>
  <c r="K52" i="8" s="1"/>
  <c r="D47" i="8"/>
  <c r="H47" i="8" s="1"/>
  <c r="I47" i="8" s="1"/>
  <c r="J47" i="8" s="1" a="1"/>
  <c r="J47" i="8" s="1"/>
  <c r="E47" i="8" s="1"/>
  <c r="F47" i="8" s="1"/>
  <c r="K47" i="8" s="1"/>
  <c r="D63" i="8"/>
  <c r="H63" i="8" s="1"/>
  <c r="I63" i="8" s="1"/>
  <c r="J63" i="8" s="1" a="1"/>
  <c r="J63" i="8" s="1"/>
  <c r="E63" i="8" s="1"/>
  <c r="F63" i="8" s="1"/>
  <c r="K63" i="8" s="1"/>
  <c r="D24" i="8"/>
  <c r="H24" i="8" s="1"/>
  <c r="I24" i="8" s="1"/>
  <c r="J24" i="8" s="1" a="1"/>
  <c r="J24" i="8" s="1"/>
  <c r="E24" i="8" s="1"/>
  <c r="F24" i="8" s="1"/>
  <c r="K24" i="8" s="1"/>
  <c r="D20" i="8"/>
  <c r="H20" i="8" s="1"/>
  <c r="I20" i="8" s="1"/>
  <c r="J20" i="8" s="1" a="1"/>
  <c r="J20" i="8" s="1"/>
  <c r="E20" i="8" s="1"/>
  <c r="F20" i="8" s="1"/>
  <c r="K20" i="8" s="1"/>
  <c r="L13" i="12"/>
  <c r="D11" i="8"/>
  <c r="H11" i="8" s="1"/>
  <c r="I11" i="8" s="1"/>
  <c r="J11" i="8" s="1" a="1"/>
  <c r="J11" i="8" s="1"/>
  <c r="E11" i="8" s="1"/>
  <c r="F11" i="8" s="1"/>
  <c r="K11" i="8" s="1"/>
  <c r="D8" i="8"/>
  <c r="H8" i="8" s="1"/>
  <c r="I8" i="8" s="1"/>
  <c r="J8" i="8" s="1" a="1"/>
  <c r="J8" i="8" s="1"/>
  <c r="E8" i="8" s="1"/>
  <c r="F8" i="8" s="1"/>
  <c r="K8" i="8" s="1"/>
  <c r="E34" i="8"/>
  <c r="D59" i="8"/>
  <c r="H59" i="8" s="1"/>
  <c r="I59" i="8" s="1"/>
  <c r="J59" i="8" s="1" a="1"/>
  <c r="J59" i="8" s="1"/>
  <c r="E59" i="8" s="1"/>
  <c r="F59" i="8" s="1"/>
  <c r="K59" i="8" s="1"/>
  <c r="D46" i="8"/>
  <c r="H46" i="8" s="1"/>
  <c r="I46" i="8" s="1"/>
  <c r="J46" i="8" s="1" a="1"/>
  <c r="J46" i="8" s="1"/>
  <c r="E46" i="8" s="1"/>
  <c r="F46" i="8" s="1"/>
  <c r="K46" i="8" s="1"/>
  <c r="D49" i="8"/>
  <c r="H49" i="8" s="1"/>
  <c r="I49" i="8" s="1"/>
  <c r="J49" i="8" s="1" a="1"/>
  <c r="J49" i="8" s="1"/>
  <c r="E49" i="8" s="1"/>
  <c r="F49" i="8" s="1"/>
  <c r="K49" i="8" s="1"/>
  <c r="D58" i="8"/>
  <c r="H58" i="8" s="1"/>
  <c r="I58" i="8" s="1"/>
  <c r="J58" i="8" s="1" a="1"/>
  <c r="J58" i="8" s="1"/>
  <c r="E58" i="8" s="1"/>
  <c r="F58" i="8" s="1"/>
  <c r="K58" i="8" s="1"/>
  <c r="D45" i="8"/>
  <c r="H45" i="8" s="1"/>
  <c r="I45" i="8" s="1"/>
  <c r="J45" i="8" s="1" a="1"/>
  <c r="J45" i="8" s="1"/>
  <c r="E45" i="8" s="1"/>
  <c r="F45" i="8" s="1"/>
  <c r="K45" i="8" s="1"/>
  <c r="D55" i="8"/>
  <c r="H55" i="8" s="1"/>
  <c r="I55" i="8" s="1"/>
  <c r="J55" i="8" s="1" a="1"/>
  <c r="J55" i="8" s="1"/>
  <c r="E55" i="8" s="1"/>
  <c r="F55" i="8" s="1"/>
  <c r="K55" i="8" s="1"/>
  <c r="E71" i="8"/>
  <c r="D15" i="8"/>
  <c r="H15" i="8" s="1"/>
  <c r="I15" i="8" s="1"/>
  <c r="J15" i="8" s="1" a="1"/>
  <c r="J15" i="8" s="1"/>
  <c r="E15" i="8" s="1"/>
  <c r="F15" i="8" s="1"/>
  <c r="K15" i="8" s="1"/>
  <c r="D16" i="8"/>
  <c r="H16" i="8" s="1"/>
  <c r="I16" i="8" s="1"/>
  <c r="J16" i="8" s="1" a="1"/>
  <c r="J16" i="8" s="1"/>
  <c r="E16" i="8" s="1"/>
  <c r="F16" i="8" s="1"/>
  <c r="K16" i="8" s="1"/>
  <c r="D21" i="8"/>
  <c r="H21" i="8" s="1"/>
  <c r="I21" i="8" s="1"/>
  <c r="J21" i="8" s="1" a="1"/>
  <c r="J21" i="8" s="1"/>
  <c r="E21" i="8" s="1"/>
  <c r="F21" i="8" s="1"/>
  <c r="K21" i="8" s="1"/>
  <c r="D23" i="8"/>
  <c r="H23" i="8" s="1"/>
  <c r="I23" i="8" s="1"/>
  <c r="J23" i="8" s="1" a="1"/>
  <c r="J23" i="8" s="1"/>
  <c r="E23" i="8" s="1"/>
  <c r="F23" i="8" s="1"/>
  <c r="K23" i="8" s="1"/>
  <c r="D19" i="8"/>
  <c r="H19" i="8" s="1"/>
  <c r="I19" i="8" s="1"/>
  <c r="J19" i="8" s="1" a="1"/>
  <c r="J19" i="8" s="1"/>
  <c r="E19" i="8" s="1"/>
  <c r="F19" i="8" s="1"/>
  <c r="K19" i="8" s="1"/>
  <c r="D18" i="8"/>
  <c r="H18" i="8" s="1"/>
  <c r="I18" i="8" s="1"/>
  <c r="J18" i="8" s="1" a="1"/>
  <c r="J18" i="8" s="1"/>
  <c r="E18" i="8" s="1"/>
  <c r="F18" i="8" s="1"/>
  <c r="K18" i="8" s="1"/>
  <c r="D10" i="8"/>
  <c r="H10" i="8" s="1"/>
  <c r="I10" i="8" s="1"/>
  <c r="J10" i="8" s="1" a="1"/>
  <c r="J10" i="8" s="1"/>
  <c r="E10" i="8" s="1"/>
  <c r="F10" i="8" s="1"/>
  <c r="K10" i="8" s="1"/>
  <c r="D25" i="8"/>
  <c r="H25" i="8" s="1"/>
  <c r="I25" i="8" s="1"/>
  <c r="J25" i="8" s="1" a="1"/>
  <c r="J25" i="8" s="1"/>
  <c r="E25" i="8" s="1"/>
  <c r="F25" i="8" s="1"/>
  <c r="K25" i="8" s="1"/>
  <c r="D9" i="8"/>
  <c r="H9" i="8" s="1"/>
  <c r="I9" i="8" s="1"/>
  <c r="J9" i="8" s="1" a="1"/>
  <c r="J9" i="8" s="1"/>
  <c r="E9" i="8" s="1"/>
  <c r="F9" i="8" s="1"/>
  <c r="K9" i="8" s="1"/>
  <c r="D22" i="8"/>
  <c r="H22" i="8" s="1"/>
  <c r="I22" i="8" s="1"/>
  <c r="J22" i="8" s="1" a="1"/>
  <c r="J22" i="8" s="1"/>
  <c r="E22" i="8" s="1"/>
  <c r="F22" i="8" s="1"/>
  <c r="K22" i="8" s="1"/>
  <c r="D17" i="8"/>
  <c r="H17" i="8" s="1"/>
  <c r="I17" i="8" s="1"/>
  <c r="J17" i="8" s="1" a="1"/>
  <c r="J17" i="8" s="1"/>
  <c r="E17" i="8" s="1"/>
  <c r="F17" i="8" s="1"/>
  <c r="K17" i="8" s="1"/>
  <c r="D12" i="8"/>
  <c r="H12" i="8" s="1"/>
  <c r="I12" i="8" s="1"/>
  <c r="J12" i="8" s="1" a="1"/>
  <c r="J12" i="8" s="1"/>
  <c r="E12" i="8" s="1"/>
  <c r="F12" i="8" s="1"/>
  <c r="K12" i="8" s="1"/>
  <c r="D14" i="8"/>
  <c r="H14" i="8" s="1"/>
  <c r="I14" i="8" s="1"/>
  <c r="J14" i="8" s="1" a="1"/>
  <c r="J14" i="8" s="1"/>
  <c r="E14" i="8" s="1"/>
  <c r="F14" i="8" s="1"/>
  <c r="K14" i="8" s="1"/>
  <c r="D53" i="8"/>
  <c r="H53" i="8" s="1"/>
  <c r="I53" i="8" s="1"/>
  <c r="J53" i="8" s="1" a="1"/>
  <c r="J53" i="8" s="1"/>
  <c r="E53" i="8" s="1"/>
  <c r="F53" i="8" s="1"/>
  <c r="K53" i="8" s="1"/>
  <c r="D57" i="8"/>
  <c r="H57" i="8" s="1"/>
  <c r="I57" i="8" s="1"/>
  <c r="J57" i="8" s="1" a="1"/>
  <c r="J57" i="8" s="1"/>
  <c r="E57" i="8" s="1"/>
  <c r="F57" i="8" s="1"/>
  <c r="K57" i="8" s="1"/>
  <c r="D44" i="8"/>
  <c r="H44" i="8" s="1"/>
  <c r="I44" i="8" s="1"/>
  <c r="J44" i="8" s="1" a="1"/>
  <c r="J44" i="8" s="1"/>
  <c r="E44" i="8" s="1"/>
  <c r="F44" i="8" s="1"/>
  <c r="K44" i="8" s="1"/>
  <c r="D56" i="8"/>
  <c r="H56" i="8" s="1"/>
  <c r="I56" i="8" s="1"/>
  <c r="J56" i="8" s="1" a="1"/>
  <c r="J56" i="8" s="1"/>
  <c r="E56" i="8" s="1"/>
  <c r="F56" i="8" s="1"/>
  <c r="K56" i="8" s="1"/>
  <c r="D50" i="8"/>
  <c r="H50" i="8" s="1"/>
  <c r="I50" i="8" s="1"/>
  <c r="J50" i="8" s="1" a="1"/>
  <c r="J50" i="8" s="1"/>
  <c r="E50" i="8" s="1"/>
  <c r="F50" i="8" s="1"/>
  <c r="K50" i="8" s="1"/>
  <c r="D48" i="8"/>
  <c r="H48" i="8" s="1"/>
  <c r="I48" i="8" s="1"/>
  <c r="J48" i="8" s="1" a="1"/>
  <c r="J48" i="8" s="1"/>
  <c r="E48" i="8" s="1"/>
  <c r="F48" i="8" s="1"/>
  <c r="K48" i="8" s="1"/>
  <c r="D61" i="8"/>
  <c r="H61" i="8" s="1"/>
  <c r="I61" i="8" s="1"/>
  <c r="J61" i="8" s="1" a="1"/>
  <c r="J61" i="8" s="1"/>
  <c r="E61" i="8" s="1"/>
  <c r="F61" i="8" s="1"/>
  <c r="K61" i="8" s="1"/>
  <c r="D62" i="8"/>
  <c r="H62" i="8" s="1"/>
  <c r="I62" i="8" s="1"/>
  <c r="J62" i="8" s="1" a="1"/>
  <c r="J62" i="8" s="1"/>
  <c r="E62" i="8" s="1"/>
  <c r="F62" i="8" s="1"/>
  <c r="K62" i="8" s="1"/>
  <c r="D60" i="8"/>
  <c r="H60" i="8" s="1"/>
  <c r="I60" i="8" s="1"/>
  <c r="J60" i="8" s="1" a="1"/>
  <c r="J60" i="8" s="1"/>
  <c r="E60" i="8" s="1"/>
  <c r="F60" i="8" s="1"/>
  <c r="K60" i="8" s="1"/>
  <c r="Q6" i="1"/>
  <c r="G8" i="1"/>
  <c r="F27" i="8" l="1"/>
  <c r="K27" i="8"/>
  <c r="E35" i="8" s="1"/>
  <c r="F64" i="8"/>
  <c r="K64" i="8"/>
  <c r="E72" i="8" s="1"/>
  <c r="L13" i="1"/>
  <c r="Q7" i="1"/>
  <c r="L8" i="1"/>
  <c r="E73" i="8" l="1"/>
  <c r="E74" i="8"/>
  <c r="E36" i="8"/>
  <c r="E37" i="8"/>
  <c r="L9" i="1"/>
  <c r="Q10" i="1"/>
  <c r="Q14" i="1"/>
  <c r="L15" i="1"/>
  <c r="I17" i="1" l="1"/>
  <c r="Q12" i="1"/>
  <c r="E27" i="13" l="1"/>
  <c r="E61" i="13" l="1"/>
  <c r="E29" i="13"/>
  <c r="E10" i="12" s="1"/>
  <c r="G10" i="12" s="1"/>
  <c r="I10" i="12" s="1"/>
  <c r="K10" i="12" l="1"/>
  <c r="E95" i="13"/>
  <c r="M28" i="13"/>
  <c r="M27" i="13"/>
  <c r="H27" i="13"/>
  <c r="M10" i="12" l="1"/>
  <c r="L10" i="12"/>
  <c r="E63" i="13"/>
  <c r="E11" i="12" s="1"/>
  <c r="G11" i="12" s="1"/>
  <c r="J11" i="12" s="1"/>
  <c r="E97" i="13"/>
  <c r="E14" i="12" s="1"/>
  <c r="G14" i="12" s="1"/>
  <c r="I14" i="12" s="1"/>
  <c r="H61" i="13"/>
  <c r="M61" i="13"/>
  <c r="M62" i="13"/>
  <c r="H28" i="13"/>
  <c r="K4" i="13" s="1"/>
  <c r="I5" i="13"/>
  <c r="M96" i="13"/>
  <c r="M95" i="13"/>
  <c r="H95" i="13"/>
  <c r="K14" i="12" l="1"/>
  <c r="I15" i="12"/>
  <c r="K11" i="12"/>
  <c r="J15" i="12"/>
  <c r="H24" i="12" s="1"/>
  <c r="G5" i="13"/>
  <c r="I6" i="13"/>
  <c r="J6" i="13" s="1"/>
  <c r="H5" i="13" s="1"/>
  <c r="H96" i="13"/>
  <c r="K72" i="13" s="1"/>
  <c r="I73" i="13"/>
  <c r="H62" i="13"/>
  <c r="K38" i="13" s="1"/>
  <c r="I39" i="13"/>
  <c r="H21" i="12" l="1"/>
  <c r="H27" i="12"/>
  <c r="F35" i="12" s="1"/>
  <c r="I16" i="12"/>
  <c r="I17" i="12"/>
  <c r="M14" i="12"/>
  <c r="L14" i="12"/>
  <c r="J16" i="12"/>
  <c r="J17" i="12"/>
  <c r="M11" i="12"/>
  <c r="L11" i="12"/>
  <c r="L16" i="12" s="1"/>
  <c r="K15" i="12"/>
  <c r="F5" i="13"/>
  <c r="I40" i="13"/>
  <c r="G39" i="13"/>
  <c r="G6" i="13"/>
  <c r="I7" i="13"/>
  <c r="J7" i="13" s="1"/>
  <c r="H6" i="13" s="1"/>
  <c r="I74" i="13"/>
  <c r="F37" i="12" l="1"/>
  <c r="F39" i="12" s="1"/>
  <c r="F41" i="12"/>
  <c r="H26" i="12"/>
  <c r="M17" i="12"/>
  <c r="H23" i="12"/>
  <c r="H29" i="12"/>
  <c r="H35" i="12" s="1"/>
  <c r="H25" i="12"/>
  <c r="H22" i="12"/>
  <c r="H28" i="12"/>
  <c r="F6" i="13"/>
  <c r="E6" i="13" s="1"/>
  <c r="G7" i="13"/>
  <c r="I8" i="13"/>
  <c r="I75" i="13"/>
  <c r="G40" i="13"/>
  <c r="I41" i="13"/>
  <c r="E5" i="13"/>
  <c r="J74" i="13"/>
  <c r="H73" i="13" s="1"/>
  <c r="J40" i="13"/>
  <c r="H39" i="13" s="1"/>
  <c r="G35" i="12" l="1"/>
  <c r="G49" i="12" s="1"/>
  <c r="G45" i="12"/>
  <c r="G47" i="12"/>
  <c r="G37" i="12"/>
  <c r="G39" i="12" s="1"/>
  <c r="G43" i="12"/>
  <c r="G41" i="12"/>
  <c r="H37" i="12"/>
  <c r="H39" i="12" s="1"/>
  <c r="H41" i="12"/>
  <c r="F73" i="13"/>
  <c r="I9" i="13"/>
  <c r="G8" i="13"/>
  <c r="J8" i="13"/>
  <c r="H7" i="13" s="1"/>
  <c r="I76" i="13"/>
  <c r="J75" i="13"/>
  <c r="H74" i="13" s="1"/>
  <c r="F74" i="13" s="1"/>
  <c r="E74" i="13" s="1"/>
  <c r="I42" i="13"/>
  <c r="J42" i="13" s="1"/>
  <c r="G41" i="13"/>
  <c r="F39" i="13"/>
  <c r="J41" i="13"/>
  <c r="H40" i="13" s="1"/>
  <c r="F40" i="13" s="1"/>
  <c r="E40" i="13" s="1"/>
  <c r="H41" i="13" l="1"/>
  <c r="F41" i="13" s="1"/>
  <c r="E41" i="13" s="1"/>
  <c r="I77" i="13"/>
  <c r="I43" i="13"/>
  <c r="J43" i="13" s="1"/>
  <c r="H42" i="13" s="1"/>
  <c r="G42" i="13"/>
  <c r="J76" i="13"/>
  <c r="H75" i="13" s="1"/>
  <c r="F75" i="13" s="1"/>
  <c r="E75" i="13" s="1"/>
  <c r="J9" i="13"/>
  <c r="H8" i="13" s="1"/>
  <c r="F8" i="13" s="1"/>
  <c r="E8" i="13" s="1"/>
  <c r="E73" i="13"/>
  <c r="E39" i="13"/>
  <c r="F7" i="13"/>
  <c r="F42" i="13" l="1"/>
  <c r="I78" i="13"/>
  <c r="G43" i="13"/>
  <c r="I44" i="13"/>
  <c r="E7" i="13"/>
  <c r="J77" i="13"/>
  <c r="H76" i="13" s="1"/>
  <c r="F76" i="13" s="1"/>
  <c r="E76" i="13" s="1"/>
  <c r="J44" i="13" l="1"/>
  <c r="H43" i="13" s="1"/>
  <c r="F43" i="13" s="1"/>
  <c r="E43" i="13" s="1"/>
  <c r="I79" i="13"/>
  <c r="J78" i="13"/>
  <c r="H77" i="13" s="1"/>
  <c r="F77" i="13" s="1"/>
  <c r="E77" i="13" s="1"/>
  <c r="E42" i="13"/>
  <c r="J79" i="13" l="1"/>
  <c r="H78" i="13" s="1"/>
  <c r="F78" i="13" l="1"/>
  <c r="E78" i="13" l="1"/>
  <c r="O42" i="13"/>
  <c r="O39" i="13"/>
  <c r="F44" i="13"/>
  <c r="O8" i="13"/>
  <c r="O5" i="13"/>
  <c r="F9" i="13"/>
  <c r="H9" i="13"/>
  <c r="E44" i="13"/>
  <c r="O40" i="13"/>
  <c r="O43" i="13"/>
  <c r="O45" i="13"/>
  <c r="N47" i="13"/>
  <c r="H44" i="13"/>
  <c r="H79" i="13"/>
  <c r="E9" i="13"/>
  <c r="O6" i="13"/>
  <c r="O9" i="13"/>
  <c r="O11" i="13"/>
  <c r="N13" i="13"/>
  <c r="E79" i="13"/>
  <c r="O74" i="13"/>
  <c r="O77" i="13"/>
  <c r="O79" i="13"/>
  <c r="N81" i="13"/>
  <c r="F79" i="13"/>
  <c r="O73" i="13"/>
  <c r="O76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<sst xmlns="http://schemas.openxmlformats.org/spreadsheetml/2006/main" count="366" uniqueCount="165">
  <si>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</si>
  <si>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</si>
  <si>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</si>
  <si>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</si>
  <si>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</si>
  <si>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</si>
  <si>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</si>
  <si>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</si>
  <si>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</si>
  <si>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</si>
  <si>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</si>
  <si>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</si>
  <si>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</si>
  <si>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</si>
  <si>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</si>
  <si>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</si>
  <si>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</si>
  <si>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</si>
  <si>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</si>
  <si>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</si>
  <si>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</si>
  <si>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</si>
  <si>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</si>
  <si>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</si>
  <si>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</si>
  <si>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</si>
  <si>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</si>
  <si>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</si>
  <si>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</si>
  <si>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</si>
  <si>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</si>
  <si>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Necesidades Personales</t>
  </si>
  <si>
    <t>PIE</t>
  </si>
  <si>
    <t>Postura (P)</t>
  </si>
  <si>
    <t>Fuerza (F)</t>
  </si>
  <si>
    <t>Iluminación (I)</t>
  </si>
  <si>
    <t>Condiciones Atmosféricas (CA)</t>
  </si>
  <si>
    <t>Concentración Intensa (CI)</t>
  </si>
  <si>
    <t>Ruido (R)</t>
  </si>
  <si>
    <t>Tensión Mental (TM)</t>
  </si>
  <si>
    <t>Monotomía (M)</t>
  </si>
  <si>
    <t>Tedio (T)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</si>
  <si>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</si>
  <si>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</si>
  <si>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</si>
  <si>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</si>
  <si>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</si>
  <si>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</si>
  <si>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</si>
  <si>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</si>
  <si>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</si>
  <si>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</si>
  <si>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</si>
  <si>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</si>
  <si>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</si>
  <si>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</si>
  <si>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</si>
  <si>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</si>
  <si>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</si>
  <si>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Producción (Pantalón/hora)</t>
  </si>
  <si>
    <t>Saturación (%)</t>
  </si>
  <si>
    <t>Capacidad de Atención ("n" máq.)</t>
  </si>
  <si>
    <t>Eficiencia de la máquina (%)</t>
  </si>
  <si>
    <t>-</t>
  </si>
  <si>
    <t>Producción teórica  (Pt/hora)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</si>
  <si>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</si>
  <si>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</si>
  <si>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</si>
  <si>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</si>
  <si>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</si>
  <si>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</si>
  <si>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</si>
  <si>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</si>
  <si>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</si>
  <si>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</si>
  <si>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</si>
  <si>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</si>
  <si>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</si>
  <si>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</si>
  <si>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</si>
  <si>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</si>
  <si>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</si>
  <si>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</si>
  <si>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</si>
  <si>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</si>
  <si>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</si>
  <si>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</si>
  <si>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</si>
  <si>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</si>
  <si>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</si>
  <si>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</si>
  <si>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</si>
  <si>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</si>
  <si>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</si>
  <si>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</si>
  <si>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</si>
  <si>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</si>
  <si>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</si>
  <si>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</si>
  <si>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</si>
  <si>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</si>
  <si>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</si>
  <si>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</si>
  <si>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</si>
  <si>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</si>
  <si>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</si>
  <si>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</si>
  <si>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</si>
  <si>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</si>
  <si>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</si>
  <si>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</si>
  <si>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</si>
  <si>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</si>
  <si>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</si>
  <si>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</si>
  <si>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</si>
  <si>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</si>
  <si>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</si>
  <si>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</si>
  <si>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Corte</t>
  </si>
  <si>
    <t>Prepara cortadora vertical</t>
  </si>
  <si>
    <t>Afila cuchilla de cortadora</t>
  </si>
  <si>
    <t>Trozado de piezas</t>
  </si>
  <si>
    <t>Corte de piezas</t>
  </si>
  <si>
    <t>Enumerar piezas</t>
  </si>
  <si>
    <t>Empaqueta piezas</t>
  </si>
  <si>
    <t>Troza piezas del tizado</t>
  </si>
  <si>
    <t>Corta piezas trozadas</t>
  </si>
  <si>
    <t>Enumera piezas cortadas</t>
  </si>
  <si>
    <t>Empaqueta piezas por talla</t>
  </si>
  <si>
    <t>P</t>
  </si>
  <si>
    <t>C</t>
  </si>
  <si>
    <t>Q</t>
  </si>
  <si>
    <t>fxd^2</t>
  </si>
  <si>
    <t>fxd</t>
  </si>
  <si>
    <t>d</t>
  </si>
  <si>
    <t>f</t>
  </si>
  <si>
    <t>h=</t>
  </si>
  <si>
    <t>m1=</t>
  </si>
  <si>
    <t>m2=</t>
  </si>
  <si>
    <t>t.medio=</t>
  </si>
  <si>
    <t>v=</t>
  </si>
  <si>
    <t>CV=</t>
  </si>
  <si>
    <t>MIN</t>
  </si>
  <si>
    <t>MAX</t>
  </si>
  <si>
    <t>Colocar cortadora a mesa</t>
  </si>
  <si>
    <t>TIPO</t>
  </si>
  <si>
    <t>IIIII</t>
  </si>
  <si>
    <t>IIIIII</t>
  </si>
  <si>
    <t>IIII</t>
  </si>
  <si>
    <t>III</t>
  </si>
  <si>
    <t>IIIIIIIII</t>
  </si>
  <si>
    <t>IIIIIII</t>
  </si>
  <si>
    <t>Tiempo Largo (reloj de puslo ordinario)</t>
  </si>
  <si>
    <t>N° de Elementos en Operación Abrir Rollo de Tela</t>
  </si>
  <si>
    <t>Observaciones</t>
  </si>
  <si>
    <t>NP</t>
  </si>
  <si>
    <t>F</t>
  </si>
  <si>
    <t>CA</t>
  </si>
  <si>
    <t>CI</t>
  </si>
  <si>
    <t>R</t>
  </si>
  <si>
    <t>TM</t>
  </si>
  <si>
    <t>M</t>
  </si>
  <si>
    <t>Ritmo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</si>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</sst>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6" fillId="0" borderId="10" xfId="0" applyFont="1" applyBorder="1"/>
    <xf numFmtId="0" fontId="6" fillId="0" borderId="1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" fontId="6" fillId="2" borderId="18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10" fontId="6" fillId="0" borderId="0" xfId="0" applyNumberFormat="1" applyFont="1" applyBorder="1" applyAlignment="1">
      <alignment horizontal="center" vertical="center" wrapText="1"/>
    </xf>
    <xf numFmtId="39" fontId="6" fillId="0" borderId="16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0" fontId="6" fillId="0" borderId="10" xfId="0" applyNumberFormat="1" applyFont="1" applyBorder="1" applyAlignment="1">
      <alignment horizontal="center" vertical="center" wrapText="1"/>
    </xf>
    <xf numFmtId="39" fontId="6" fillId="0" borderId="5" xfId="0" applyNumberFormat="1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0" fontId="6" fillId="0" borderId="18" xfId="0" applyNumberFormat="1" applyFont="1" applyBorder="1" applyAlignment="1">
      <alignment horizontal="center" vertical="center" wrapText="1"/>
    </xf>
    <xf numFmtId="10" fontId="6" fillId="0" borderId="11" xfId="0" applyNumberFormat="1" applyFont="1" applyBorder="1" applyAlignment="1">
      <alignment horizontal="center" vertical="center" wrapText="1"/>
    </xf>
    <xf numFmtId="9" fontId="6" fillId="0" borderId="18" xfId="0" applyNumberFormat="1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1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2" fontId="6" fillId="2" borderId="3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39" fontId="6" fillId="2" borderId="18" xfId="0" applyNumberFormat="1" applyFont="1" applyFill="1" applyBorder="1" applyAlignment="1">
      <alignment horizontal="center" vertical="center" wrapText="1"/>
    </xf>
    <xf numFmtId="39" fontId="6" fillId="2" borderId="11" xfId="0" applyNumberFormat="1" applyFont="1" applyFill="1" applyBorder="1" applyAlignment="1">
      <alignment horizontal="center" vertical="center" wrapText="1"/>
    </xf>
    <xf numFmtId="164" fontId="6" fillId="2" borderId="19" xfId="0" quotePrefix="1" applyNumberFormat="1" applyFont="1" applyFill="1" applyBorder="1" applyAlignment="1">
      <alignment horizontal="center" vertical="center" wrapText="1"/>
    </xf>
    <xf numFmtId="164" fontId="6" fillId="2" borderId="18" xfId="0" quotePrefix="1" applyNumberFormat="1" applyFont="1" applyFill="1" applyBorder="1" applyAlignment="1">
      <alignment horizontal="center" vertical="center" wrapText="1"/>
    </xf>
    <xf numFmtId="164" fontId="6" fillId="2" borderId="11" xfId="0" quotePrefix="1" applyNumberFormat="1" applyFont="1" applyFill="1" applyBorder="1" applyAlignment="1">
      <alignment horizontal="center" vertical="center" wrapText="1"/>
    </xf>
    <xf numFmtId="2" fontId="6" fillId="2" borderId="19" xfId="0" applyNumberFormat="1" applyFont="1" applyFill="1" applyBorder="1" applyAlignment="1">
      <alignment horizontal="center" vertical="center" wrapText="1"/>
    </xf>
    <xf numFmtId="2" fontId="6" fillId="2" borderId="18" xfId="0" applyNumberFormat="1" applyFont="1" applyFill="1" applyBorder="1" applyAlignment="1">
      <alignment horizontal="center" vertical="center" wrapText="1"/>
    </xf>
    <xf numFmtId="2" fontId="6" fillId="2" borderId="1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2" fontId="6" fillId="2" borderId="3" xfId="0" applyNumberFormat="1" applyFont="1" applyFill="1" applyBorder="1" applyAlignment="1">
      <alignment horizontal="center" vertical="center"/>
    </xf>
    <xf numFmtId="2" fontId="6" fillId="2" borderId="16" xfId="0" applyNumberFormat="1" applyFon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 wrapText="1"/>
    </xf>
    <xf numFmtId="49" fontId="6" fillId="2" borderId="17" xfId="0" applyNumberFormat="1" applyFont="1" applyFill="1" applyBorder="1" applyAlignment="1">
      <alignment horizontal="center" vertical="center" wrapText="1"/>
    </xf>
    <xf numFmtId="2" fontId="6" fillId="2" borderId="16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2" fontId="6" fillId="2" borderId="5" xfId="0" applyNumberFormat="1" applyFont="1" applyFill="1" applyBorder="1" applyAlignment="1">
      <alignment horizontal="center" vertical="center" wrapText="1"/>
    </xf>
    <xf numFmtId="2" fontId="6" fillId="2" borderId="18" xfId="0" applyNumberFormat="1" applyFont="1" applyFill="1" applyBorder="1" applyAlignment="1">
      <alignment horizontal="center" vertical="center" wrapText="1"/>
    </xf>
    <xf numFmtId="2" fontId="6" fillId="2" borderId="11" xfId="0" applyNumberFormat="1" applyFont="1" applyFill="1" applyBorder="1" applyAlignment="1">
      <alignment horizontal="center" vertical="center" wrapText="1"/>
    </xf>
    <xf numFmtId="2" fontId="6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6"/>
  <sheetViews>
    <sheetView workbookViewId="0">
      <selection activeCell="K5" sqref="K5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x14ac:dyDescent="0.3">
      <c r="C1" s="40"/>
      <c r="D1" s="40"/>
      <c r="E1" s="40"/>
      <c r="F1" s="40"/>
      <c r="G1" s="40"/>
      <c r="H1" s="40"/>
      <c r="I1" s="40"/>
    </row>
    <row r="2" spans="1:10" ht="15.6" x14ac:dyDescent="0.3">
      <c r="B2" s="25" t="s">
        <v>110</v>
      </c>
      <c r="C2" s="40"/>
      <c r="D2" s="56" t="s">
        <v>68</v>
      </c>
      <c r="E2" s="56" t="s">
        <v>146</v>
      </c>
      <c r="F2" s="56" t="s">
        <v>69</v>
      </c>
      <c r="G2" s="56" t="s">
        <v>70</v>
      </c>
      <c r="H2" s="56" t="s">
        <v>71</v>
      </c>
      <c r="I2" s="40"/>
    </row>
    <row r="3" spans="1:10" ht="31.2" customHeight="1" x14ac:dyDescent="0.3">
      <c r="B3" s="25" t="s">
        <v>119</v>
      </c>
      <c r="C3" s="40"/>
      <c r="D3" s="57" t="s">
        <v>120</v>
      </c>
      <c r="E3" s="57" t="s">
        <v>46</v>
      </c>
      <c r="F3" s="57" t="s">
        <v>130</v>
      </c>
      <c r="G3" s="57" t="s">
        <v>145</v>
      </c>
      <c r="H3" s="57" t="s">
        <v>121</v>
      </c>
      <c r="I3" s="40"/>
    </row>
    <row r="4" spans="1:10" ht="31.2" customHeight="1" x14ac:dyDescent="0.3">
      <c r="A4" t="s">
        <v>111</v>
      </c>
      <c r="C4" s="40"/>
      <c r="D4" s="57" t="s">
        <v>122</v>
      </c>
      <c r="E4" s="57" t="s">
        <v>47</v>
      </c>
      <c r="F4" s="57" t="s">
        <v>97</v>
      </c>
      <c r="G4" s="57" t="s">
        <v>121</v>
      </c>
      <c r="H4" s="57" t="s">
        <v>126</v>
      </c>
      <c r="I4" s="40"/>
    </row>
    <row r="5" spans="1:10" ht="31.2" customHeight="1" x14ac:dyDescent="0.3">
      <c r="C5" s="40"/>
      <c r="D5" s="57" t="s">
        <v>123</v>
      </c>
      <c r="E5" s="57" t="s">
        <v>47</v>
      </c>
      <c r="F5" s="57" t="s">
        <v>131</v>
      </c>
      <c r="G5" s="57" t="s">
        <v>126</v>
      </c>
      <c r="H5" s="57" t="s">
        <v>127</v>
      </c>
      <c r="I5" s="40"/>
    </row>
    <row r="6" spans="1:10" ht="31.2" customHeight="1" x14ac:dyDescent="0.3">
      <c r="C6" s="40"/>
      <c r="D6" s="57" t="s">
        <v>124</v>
      </c>
      <c r="E6" s="57" t="s">
        <v>46</v>
      </c>
      <c r="F6" s="57" t="s">
        <v>55</v>
      </c>
      <c r="G6" s="57" t="s">
        <v>127</v>
      </c>
      <c r="H6" s="57" t="s">
        <v>128</v>
      </c>
      <c r="I6" s="40"/>
    </row>
    <row r="7" spans="1:10" ht="31.2" customHeight="1" x14ac:dyDescent="0.3">
      <c r="C7" s="40"/>
      <c r="D7" s="57" t="s">
        <v>125</v>
      </c>
      <c r="E7" s="57" t="s">
        <v>46</v>
      </c>
      <c r="F7" s="57" t="s">
        <v>132</v>
      </c>
      <c r="G7" s="57" t="s">
        <v>128</v>
      </c>
      <c r="H7" s="57" t="s">
        <v>129</v>
      </c>
      <c r="I7" s="40"/>
    </row>
    <row r="8" spans="1:10" ht="31.2" customHeight="1" x14ac:dyDescent="0.3">
      <c r="C8" s="40"/>
      <c r="D8" s="54"/>
      <c r="E8" s="54"/>
      <c r="F8" s="55" t="str">
        <f t="shared" ref="F8:F10" si="0">+MID(D8,1,1)</f>
        <v/>
      </c>
      <c r="G8" s="54"/>
      <c r="H8" s="54"/>
      <c r="I8" s="40"/>
      <c r="J8" s="40"/>
    </row>
    <row r="9" spans="1:10" ht="31.2" customHeight="1" x14ac:dyDescent="0.3">
      <c r="C9" s="40"/>
      <c r="D9" s="54"/>
      <c r="E9" s="54"/>
      <c r="F9" s="55" t="str">
        <f t="shared" si="0"/>
        <v/>
      </c>
      <c r="G9" s="54"/>
      <c r="H9" s="54"/>
      <c r="I9" s="40"/>
      <c r="J9" s="40"/>
    </row>
    <row r="10" spans="1:10" ht="31.2" customHeight="1" x14ac:dyDescent="0.3">
      <c r="D10" s="26"/>
      <c r="E10" s="26"/>
      <c r="F10" s="27" t="str">
        <f t="shared" si="0"/>
        <v/>
      </c>
      <c r="G10" s="26"/>
      <c r="H10" s="26"/>
    </row>
    <row r="11" spans="1:10" ht="31.2" customHeight="1" x14ac:dyDescent="0.3">
      <c r="D11" s="26"/>
      <c r="E11" s="26"/>
      <c r="F11" s="27" t="str">
        <f t="shared" ref="F11:F12" si="1">+MID(D11,1,1)</f>
        <v/>
      </c>
      <c r="G11" s="26"/>
      <c r="H11" s="26"/>
    </row>
    <row r="12" spans="1:10" ht="15.6" x14ac:dyDescent="0.3">
      <c r="D12" s="26"/>
      <c r="E12" s="26"/>
      <c r="F12" s="27" t="str">
        <f t="shared" si="1"/>
        <v/>
      </c>
      <c r="G12" s="26"/>
      <c r="H12" s="26"/>
    </row>
    <row r="13" spans="1:10" ht="15.6" x14ac:dyDescent="0.3">
      <c r="D13" s="26"/>
      <c r="E13" s="26"/>
      <c r="F13" s="27"/>
      <c r="G13" s="26"/>
      <c r="H13" s="26"/>
    </row>
    <row r="14" spans="1:10" ht="15.6" customHeight="1" x14ac:dyDescent="0.3">
      <c r="D14" s="26"/>
      <c r="E14" s="26"/>
      <c r="G14" s="26"/>
      <c r="H14" s="41"/>
      <c r="I14" s="41"/>
      <c r="J14" s="41"/>
    </row>
    <row r="15" spans="1:10" ht="15.6" x14ac:dyDescent="0.3">
      <c r="D15" s="26"/>
      <c r="E15" s="26"/>
      <c r="G15" s="26"/>
      <c r="H15" s="26"/>
    </row>
    <row r="16" spans="1:10" ht="15.6" x14ac:dyDescent="0.3">
      <c r="D16" s="26"/>
      <c r="E16" s="26"/>
      <c r="F16" s="27"/>
      <c r="G16" s="26"/>
      <c r="H16" s="26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V205"/>
  <sheetViews>
    <sheetView showGridLines="0" topLeftCell="A18" workbookViewId="0">
      <pane ySplit="2" topLeftCell="A51" activePane="bottomLeft" state="frozen"/>
      <selection activeCell="A18" sqref="A18"/>
      <selection pane="bottomLeft" activeCell="I64" sqref="I64"/>
    </sheetView>
  </sheetViews>
  <sheetFormatPr baseColWidth="10" defaultRowHeight="14.4" x14ac:dyDescent="0.3"/>
  <cols>
    <col min="2" max="2" width="13.5546875" bestFit="1" customWidth="1"/>
    <col min="3" max="3" width="14.6640625" customWidth="1"/>
    <col min="5" max="5" width="12" bestFit="1" customWidth="1"/>
    <col min="6" max="6" width="14.33203125" bestFit="1" customWidth="1"/>
  </cols>
  <sheetData>
    <row r="3" spans="2:15" x14ac:dyDescent="0.3">
      <c r="C3" s="1">
        <f>+C10+F145+IF(D3&gt;=60,1,0)</f>
        <v>18</v>
      </c>
      <c r="D3" s="1">
        <f>+D10+F146+IF(E3&gt;=60,1,0)</f>
        <v>57</v>
      </c>
      <c r="E3" s="24">
        <f>+E10+F147</f>
        <v>44</v>
      </c>
    </row>
    <row r="4" spans="2:15" x14ac:dyDescent="0.3">
      <c r="C4" s="22">
        <f>+C3</f>
        <v>18</v>
      </c>
      <c r="D4" s="22">
        <f>+IF(D3&gt;=60,D3-60,D3)</f>
        <v>57</v>
      </c>
      <c r="E4" s="23">
        <f>+IF(E3&gt;=60,E3-60,E3)</f>
        <v>44</v>
      </c>
      <c r="F4" s="16"/>
      <c r="G4" s="16"/>
      <c r="H4" s="16"/>
      <c r="K4" s="42" t="str">
        <f>+CONCATENATE("Elemento ",C21)</f>
        <v>Elemento P</v>
      </c>
      <c r="L4" s="43"/>
      <c r="N4" s="42" t="str">
        <f>+CONCATENATE("Elemento ",C22)</f>
        <v>Elemento T</v>
      </c>
      <c r="O4" s="43"/>
    </row>
    <row r="5" spans="2:15" x14ac:dyDescent="0.3">
      <c r="C5" s="16"/>
      <c r="D5" s="16"/>
      <c r="E5" s="21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31" t="s">
        <v>18</v>
      </c>
      <c r="L6" s="31" t="s">
        <v>19</v>
      </c>
      <c r="N6" s="31" t="s">
        <v>18</v>
      </c>
      <c r="O6" s="31" t="s">
        <v>19</v>
      </c>
    </row>
    <row r="7" spans="2:15" x14ac:dyDescent="0.3">
      <c r="C7" s="17"/>
      <c r="D7" s="16"/>
      <c r="E7" s="16"/>
      <c r="F7" s="16"/>
      <c r="G7" s="16"/>
      <c r="H7" s="16"/>
      <c r="K7" s="3">
        <f ca="1">+OFFSET(D21,H15,0)</f>
        <v>105</v>
      </c>
      <c r="L7" s="3">
        <f ca="1">+OFFSET(E21,H15,0)</f>
        <v>25588</v>
      </c>
      <c r="N7" s="3">
        <f ca="1">+OFFSET(D22,H15,0)</f>
        <v>95</v>
      </c>
      <c r="O7" s="3">
        <f ca="1">+OFFSET(E22,H15,0)</f>
        <v>54604</v>
      </c>
    </row>
    <row r="8" spans="2:15" x14ac:dyDescent="0.3">
      <c r="C8" s="31" t="s">
        <v>0</v>
      </c>
      <c r="D8" s="31" t="s">
        <v>1</v>
      </c>
      <c r="E8" s="31" t="s">
        <v>2</v>
      </c>
      <c r="G8" s="16"/>
      <c r="H8" s="16"/>
      <c r="K8" s="3">
        <f t="shared" ref="K8:K26" ca="1" si="0">+OFFSET(D22,H16,0)</f>
        <v>105</v>
      </c>
      <c r="L8" s="3">
        <f t="shared" ref="L8:L26" ca="1" si="1">+OFFSET(E22,H16,0)</f>
        <v>26475</v>
      </c>
      <c r="N8" s="3">
        <f t="shared" ref="N8:N26" ca="1" si="2">+OFFSET(D23,H16,0)</f>
        <v>105</v>
      </c>
      <c r="O8" s="3">
        <f t="shared" ref="O8:O26" ca="1" si="3">+OFFSET(E23,H16,0)</f>
        <v>53991</v>
      </c>
    </row>
    <row r="9" spans="2:15" x14ac:dyDescent="0.3">
      <c r="B9" s="32" t="s">
        <v>3</v>
      </c>
      <c r="C9" s="29">
        <f>+C4</f>
        <v>18</v>
      </c>
      <c r="D9" s="29">
        <f>+D4</f>
        <v>57</v>
      </c>
      <c r="E9" s="29">
        <f>+E4</f>
        <v>44</v>
      </c>
      <c r="G9" s="16"/>
      <c r="H9" s="16"/>
      <c r="K9" s="3">
        <f t="shared" ca="1" si="0"/>
        <v>105</v>
      </c>
      <c r="L9" s="3">
        <f t="shared" ca="1" si="1"/>
        <v>26258</v>
      </c>
      <c r="N9" s="3">
        <f t="shared" ca="1" si="2"/>
        <v>105</v>
      </c>
      <c r="O9" s="3">
        <f t="shared" ca="1" si="3"/>
        <v>53997</v>
      </c>
    </row>
    <row r="10" spans="2:15" x14ac:dyDescent="0.3">
      <c r="B10" s="32" t="s">
        <v>6</v>
      </c>
      <c r="C10" s="29">
        <v>13</v>
      </c>
      <c r="D10" s="29">
        <v>5</v>
      </c>
      <c r="E10" s="29">
        <v>22</v>
      </c>
      <c r="G10" s="16"/>
      <c r="H10" s="16"/>
      <c r="K10" s="3">
        <f t="shared" ca="1" si="0"/>
        <v>90</v>
      </c>
      <c r="L10" s="3">
        <f t="shared" ca="1" si="1"/>
        <v>26874</v>
      </c>
      <c r="N10" s="3">
        <f t="shared" ca="1" si="2"/>
        <v>105</v>
      </c>
      <c r="O10" s="3">
        <f t="shared" ca="1" si="3"/>
        <v>53655</v>
      </c>
    </row>
    <row r="11" spans="2:15" x14ac:dyDescent="0.3">
      <c r="G11" s="16"/>
      <c r="H11" s="16"/>
      <c r="K11" s="3">
        <f t="shared" ca="1" si="0"/>
        <v>90</v>
      </c>
      <c r="L11" s="3">
        <f t="shared" ca="1" si="1"/>
        <v>26837</v>
      </c>
      <c r="N11" s="3">
        <f t="shared" ca="1" si="2"/>
        <v>100</v>
      </c>
      <c r="O11" s="3">
        <f t="shared" ca="1" si="3"/>
        <v>54335</v>
      </c>
    </row>
    <row r="12" spans="2:15" x14ac:dyDescent="0.3">
      <c r="B12" s="1"/>
      <c r="G12" s="16"/>
      <c r="H12" s="16"/>
      <c r="K12" s="3">
        <f t="shared" ca="1" si="0"/>
        <v>100</v>
      </c>
      <c r="L12" s="3">
        <f t="shared" ca="1" si="1"/>
        <v>25247</v>
      </c>
      <c r="N12" s="3">
        <f t="shared" ca="1" si="2"/>
        <v>95</v>
      </c>
      <c r="O12" s="3">
        <f t="shared" ca="1" si="3"/>
        <v>53600</v>
      </c>
    </row>
    <row r="13" spans="2:15" x14ac:dyDescent="0.3">
      <c r="B13" s="1"/>
      <c r="G13" s="16"/>
      <c r="H13" s="16"/>
      <c r="K13" s="3">
        <f t="shared" ca="1" si="0"/>
        <v>95</v>
      </c>
      <c r="L13" s="3">
        <f t="shared" ca="1" si="1"/>
        <v>25455</v>
      </c>
      <c r="N13" s="3">
        <f t="shared" ca="1" si="2"/>
        <v>90</v>
      </c>
      <c r="O13" s="3">
        <f t="shared" ca="1" si="3"/>
        <v>53286</v>
      </c>
    </row>
    <row r="14" spans="2:15" x14ac:dyDescent="0.3">
      <c r="B14" s="1"/>
      <c r="K14" s="3">
        <f t="shared" ca="1" si="0"/>
        <v>95</v>
      </c>
      <c r="L14" s="3">
        <f t="shared" ca="1" si="1"/>
        <v>25555</v>
      </c>
      <c r="N14" s="3">
        <f t="shared" ca="1" si="2"/>
        <v>90</v>
      </c>
      <c r="O14" s="3">
        <f t="shared" ca="1" si="3"/>
        <v>53690</v>
      </c>
    </row>
    <row r="15" spans="2:15" x14ac:dyDescent="0.3">
      <c r="B15" s="1"/>
      <c r="C15" s="44" t="s">
        <v>154</v>
      </c>
      <c r="D15" s="44"/>
      <c r="E15" s="44"/>
      <c r="F15" s="45"/>
      <c r="G15" s="18">
        <v>3</v>
      </c>
      <c r="H15" s="14">
        <v>0</v>
      </c>
      <c r="K15" s="3">
        <f t="shared" ca="1" si="0"/>
        <v>90</v>
      </c>
      <c r="L15" s="3">
        <f t="shared" ca="1" si="1"/>
        <v>26065</v>
      </c>
      <c r="N15" s="3">
        <f t="shared" ca="1" si="2"/>
        <v>100</v>
      </c>
      <c r="O15" s="3">
        <f t="shared" ca="1" si="3"/>
        <v>54670</v>
      </c>
    </row>
    <row r="16" spans="2:15" x14ac:dyDescent="0.3">
      <c r="B16" s="1"/>
      <c r="H16" s="14">
        <f>+H15+$G$15-1</f>
        <v>2</v>
      </c>
      <c r="K16" s="3">
        <f t="shared" ca="1" si="0"/>
        <v>95</v>
      </c>
      <c r="L16" s="3">
        <f t="shared" ca="1" si="1"/>
        <v>25456</v>
      </c>
      <c r="N16" s="3">
        <f t="shared" ca="1" si="2"/>
        <v>100</v>
      </c>
      <c r="O16" s="3">
        <f t="shared" ca="1" si="3"/>
        <v>54767</v>
      </c>
    </row>
    <row r="17" spans="1:15" x14ac:dyDescent="0.3">
      <c r="C17" s="16"/>
      <c r="H17" s="14">
        <f t="shared" ref="H17:H34" si="4">+H16+$G$15-1</f>
        <v>4</v>
      </c>
      <c r="K17" s="3">
        <f t="shared" ca="1" si="0"/>
        <v>105</v>
      </c>
      <c r="L17" s="3">
        <f t="shared" ca="1" si="1"/>
        <v>26096</v>
      </c>
      <c r="N17" s="3">
        <f t="shared" ca="1" si="2"/>
        <v>90</v>
      </c>
      <c r="O17" s="3">
        <f t="shared" ca="1" si="3"/>
        <v>53202</v>
      </c>
    </row>
    <row r="18" spans="1:15" ht="15.6" x14ac:dyDescent="0.3">
      <c r="A18" s="62"/>
      <c r="B18" s="62"/>
      <c r="C18" s="62"/>
      <c r="D18" s="62"/>
      <c r="E18" s="62"/>
      <c r="F18" s="62"/>
      <c r="H18" s="14">
        <f t="shared" si="4"/>
        <v>6</v>
      </c>
      <c r="K18" s="3">
        <f t="shared" ca="1" si="0"/>
        <v>90</v>
      </c>
      <c r="L18" s="3">
        <f t="shared" ca="1" si="1"/>
        <v>26304</v>
      </c>
      <c r="N18" s="3">
        <f t="shared" ca="1" si="2"/>
        <v>95</v>
      </c>
      <c r="O18" s="3">
        <f t="shared" ca="1" si="3"/>
        <v>53747</v>
      </c>
    </row>
    <row r="19" spans="1:15" ht="15.6" x14ac:dyDescent="0.3">
      <c r="A19" s="62"/>
      <c r="B19" s="59"/>
      <c r="C19" s="56" t="s">
        <v>28</v>
      </c>
      <c r="D19" s="56" t="s">
        <v>18</v>
      </c>
      <c r="E19" s="56" t="s">
        <v>19</v>
      </c>
      <c r="F19" s="62"/>
      <c r="H19" s="14">
        <f t="shared" si="4"/>
        <v>8</v>
      </c>
      <c r="K19" s="3">
        <f t="shared" ca="1" si="0"/>
        <v>100</v>
      </c>
      <c r="L19" s="3">
        <f t="shared" ca="1" si="1"/>
        <v>25296</v>
      </c>
      <c r="N19" s="3">
        <f t="shared" ca="1" si="2"/>
        <v>105</v>
      </c>
      <c r="O19" s="3">
        <f t="shared" ca="1" si="3"/>
        <v>53663</v>
      </c>
    </row>
    <row r="20" spans="1:15" ht="15.6" x14ac:dyDescent="0.3">
      <c r="A20" s="62"/>
      <c r="B20" s="60" t="str">
        <f>+CONCATENATE("E = ",C10,"h",D10,"'",E10,"''")</f>
        <v>E = 13h5'22''</v>
      </c>
      <c r="C20" s="59" t="s">
        <v>11</v>
      </c>
      <c r="D20" s="59" t="s">
        <v>63</v>
      </c>
      <c r="E20" s="59">
        <v>2956</v>
      </c>
      <c r="F20" s="62"/>
      <c r="H20" s="14">
        <f t="shared" si="4"/>
        <v>10</v>
      </c>
      <c r="K20" s="3">
        <f t="shared" ca="1" si="0"/>
        <v>90</v>
      </c>
      <c r="L20" s="3">
        <f t="shared" ca="1" si="1"/>
        <v>26303</v>
      </c>
      <c r="N20" s="3">
        <f t="shared" ca="1" si="2"/>
        <v>105</v>
      </c>
      <c r="O20" s="3">
        <f t="shared" ca="1" si="3"/>
        <v>54130</v>
      </c>
    </row>
    <row r="21" spans="1:15" ht="15.6" x14ac:dyDescent="0.3">
      <c r="A21" s="62"/>
      <c r="B21" s="61" t="s">
        <v>72</v>
      </c>
      <c r="C21" s="59" t="str">
        <f>+'Elementos de la operación'!F3</f>
        <v>P</v>
      </c>
      <c r="D21" s="59">
        <v>105</v>
      </c>
      <c r="E21" s="59">
        <v>25588</v>
      </c>
      <c r="F21" s="62"/>
      <c r="H21" s="14">
        <f t="shared" si="4"/>
        <v>12</v>
      </c>
      <c r="K21" s="3">
        <f t="shared" ca="1" si="0"/>
        <v>95</v>
      </c>
      <c r="L21" s="3">
        <f t="shared" ca="1" si="1"/>
        <v>26975</v>
      </c>
      <c r="N21" s="3">
        <f t="shared" ca="1" si="2"/>
        <v>85</v>
      </c>
      <c r="O21" s="3">
        <f t="shared" ca="1" si="3"/>
        <v>54105</v>
      </c>
    </row>
    <row r="22" spans="1:15" ht="15.6" x14ac:dyDescent="0.3">
      <c r="A22" s="62"/>
      <c r="B22" s="61"/>
      <c r="C22" s="59" t="str">
        <f>+'Elementos de la operación'!F4</f>
        <v>T</v>
      </c>
      <c r="D22" s="59">
        <v>95</v>
      </c>
      <c r="E22" s="59">
        <v>54604</v>
      </c>
      <c r="F22" s="62"/>
      <c r="H22" s="14">
        <f t="shared" si="4"/>
        <v>14</v>
      </c>
      <c r="K22" s="3">
        <f t="shared" ca="1" si="0"/>
        <v>90</v>
      </c>
      <c r="L22" s="3">
        <f t="shared" ca="1" si="1"/>
        <v>25900</v>
      </c>
      <c r="N22" s="3">
        <f t="shared" ca="1" si="2"/>
        <v>100</v>
      </c>
      <c r="O22" s="3">
        <f t="shared" ca="1" si="3"/>
        <v>54668</v>
      </c>
    </row>
    <row r="23" spans="1:15" ht="15.6" x14ac:dyDescent="0.3">
      <c r="A23" s="62"/>
      <c r="B23" s="61"/>
      <c r="C23" s="59" t="str">
        <f>+'Elementos de la operación'!F7</f>
        <v>Q</v>
      </c>
      <c r="D23" s="59">
        <v>100</v>
      </c>
      <c r="E23" s="59">
        <v>25507</v>
      </c>
      <c r="F23" s="62"/>
      <c r="H23" s="14">
        <f t="shared" si="4"/>
        <v>16</v>
      </c>
      <c r="K23" s="3">
        <f t="shared" ca="1" si="0"/>
        <v>95</v>
      </c>
      <c r="L23" s="3">
        <f t="shared" ca="1" si="1"/>
        <v>26729</v>
      </c>
      <c r="N23" s="3">
        <f t="shared" ca="1" si="2"/>
        <v>100</v>
      </c>
      <c r="O23" s="3">
        <f t="shared" ca="1" si="3"/>
        <v>53199</v>
      </c>
    </row>
    <row r="24" spans="1:15" ht="15.6" x14ac:dyDescent="0.3">
      <c r="A24" s="62"/>
      <c r="B24" s="61" t="s">
        <v>73</v>
      </c>
      <c r="C24" s="59" t="str">
        <f t="shared" ref="C24:C55" si="5">+C21</f>
        <v>P</v>
      </c>
      <c r="D24" s="59">
        <v>105</v>
      </c>
      <c r="E24" s="59">
        <v>26475</v>
      </c>
      <c r="F24" s="62"/>
      <c r="H24" s="14">
        <f t="shared" si="4"/>
        <v>18</v>
      </c>
      <c r="K24" s="3">
        <f t="shared" ca="1" si="0"/>
        <v>100</v>
      </c>
      <c r="L24" s="3">
        <f t="shared" ca="1" si="1"/>
        <v>25256</v>
      </c>
      <c r="N24" s="3">
        <f t="shared" ca="1" si="2"/>
        <v>95</v>
      </c>
      <c r="O24" s="3">
        <f t="shared" ca="1" si="3"/>
        <v>54459</v>
      </c>
    </row>
    <row r="25" spans="1:15" ht="15.6" x14ac:dyDescent="0.3">
      <c r="A25" s="62"/>
      <c r="B25" s="61"/>
      <c r="C25" s="59" t="str">
        <f t="shared" si="5"/>
        <v>T</v>
      </c>
      <c r="D25" s="59">
        <v>105</v>
      </c>
      <c r="E25" s="59">
        <v>53991</v>
      </c>
      <c r="F25" s="62"/>
      <c r="H25" s="14">
        <f t="shared" si="4"/>
        <v>20</v>
      </c>
      <c r="K25" s="3">
        <f t="shared" ca="1" si="0"/>
        <v>90</v>
      </c>
      <c r="L25" s="3">
        <f t="shared" ca="1" si="1"/>
        <v>26315</v>
      </c>
      <c r="N25" s="3">
        <f t="shared" ca="1" si="2"/>
        <v>100</v>
      </c>
      <c r="O25" s="3">
        <f t="shared" ca="1" si="3"/>
        <v>53675</v>
      </c>
    </row>
    <row r="26" spans="1:15" ht="15.6" x14ac:dyDescent="0.3">
      <c r="A26" s="62"/>
      <c r="B26" s="61"/>
      <c r="C26" s="59" t="str">
        <f t="shared" si="5"/>
        <v>Q</v>
      </c>
      <c r="D26" s="59">
        <v>100</v>
      </c>
      <c r="E26" s="59">
        <v>25626</v>
      </c>
      <c r="F26" s="62"/>
      <c r="H26" s="14">
        <f t="shared" si="4"/>
        <v>22</v>
      </c>
      <c r="K26" s="3">
        <f t="shared" ca="1" si="0"/>
        <v>95</v>
      </c>
      <c r="L26" s="3">
        <f t="shared" ca="1" si="1"/>
        <v>26151</v>
      </c>
      <c r="N26" s="3">
        <f t="shared" ca="1" si="2"/>
        <v>95</v>
      </c>
      <c r="O26" s="3">
        <f t="shared" ca="1" si="3"/>
        <v>53108</v>
      </c>
    </row>
    <row r="27" spans="1:15" ht="15.6" x14ac:dyDescent="0.3">
      <c r="A27" s="62"/>
      <c r="B27" s="61" t="s">
        <v>74</v>
      </c>
      <c r="C27" s="59" t="str">
        <f t="shared" si="5"/>
        <v>P</v>
      </c>
      <c r="D27" s="59">
        <v>105</v>
      </c>
      <c r="E27" s="59">
        <v>26258</v>
      </c>
      <c r="F27" s="62"/>
      <c r="H27" s="14">
        <f t="shared" si="4"/>
        <v>24</v>
      </c>
    </row>
    <row r="28" spans="1:15" ht="15.6" x14ac:dyDescent="0.3">
      <c r="A28" s="62"/>
      <c r="B28" s="61"/>
      <c r="C28" s="59" t="str">
        <f t="shared" si="5"/>
        <v>T</v>
      </c>
      <c r="D28" s="59">
        <v>105</v>
      </c>
      <c r="E28" s="59">
        <v>53997</v>
      </c>
      <c r="F28" s="62"/>
      <c r="H28" s="14">
        <f t="shared" si="4"/>
        <v>26</v>
      </c>
    </row>
    <row r="29" spans="1:15" ht="15.6" x14ac:dyDescent="0.3">
      <c r="A29" s="62"/>
      <c r="B29" s="61"/>
      <c r="C29" s="59" t="str">
        <f t="shared" si="5"/>
        <v>Q</v>
      </c>
      <c r="D29" s="59">
        <v>90</v>
      </c>
      <c r="E29" s="59">
        <v>25371</v>
      </c>
      <c r="F29" s="62"/>
      <c r="H29" s="14">
        <f t="shared" si="4"/>
        <v>28</v>
      </c>
    </row>
    <row r="30" spans="1:15" ht="15.6" x14ac:dyDescent="0.3">
      <c r="A30" s="62"/>
      <c r="B30" s="61" t="s">
        <v>75</v>
      </c>
      <c r="C30" s="59" t="str">
        <f t="shared" si="5"/>
        <v>P</v>
      </c>
      <c r="D30" s="59">
        <v>90</v>
      </c>
      <c r="E30" s="59">
        <v>26874</v>
      </c>
      <c r="F30" s="62"/>
      <c r="H30" s="14">
        <f t="shared" si="4"/>
        <v>30</v>
      </c>
    </row>
    <row r="31" spans="1:15" ht="15.6" x14ac:dyDescent="0.3">
      <c r="A31" s="62"/>
      <c r="B31" s="61"/>
      <c r="C31" s="59" t="str">
        <f t="shared" si="5"/>
        <v>T</v>
      </c>
      <c r="D31" s="59">
        <v>105</v>
      </c>
      <c r="E31" s="59">
        <v>53655</v>
      </c>
      <c r="F31" s="62"/>
      <c r="H31" s="14">
        <f t="shared" si="4"/>
        <v>32</v>
      </c>
    </row>
    <row r="32" spans="1:15" ht="15.6" x14ac:dyDescent="0.3">
      <c r="A32" s="62"/>
      <c r="B32" s="61"/>
      <c r="C32" s="59" t="str">
        <f t="shared" si="5"/>
        <v>Q</v>
      </c>
      <c r="D32" s="59">
        <v>95</v>
      </c>
      <c r="E32" s="59">
        <v>25139</v>
      </c>
      <c r="F32" s="62"/>
      <c r="H32" s="14">
        <f t="shared" si="4"/>
        <v>34</v>
      </c>
    </row>
    <row r="33" spans="1:8" ht="15.6" x14ac:dyDescent="0.3">
      <c r="A33" s="62"/>
      <c r="B33" s="61" t="s">
        <v>76</v>
      </c>
      <c r="C33" s="59" t="str">
        <f t="shared" si="5"/>
        <v>P</v>
      </c>
      <c r="D33" s="59">
        <v>90</v>
      </c>
      <c r="E33" s="59">
        <v>26837</v>
      </c>
      <c r="F33" s="62"/>
      <c r="H33" s="14">
        <f t="shared" si="4"/>
        <v>36</v>
      </c>
    </row>
    <row r="34" spans="1:8" ht="15.6" x14ac:dyDescent="0.3">
      <c r="A34" s="62"/>
      <c r="B34" s="61"/>
      <c r="C34" s="59" t="str">
        <f t="shared" si="5"/>
        <v>T</v>
      </c>
      <c r="D34" s="59">
        <v>100</v>
      </c>
      <c r="E34" s="59">
        <v>54335</v>
      </c>
      <c r="F34" s="62"/>
      <c r="H34" s="14">
        <f t="shared" si="4"/>
        <v>38</v>
      </c>
    </row>
    <row r="35" spans="1:8" ht="15.6" x14ac:dyDescent="0.3">
      <c r="A35" s="62"/>
      <c r="B35" s="61"/>
      <c r="C35" s="59" t="str">
        <f t="shared" si="5"/>
        <v>Q</v>
      </c>
      <c r="D35" s="59">
        <v>100</v>
      </c>
      <c r="E35" s="59">
        <v>25542</v>
      </c>
      <c r="F35" s="62"/>
    </row>
    <row r="36" spans="1:8" ht="15.6" x14ac:dyDescent="0.3">
      <c r="A36" s="62"/>
      <c r="B36" s="61" t="s">
        <v>77</v>
      </c>
      <c r="C36" s="59" t="str">
        <f t="shared" si="5"/>
        <v>P</v>
      </c>
      <c r="D36" s="59">
        <v>100</v>
      </c>
      <c r="E36" s="59">
        <v>25247</v>
      </c>
      <c r="F36" s="62"/>
    </row>
    <row r="37" spans="1:8" ht="15.6" x14ac:dyDescent="0.3">
      <c r="A37" s="62"/>
      <c r="B37" s="61"/>
      <c r="C37" s="59" t="str">
        <f t="shared" si="5"/>
        <v>T</v>
      </c>
      <c r="D37" s="59">
        <v>95</v>
      </c>
      <c r="E37" s="59">
        <v>53600</v>
      </c>
      <c r="F37" s="62"/>
    </row>
    <row r="38" spans="1:8" ht="15.6" x14ac:dyDescent="0.3">
      <c r="A38" s="62"/>
      <c r="B38" s="61"/>
      <c r="C38" s="59" t="str">
        <f t="shared" si="5"/>
        <v>Q</v>
      </c>
      <c r="D38" s="59">
        <v>100</v>
      </c>
      <c r="E38" s="59">
        <v>25771</v>
      </c>
      <c r="F38" s="62"/>
    </row>
    <row r="39" spans="1:8" ht="15.6" x14ac:dyDescent="0.3">
      <c r="A39" s="62"/>
      <c r="B39" s="61" t="s">
        <v>78</v>
      </c>
      <c r="C39" s="59" t="str">
        <f t="shared" si="5"/>
        <v>P</v>
      </c>
      <c r="D39" s="59">
        <v>95</v>
      </c>
      <c r="E39" s="59">
        <v>25455</v>
      </c>
      <c r="F39" s="62"/>
    </row>
    <row r="40" spans="1:8" ht="15.6" x14ac:dyDescent="0.3">
      <c r="A40" s="62"/>
      <c r="B40" s="61"/>
      <c r="C40" s="59" t="str">
        <f t="shared" si="5"/>
        <v>T</v>
      </c>
      <c r="D40" s="59">
        <v>90</v>
      </c>
      <c r="E40" s="59">
        <v>53286</v>
      </c>
      <c r="F40" s="62"/>
    </row>
    <row r="41" spans="1:8" ht="15.6" x14ac:dyDescent="0.3">
      <c r="A41" s="62"/>
      <c r="B41" s="61"/>
      <c r="C41" s="59" t="str">
        <f t="shared" si="5"/>
        <v>Q</v>
      </c>
      <c r="D41" s="59">
        <v>95</v>
      </c>
      <c r="E41" s="59">
        <v>25353</v>
      </c>
      <c r="F41" s="62"/>
    </row>
    <row r="42" spans="1:8" ht="15.6" x14ac:dyDescent="0.3">
      <c r="A42" s="62"/>
      <c r="B42" s="61" t="s">
        <v>79</v>
      </c>
      <c r="C42" s="59" t="str">
        <f t="shared" si="5"/>
        <v>P</v>
      </c>
      <c r="D42" s="59">
        <v>95</v>
      </c>
      <c r="E42" s="59">
        <v>25555</v>
      </c>
      <c r="F42" s="62"/>
    </row>
    <row r="43" spans="1:8" ht="15.6" x14ac:dyDescent="0.3">
      <c r="A43" s="62"/>
      <c r="B43" s="61"/>
      <c r="C43" s="59" t="str">
        <f t="shared" si="5"/>
        <v>T</v>
      </c>
      <c r="D43" s="59">
        <v>90</v>
      </c>
      <c r="E43" s="59">
        <v>53690</v>
      </c>
      <c r="F43" s="62"/>
    </row>
    <row r="44" spans="1:8" ht="15.6" x14ac:dyDescent="0.3">
      <c r="A44" s="62"/>
      <c r="B44" s="61"/>
      <c r="C44" s="59" t="str">
        <f t="shared" si="5"/>
        <v>Q</v>
      </c>
      <c r="D44" s="59">
        <v>100</v>
      </c>
      <c r="E44" s="59">
        <v>25470</v>
      </c>
      <c r="F44" s="62"/>
    </row>
    <row r="45" spans="1:8" ht="15.6" x14ac:dyDescent="0.3">
      <c r="A45" s="62"/>
      <c r="B45" s="61" t="s">
        <v>80</v>
      </c>
      <c r="C45" s="59" t="str">
        <f t="shared" si="5"/>
        <v>P</v>
      </c>
      <c r="D45" s="59">
        <v>90</v>
      </c>
      <c r="E45" s="59">
        <v>26065</v>
      </c>
      <c r="F45" s="62"/>
    </row>
    <row r="46" spans="1:8" ht="15.6" x14ac:dyDescent="0.3">
      <c r="A46" s="62"/>
      <c r="B46" s="61"/>
      <c r="C46" s="59" t="str">
        <f t="shared" si="5"/>
        <v>T</v>
      </c>
      <c r="D46" s="59">
        <v>100</v>
      </c>
      <c r="E46" s="59">
        <v>54670</v>
      </c>
      <c r="F46" s="62"/>
    </row>
    <row r="47" spans="1:8" ht="15.6" x14ac:dyDescent="0.3">
      <c r="A47" s="62"/>
      <c r="B47" s="61"/>
      <c r="C47" s="59" t="str">
        <f t="shared" si="5"/>
        <v>Q</v>
      </c>
      <c r="D47" s="59">
        <v>100</v>
      </c>
      <c r="E47" s="59">
        <v>25673</v>
      </c>
      <c r="F47" s="62"/>
    </row>
    <row r="48" spans="1:8" ht="15.6" x14ac:dyDescent="0.3">
      <c r="A48" s="62"/>
      <c r="B48" s="61" t="s">
        <v>81</v>
      </c>
      <c r="C48" s="59" t="str">
        <f t="shared" si="5"/>
        <v>P</v>
      </c>
      <c r="D48" s="59">
        <v>95</v>
      </c>
      <c r="E48" s="59">
        <v>25456</v>
      </c>
      <c r="F48" s="62"/>
    </row>
    <row r="49" spans="1:12" ht="15.6" x14ac:dyDescent="0.3">
      <c r="A49" s="62"/>
      <c r="B49" s="61"/>
      <c r="C49" s="59" t="str">
        <f t="shared" si="5"/>
        <v>T</v>
      </c>
      <c r="D49" s="59">
        <v>100</v>
      </c>
      <c r="E49" s="59">
        <v>54767</v>
      </c>
      <c r="F49" s="62"/>
    </row>
    <row r="50" spans="1:12" ht="15.6" x14ac:dyDescent="0.3">
      <c r="A50" s="62"/>
      <c r="B50" s="61"/>
      <c r="C50" s="59" t="str">
        <f t="shared" si="5"/>
        <v>Q</v>
      </c>
      <c r="D50" s="59">
        <v>105</v>
      </c>
      <c r="E50" s="59">
        <v>25052</v>
      </c>
      <c r="F50" s="62"/>
    </row>
    <row r="51" spans="1:12" ht="15.6" x14ac:dyDescent="0.3">
      <c r="A51" s="62"/>
      <c r="B51" s="61" t="s">
        <v>82</v>
      </c>
      <c r="C51" s="59" t="str">
        <f t="shared" si="5"/>
        <v>P</v>
      </c>
      <c r="D51" s="59">
        <v>105</v>
      </c>
      <c r="E51" s="59">
        <v>26096</v>
      </c>
      <c r="F51" s="62"/>
    </row>
    <row r="52" spans="1:12" ht="15.6" x14ac:dyDescent="0.3">
      <c r="A52" s="62"/>
      <c r="B52" s="61"/>
      <c r="C52" s="59" t="str">
        <f t="shared" si="5"/>
        <v>T</v>
      </c>
      <c r="D52" s="59">
        <v>90</v>
      </c>
      <c r="E52" s="59">
        <v>53202</v>
      </c>
      <c r="F52" s="62"/>
    </row>
    <row r="53" spans="1:12" ht="15.6" x14ac:dyDescent="0.3">
      <c r="A53" s="62"/>
      <c r="B53" s="61"/>
      <c r="C53" s="59" t="str">
        <f t="shared" si="5"/>
        <v>Q</v>
      </c>
      <c r="D53" s="59">
        <v>105</v>
      </c>
      <c r="E53" s="59">
        <v>25558</v>
      </c>
      <c r="F53" s="62"/>
    </row>
    <row r="54" spans="1:12" ht="15.6" x14ac:dyDescent="0.3">
      <c r="A54" s="62"/>
      <c r="B54" s="61" t="s">
        <v>83</v>
      </c>
      <c r="C54" s="59" t="str">
        <f t="shared" si="5"/>
        <v>P</v>
      </c>
      <c r="D54" s="59">
        <v>90</v>
      </c>
      <c r="E54" s="59">
        <v>26304</v>
      </c>
      <c r="F54" s="62"/>
      <c r="K54" s="42" t="str">
        <f>+CONCATENATE("Elemento ",C23)</f>
        <v>Elemento Q</v>
      </c>
      <c r="L54" s="43"/>
    </row>
    <row r="55" spans="1:12" ht="15.6" x14ac:dyDescent="0.3">
      <c r="A55" s="62"/>
      <c r="B55" s="61"/>
      <c r="C55" s="59" t="str">
        <f t="shared" si="5"/>
        <v>T</v>
      </c>
      <c r="D55" s="59">
        <v>95</v>
      </c>
      <c r="E55" s="59">
        <v>53747</v>
      </c>
      <c r="F55" s="62"/>
    </row>
    <row r="56" spans="1:12" ht="15.6" x14ac:dyDescent="0.3">
      <c r="A56" s="62"/>
      <c r="B56" s="61"/>
      <c r="C56" s="59" t="str">
        <f t="shared" ref="C56:C79" si="6">+C53</f>
        <v>Q</v>
      </c>
      <c r="D56" s="59">
        <v>105</v>
      </c>
      <c r="E56" s="59">
        <v>25296</v>
      </c>
      <c r="F56" s="62"/>
      <c r="K56" s="31" t="s">
        <v>18</v>
      </c>
      <c r="L56" s="31" t="s">
        <v>19</v>
      </c>
    </row>
    <row r="57" spans="1:12" ht="15.6" x14ac:dyDescent="0.3">
      <c r="A57" s="62"/>
      <c r="B57" s="61" t="s">
        <v>84</v>
      </c>
      <c r="C57" s="59" t="str">
        <f t="shared" si="6"/>
        <v>P</v>
      </c>
      <c r="D57" s="59">
        <v>100</v>
      </c>
      <c r="E57" s="59">
        <v>25296</v>
      </c>
      <c r="F57" s="62"/>
      <c r="K57" s="3">
        <f ca="1">+OFFSET(D23,H15,0)</f>
        <v>100</v>
      </c>
      <c r="L57" s="3">
        <f ca="1">+OFFSET(E23,H15,0)</f>
        <v>25507</v>
      </c>
    </row>
    <row r="58" spans="1:12" ht="15.6" x14ac:dyDescent="0.3">
      <c r="A58" s="62"/>
      <c r="B58" s="61"/>
      <c r="C58" s="59" t="str">
        <f t="shared" si="6"/>
        <v>T</v>
      </c>
      <c r="D58" s="59">
        <v>105</v>
      </c>
      <c r="E58" s="59">
        <v>53663</v>
      </c>
      <c r="F58" s="62"/>
      <c r="K58" s="3">
        <f t="shared" ref="K58:K76" ca="1" si="7">+OFFSET(D24,H16,0)</f>
        <v>100</v>
      </c>
      <c r="L58" s="3">
        <f t="shared" ref="L58:L76" ca="1" si="8">+OFFSET(E24,H16,0)</f>
        <v>25626</v>
      </c>
    </row>
    <row r="59" spans="1:12" ht="15.6" x14ac:dyDescent="0.3">
      <c r="A59" s="62"/>
      <c r="B59" s="61"/>
      <c r="C59" s="59" t="str">
        <f t="shared" si="6"/>
        <v>Q</v>
      </c>
      <c r="D59" s="59">
        <v>95</v>
      </c>
      <c r="E59" s="59">
        <v>25407</v>
      </c>
      <c r="F59" s="62"/>
      <c r="K59" s="3">
        <f t="shared" ca="1" si="7"/>
        <v>90</v>
      </c>
      <c r="L59" s="3">
        <f t="shared" ca="1" si="8"/>
        <v>25371</v>
      </c>
    </row>
    <row r="60" spans="1:12" ht="15.6" x14ac:dyDescent="0.3">
      <c r="A60" s="62"/>
      <c r="B60" s="61" t="s">
        <v>85</v>
      </c>
      <c r="C60" s="59" t="str">
        <f t="shared" si="6"/>
        <v>P</v>
      </c>
      <c r="D60" s="59">
        <v>90</v>
      </c>
      <c r="E60" s="59">
        <v>26303</v>
      </c>
      <c r="F60" s="62"/>
      <c r="K60" s="3">
        <f t="shared" ca="1" si="7"/>
        <v>95</v>
      </c>
      <c r="L60" s="3">
        <f t="shared" ca="1" si="8"/>
        <v>25139</v>
      </c>
    </row>
    <row r="61" spans="1:12" ht="15.6" x14ac:dyDescent="0.3">
      <c r="A61" s="62"/>
      <c r="B61" s="61"/>
      <c r="C61" s="59" t="str">
        <f t="shared" si="6"/>
        <v>T</v>
      </c>
      <c r="D61" s="59">
        <v>105</v>
      </c>
      <c r="E61" s="59">
        <v>54130</v>
      </c>
      <c r="F61" s="62"/>
      <c r="K61" s="3">
        <f t="shared" ca="1" si="7"/>
        <v>100</v>
      </c>
      <c r="L61" s="3">
        <f t="shared" ca="1" si="8"/>
        <v>25542</v>
      </c>
    </row>
    <row r="62" spans="1:12" ht="15.6" x14ac:dyDescent="0.3">
      <c r="A62" s="62"/>
      <c r="B62" s="61"/>
      <c r="C62" s="59" t="str">
        <f t="shared" si="6"/>
        <v>Q</v>
      </c>
      <c r="D62" s="59">
        <v>90</v>
      </c>
      <c r="E62" s="59">
        <v>25468</v>
      </c>
      <c r="F62" s="62"/>
      <c r="K62" s="3">
        <f t="shared" ca="1" si="7"/>
        <v>100</v>
      </c>
      <c r="L62" s="3">
        <f t="shared" ca="1" si="8"/>
        <v>25771</v>
      </c>
    </row>
    <row r="63" spans="1:12" ht="15.6" x14ac:dyDescent="0.3">
      <c r="A63" s="62"/>
      <c r="B63" s="61" t="s">
        <v>86</v>
      </c>
      <c r="C63" s="59" t="str">
        <f t="shared" si="6"/>
        <v>P</v>
      </c>
      <c r="D63" s="59">
        <v>95</v>
      </c>
      <c r="E63" s="59">
        <v>26975</v>
      </c>
      <c r="F63" s="62"/>
      <c r="K63" s="3">
        <f t="shared" ca="1" si="7"/>
        <v>95</v>
      </c>
      <c r="L63" s="3">
        <f t="shared" ca="1" si="8"/>
        <v>25353</v>
      </c>
    </row>
    <row r="64" spans="1:12" ht="15.6" x14ac:dyDescent="0.3">
      <c r="A64" s="62"/>
      <c r="B64" s="61"/>
      <c r="C64" s="59" t="str">
        <f t="shared" si="6"/>
        <v>T</v>
      </c>
      <c r="D64" s="59">
        <v>85</v>
      </c>
      <c r="E64" s="59">
        <v>54105</v>
      </c>
      <c r="F64" s="62"/>
      <c r="K64" s="3">
        <f t="shared" ca="1" si="7"/>
        <v>100</v>
      </c>
      <c r="L64" s="3">
        <f t="shared" ca="1" si="8"/>
        <v>25470</v>
      </c>
    </row>
    <row r="65" spans="1:12" ht="15.6" x14ac:dyDescent="0.3">
      <c r="A65" s="62"/>
      <c r="B65" s="61"/>
      <c r="C65" s="59" t="str">
        <f t="shared" si="6"/>
        <v>Q</v>
      </c>
      <c r="D65" s="59">
        <v>85</v>
      </c>
      <c r="E65" s="59">
        <v>25064</v>
      </c>
      <c r="F65" s="62"/>
      <c r="K65" s="3">
        <f t="shared" ca="1" si="7"/>
        <v>100</v>
      </c>
      <c r="L65" s="3">
        <f t="shared" ca="1" si="8"/>
        <v>25673</v>
      </c>
    </row>
    <row r="66" spans="1:12" ht="15.6" x14ac:dyDescent="0.3">
      <c r="A66" s="62"/>
      <c r="B66" s="61" t="s">
        <v>87</v>
      </c>
      <c r="C66" s="59" t="str">
        <f t="shared" si="6"/>
        <v>P</v>
      </c>
      <c r="D66" s="59">
        <v>90</v>
      </c>
      <c r="E66" s="59">
        <v>25900</v>
      </c>
      <c r="F66" s="62"/>
      <c r="K66" s="3">
        <f t="shared" ca="1" si="7"/>
        <v>105</v>
      </c>
      <c r="L66" s="3">
        <f t="shared" ca="1" si="8"/>
        <v>25052</v>
      </c>
    </row>
    <row r="67" spans="1:12" ht="15.6" x14ac:dyDescent="0.3">
      <c r="A67" s="62"/>
      <c r="B67" s="61"/>
      <c r="C67" s="59" t="str">
        <f t="shared" si="6"/>
        <v>T</v>
      </c>
      <c r="D67" s="59">
        <v>100</v>
      </c>
      <c r="E67" s="59">
        <v>54668</v>
      </c>
      <c r="F67" s="62"/>
      <c r="K67" s="3">
        <f t="shared" ca="1" si="7"/>
        <v>105</v>
      </c>
      <c r="L67" s="3">
        <f t="shared" ca="1" si="8"/>
        <v>25558</v>
      </c>
    </row>
    <row r="68" spans="1:12" ht="15.6" x14ac:dyDescent="0.3">
      <c r="A68" s="62"/>
      <c r="B68" s="61"/>
      <c r="C68" s="59" t="str">
        <f t="shared" si="6"/>
        <v>Q</v>
      </c>
      <c r="D68" s="59">
        <v>105</v>
      </c>
      <c r="E68" s="59">
        <v>25299</v>
      </c>
      <c r="F68" s="62"/>
      <c r="K68" s="3">
        <f t="shared" ca="1" si="7"/>
        <v>105</v>
      </c>
      <c r="L68" s="3">
        <f t="shared" ca="1" si="8"/>
        <v>25296</v>
      </c>
    </row>
    <row r="69" spans="1:12" ht="15.6" x14ac:dyDescent="0.3">
      <c r="A69" s="62"/>
      <c r="B69" s="61" t="s">
        <v>88</v>
      </c>
      <c r="C69" s="59" t="str">
        <f t="shared" si="6"/>
        <v>P</v>
      </c>
      <c r="D69" s="59">
        <v>95</v>
      </c>
      <c r="E69" s="59">
        <v>26729</v>
      </c>
      <c r="F69" s="62"/>
      <c r="K69" s="3">
        <f t="shared" ca="1" si="7"/>
        <v>95</v>
      </c>
      <c r="L69" s="3">
        <f t="shared" ca="1" si="8"/>
        <v>25407</v>
      </c>
    </row>
    <row r="70" spans="1:12" ht="15.6" x14ac:dyDescent="0.3">
      <c r="A70" s="62"/>
      <c r="B70" s="61"/>
      <c r="C70" s="59" t="str">
        <f t="shared" si="6"/>
        <v>T</v>
      </c>
      <c r="D70" s="59">
        <v>100</v>
      </c>
      <c r="E70" s="59">
        <v>53199</v>
      </c>
      <c r="F70" s="62"/>
      <c r="K70" s="3">
        <f t="shared" ca="1" si="7"/>
        <v>90</v>
      </c>
      <c r="L70" s="3">
        <f t="shared" ca="1" si="8"/>
        <v>25468</v>
      </c>
    </row>
    <row r="71" spans="1:12" ht="15.6" x14ac:dyDescent="0.3">
      <c r="A71" s="62"/>
      <c r="B71" s="61"/>
      <c r="C71" s="59" t="str">
        <f t="shared" si="6"/>
        <v>Q</v>
      </c>
      <c r="D71" s="59">
        <v>90</v>
      </c>
      <c r="E71" s="59">
        <v>25915</v>
      </c>
      <c r="F71" s="62"/>
      <c r="K71" s="3">
        <f t="shared" ca="1" si="7"/>
        <v>85</v>
      </c>
      <c r="L71" s="3">
        <f t="shared" ca="1" si="8"/>
        <v>25064</v>
      </c>
    </row>
    <row r="72" spans="1:12" ht="15.6" x14ac:dyDescent="0.3">
      <c r="A72" s="62"/>
      <c r="B72" s="61" t="s">
        <v>89</v>
      </c>
      <c r="C72" s="59" t="str">
        <f t="shared" si="6"/>
        <v>P</v>
      </c>
      <c r="D72" s="59">
        <v>100</v>
      </c>
      <c r="E72" s="59">
        <v>25256</v>
      </c>
      <c r="F72" s="62"/>
      <c r="K72" s="3">
        <f t="shared" ca="1" si="7"/>
        <v>105</v>
      </c>
      <c r="L72" s="3">
        <f t="shared" ca="1" si="8"/>
        <v>25299</v>
      </c>
    </row>
    <row r="73" spans="1:12" ht="15.6" x14ac:dyDescent="0.3">
      <c r="A73" s="62"/>
      <c r="B73" s="61"/>
      <c r="C73" s="59" t="str">
        <f t="shared" si="6"/>
        <v>T</v>
      </c>
      <c r="D73" s="59">
        <v>95</v>
      </c>
      <c r="E73" s="59">
        <v>54459</v>
      </c>
      <c r="F73" s="62"/>
      <c r="K73" s="3">
        <f t="shared" ca="1" si="7"/>
        <v>90</v>
      </c>
      <c r="L73" s="3">
        <f t="shared" ca="1" si="8"/>
        <v>25915</v>
      </c>
    </row>
    <row r="74" spans="1:12" ht="15.6" x14ac:dyDescent="0.3">
      <c r="A74" s="62"/>
      <c r="B74" s="61"/>
      <c r="C74" s="59" t="str">
        <f t="shared" si="6"/>
        <v>Q</v>
      </c>
      <c r="D74" s="59">
        <v>95</v>
      </c>
      <c r="E74" s="59">
        <v>25397</v>
      </c>
      <c r="F74" s="62"/>
      <c r="K74" s="3">
        <f t="shared" ca="1" si="7"/>
        <v>95</v>
      </c>
      <c r="L74" s="3">
        <f t="shared" ca="1" si="8"/>
        <v>25397</v>
      </c>
    </row>
    <row r="75" spans="1:12" ht="15.6" x14ac:dyDescent="0.3">
      <c r="A75" s="62"/>
      <c r="B75" s="61" t="s">
        <v>90</v>
      </c>
      <c r="C75" s="59" t="str">
        <f t="shared" si="6"/>
        <v>P</v>
      </c>
      <c r="D75" s="59">
        <v>90</v>
      </c>
      <c r="E75" s="59">
        <v>26315</v>
      </c>
      <c r="F75" s="62"/>
      <c r="K75" s="3">
        <f t="shared" ca="1" si="7"/>
        <v>100</v>
      </c>
      <c r="L75" s="3">
        <f t="shared" ca="1" si="8"/>
        <v>25759</v>
      </c>
    </row>
    <row r="76" spans="1:12" ht="15.6" x14ac:dyDescent="0.3">
      <c r="A76" s="62"/>
      <c r="B76" s="61"/>
      <c r="C76" s="59" t="str">
        <f t="shared" si="6"/>
        <v>T</v>
      </c>
      <c r="D76" s="59">
        <v>100</v>
      </c>
      <c r="E76" s="59">
        <v>53675</v>
      </c>
      <c r="F76" s="62"/>
      <c r="K76" s="3">
        <f t="shared" ca="1" si="7"/>
        <v>105</v>
      </c>
      <c r="L76" s="3">
        <f t="shared" ca="1" si="8"/>
        <v>25608</v>
      </c>
    </row>
    <row r="77" spans="1:12" ht="15.6" x14ac:dyDescent="0.3">
      <c r="A77" s="62"/>
      <c r="B77" s="61"/>
      <c r="C77" s="59" t="str">
        <f t="shared" si="6"/>
        <v>Q</v>
      </c>
      <c r="D77" s="59">
        <v>100</v>
      </c>
      <c r="E77" s="59">
        <v>25759</v>
      </c>
      <c r="F77" s="62"/>
    </row>
    <row r="78" spans="1:12" ht="15.6" x14ac:dyDescent="0.3">
      <c r="A78" s="62"/>
      <c r="B78" s="61" t="s">
        <v>91</v>
      </c>
      <c r="C78" s="59" t="str">
        <f t="shared" si="6"/>
        <v>P</v>
      </c>
      <c r="D78" s="59">
        <v>95</v>
      </c>
      <c r="E78" s="59">
        <v>26151</v>
      </c>
      <c r="F78" s="62"/>
    </row>
    <row r="79" spans="1:12" ht="15.6" x14ac:dyDescent="0.3">
      <c r="A79" s="62"/>
      <c r="B79" s="61"/>
      <c r="C79" s="59" t="str">
        <f t="shared" si="6"/>
        <v>T</v>
      </c>
      <c r="D79" s="59">
        <v>95</v>
      </c>
      <c r="E79" s="59">
        <v>53108</v>
      </c>
      <c r="F79" s="62"/>
    </row>
    <row r="80" spans="1:12" ht="15.6" x14ac:dyDescent="0.3">
      <c r="A80" s="62"/>
      <c r="B80" s="61"/>
      <c r="C80" s="59" t="str">
        <f t="shared" ref="C80" si="9">+C77</f>
        <v>Q</v>
      </c>
      <c r="D80" s="59">
        <v>105</v>
      </c>
      <c r="E80" s="59">
        <v>25608</v>
      </c>
      <c r="F80" s="62"/>
    </row>
    <row r="81" spans="1:6" ht="15.6" x14ac:dyDescent="0.3">
      <c r="A81" s="62"/>
      <c r="B81" s="59" t="str">
        <f>+CONCATENATE("T = ",C9,"h",D9,"'",E9,"''")</f>
        <v>T = 18h57'44''</v>
      </c>
      <c r="C81" s="59" t="s">
        <v>12</v>
      </c>
      <c r="D81" s="59" t="s">
        <v>63</v>
      </c>
      <c r="E81" s="59">
        <v>2279</v>
      </c>
      <c r="F81" s="62"/>
    </row>
    <row r="82" spans="1:6" ht="15.6" x14ac:dyDescent="0.3">
      <c r="A82" s="62"/>
      <c r="B82" s="59"/>
      <c r="C82" s="59"/>
      <c r="D82" s="59" t="s">
        <v>16</v>
      </c>
      <c r="E82" s="59">
        <f>+SUM(E20:E81)</f>
        <v>2114196</v>
      </c>
      <c r="F82" s="62"/>
    </row>
    <row r="83" spans="1:6" ht="15.6" x14ac:dyDescent="0.3">
      <c r="A83" s="62"/>
      <c r="B83" s="62"/>
      <c r="C83" s="62"/>
      <c r="D83" s="62"/>
      <c r="E83" s="62"/>
      <c r="F83" s="62"/>
    </row>
    <row r="84" spans="1:6" x14ac:dyDescent="0.3">
      <c r="E84">
        <f>+E82/100</f>
        <v>21141.96</v>
      </c>
    </row>
    <row r="85" spans="1:6" x14ac:dyDescent="0.3">
      <c r="E85">
        <f>+E84/3600</f>
        <v>5.8727666666666662</v>
      </c>
    </row>
    <row r="86" spans="1:6" x14ac:dyDescent="0.3">
      <c r="B86" s="14"/>
      <c r="C86" s="14"/>
      <c r="D86" s="14"/>
      <c r="E86" s="14">
        <f>+(E85-F145)*60</f>
        <v>52.365999999999971</v>
      </c>
    </row>
    <row r="87" spans="1:6" x14ac:dyDescent="0.3">
      <c r="B87" s="19"/>
      <c r="C87" s="19"/>
      <c r="D87" s="19"/>
      <c r="E87" s="19">
        <f>+(E86-F146)*60</f>
        <v>21.959999999998274</v>
      </c>
    </row>
    <row r="88" spans="1:6" x14ac:dyDescent="0.3">
      <c r="B88" s="19"/>
      <c r="C88" s="19"/>
      <c r="D88" s="19"/>
      <c r="E88" s="19"/>
    </row>
    <row r="89" spans="1:6" x14ac:dyDescent="0.3">
      <c r="B89" s="19"/>
      <c r="C89" s="19"/>
      <c r="D89" s="19"/>
      <c r="E89" s="19"/>
    </row>
    <row r="90" spans="1:6" x14ac:dyDescent="0.3">
      <c r="B90" s="19"/>
      <c r="C90" s="19"/>
      <c r="D90" s="19"/>
      <c r="E90" s="19"/>
    </row>
    <row r="91" spans="1:6" x14ac:dyDescent="0.3">
      <c r="B91" s="19"/>
      <c r="C91" s="19"/>
      <c r="D91" s="19"/>
      <c r="E91" s="19"/>
    </row>
    <row r="92" spans="1:6" x14ac:dyDescent="0.3">
      <c r="B92" s="19"/>
      <c r="C92" s="19"/>
      <c r="D92" s="19"/>
      <c r="E92" s="19"/>
    </row>
    <row r="93" spans="1:6" x14ac:dyDescent="0.3">
      <c r="B93" s="19"/>
      <c r="C93" s="19"/>
      <c r="D93" s="19"/>
      <c r="E93" s="19"/>
    </row>
    <row r="94" spans="1:6" x14ac:dyDescent="0.3">
      <c r="B94" s="19"/>
      <c r="C94" s="19"/>
      <c r="D94" s="19"/>
      <c r="E94" s="19"/>
    </row>
    <row r="95" spans="1:6" x14ac:dyDescent="0.3">
      <c r="B95" s="19"/>
      <c r="C95" s="19"/>
      <c r="D95" s="19"/>
      <c r="E95" s="19"/>
    </row>
    <row r="96" spans="1:6" x14ac:dyDescent="0.3">
      <c r="B96" s="19"/>
      <c r="C96" s="19"/>
      <c r="D96" s="19"/>
      <c r="E96" s="19"/>
    </row>
    <row r="97" spans="2:5" x14ac:dyDescent="0.3">
      <c r="B97" s="19"/>
      <c r="C97" s="19"/>
      <c r="D97" s="19"/>
      <c r="E97" s="19"/>
    </row>
    <row r="98" spans="2:5" x14ac:dyDescent="0.3">
      <c r="B98" s="19"/>
      <c r="C98" s="19"/>
      <c r="D98" s="19"/>
      <c r="E98" s="19"/>
    </row>
    <row r="99" spans="2:5" x14ac:dyDescent="0.3">
      <c r="B99" s="19"/>
      <c r="C99" s="19"/>
      <c r="D99" s="19"/>
      <c r="E99" s="19"/>
    </row>
    <row r="100" spans="2:5" x14ac:dyDescent="0.3">
      <c r="B100" s="19"/>
      <c r="C100" s="19"/>
      <c r="D100" s="19"/>
      <c r="E100" s="19"/>
    </row>
    <row r="101" spans="2:5" x14ac:dyDescent="0.3">
      <c r="B101" s="19"/>
      <c r="C101" s="19"/>
      <c r="D101" s="19"/>
      <c r="E101" s="19"/>
    </row>
    <row r="102" spans="2:5" x14ac:dyDescent="0.3">
      <c r="B102" s="19"/>
      <c r="C102" s="19"/>
      <c r="D102" s="19"/>
      <c r="E102" s="19"/>
    </row>
    <row r="103" spans="2:5" x14ac:dyDescent="0.3">
      <c r="B103" s="19"/>
      <c r="C103" s="19"/>
      <c r="D103" s="19"/>
      <c r="E103" s="19"/>
    </row>
    <row r="104" spans="2:5" x14ac:dyDescent="0.3">
      <c r="B104" s="19"/>
      <c r="C104" s="19"/>
      <c r="D104" s="19"/>
      <c r="E104" s="19"/>
    </row>
    <row r="105" spans="2:5" x14ac:dyDescent="0.3">
      <c r="B105" s="19"/>
      <c r="C105" s="19"/>
      <c r="D105" s="19"/>
      <c r="E105" s="19"/>
    </row>
    <row r="106" spans="2:5" x14ac:dyDescent="0.3">
      <c r="B106" s="19"/>
      <c r="C106" s="19"/>
      <c r="D106" s="19"/>
      <c r="E106" s="19"/>
    </row>
    <row r="108" spans="2:5" x14ac:dyDescent="0.3">
      <c r="B108" s="16"/>
      <c r="C108" s="16"/>
      <c r="D108" s="16"/>
      <c r="E108" s="16"/>
    </row>
    <row r="109" spans="2:5" x14ac:dyDescent="0.3">
      <c r="B109" s="16"/>
      <c r="C109" s="16"/>
      <c r="D109" s="16"/>
      <c r="E109" s="16"/>
    </row>
    <row r="110" spans="2:5" x14ac:dyDescent="0.3">
      <c r="B110" s="16"/>
      <c r="C110" s="16"/>
      <c r="D110" s="16"/>
      <c r="E110" s="16"/>
    </row>
    <row r="111" spans="2:5" x14ac:dyDescent="0.3">
      <c r="B111" s="16"/>
      <c r="C111" s="16"/>
      <c r="D111" s="16"/>
      <c r="E111" s="16"/>
    </row>
    <row r="112" spans="2:5" x14ac:dyDescent="0.3">
      <c r="B112" s="16"/>
      <c r="C112" s="16"/>
      <c r="D112" s="16"/>
      <c r="E112" s="16"/>
    </row>
    <row r="145" spans="6:7" x14ac:dyDescent="0.3">
      <c r="F145">
        <f>+INT(E85)</f>
        <v>5</v>
      </c>
      <c r="G145" t="s">
        <v>92</v>
      </c>
    </row>
    <row r="146" spans="6:7" x14ac:dyDescent="0.3">
      <c r="F146" s="1">
        <f>+INT(E86)</f>
        <v>52</v>
      </c>
      <c r="G146" t="s">
        <v>93</v>
      </c>
    </row>
    <row r="147" spans="6:7" x14ac:dyDescent="0.3">
      <c r="F147" s="20">
        <f>+ROUND(E87,0)</f>
        <v>22</v>
      </c>
      <c r="G147" t="s">
        <v>94</v>
      </c>
    </row>
    <row r="148" spans="6:7" x14ac:dyDescent="0.3">
      <c r="F148" s="19"/>
    </row>
    <row r="149" spans="6:7" x14ac:dyDescent="0.3">
      <c r="F149" s="19"/>
    </row>
    <row r="150" spans="6:7" x14ac:dyDescent="0.3">
      <c r="F150" s="19"/>
    </row>
    <row r="151" spans="6:7" x14ac:dyDescent="0.3">
      <c r="F151" s="19"/>
    </row>
    <row r="152" spans="6:7" x14ac:dyDescent="0.3">
      <c r="F152" s="19"/>
    </row>
    <row r="153" spans="6:7" x14ac:dyDescent="0.3">
      <c r="F153" s="19"/>
    </row>
    <row r="154" spans="6:7" x14ac:dyDescent="0.3">
      <c r="F154" s="19"/>
    </row>
    <row r="155" spans="6:7" x14ac:dyDescent="0.3">
      <c r="F155" s="19"/>
    </row>
    <row r="156" spans="6:7" x14ac:dyDescent="0.3">
      <c r="F156" s="19"/>
    </row>
    <row r="157" spans="6:7" x14ac:dyDescent="0.3">
      <c r="F157" s="19"/>
    </row>
    <row r="158" spans="6:7" x14ac:dyDescent="0.3">
      <c r="F158" s="19"/>
    </row>
    <row r="159" spans="6:7" x14ac:dyDescent="0.3">
      <c r="F159" s="19"/>
    </row>
    <row r="160" spans="6:7" x14ac:dyDescent="0.3">
      <c r="F160" s="19"/>
    </row>
    <row r="161" spans="6:8" x14ac:dyDescent="0.3">
      <c r="F161" s="19"/>
    </row>
    <row r="162" spans="6:8" x14ac:dyDescent="0.3">
      <c r="F162" s="19"/>
    </row>
    <row r="163" spans="6:8" x14ac:dyDescent="0.3">
      <c r="F163" s="19"/>
    </row>
    <row r="164" spans="6:8" x14ac:dyDescent="0.3">
      <c r="F164" s="19"/>
    </row>
    <row r="165" spans="6:8" x14ac:dyDescent="0.3">
      <c r="F165" s="19"/>
    </row>
    <row r="166" spans="6:8" x14ac:dyDescent="0.3">
      <c r="F166" s="19"/>
    </row>
    <row r="168" spans="6:8" x14ac:dyDescent="0.3">
      <c r="F168" s="16"/>
      <c r="G168" s="16"/>
      <c r="H168" s="16"/>
    </row>
    <row r="169" spans="6:8" x14ac:dyDescent="0.3">
      <c r="F169" s="16"/>
      <c r="G169" s="16"/>
      <c r="H169" s="16"/>
    </row>
    <row r="170" spans="6:8" x14ac:dyDescent="0.3">
      <c r="F170" s="16"/>
      <c r="G170" s="16"/>
      <c r="H170" s="16"/>
    </row>
    <row r="171" spans="6:8" x14ac:dyDescent="0.3">
      <c r="F171" s="16"/>
      <c r="G171" s="16"/>
      <c r="H171" s="16"/>
    </row>
    <row r="172" spans="6:8" x14ac:dyDescent="0.3">
      <c r="F172" s="16"/>
      <c r="G172" s="16"/>
      <c r="H172" s="16"/>
    </row>
    <row r="201" spans="9:22" x14ac:dyDescent="0.3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9:22" x14ac:dyDescent="0.3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9:22" x14ac:dyDescent="0.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9:22" x14ac:dyDescent="0.3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9:22" x14ac:dyDescent="0.3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</sheetData>
  <mergeCells count="24">
    <mergeCell ref="K54:L54"/>
    <mergeCell ref="K4:L4"/>
    <mergeCell ref="N4:O4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C15:F15"/>
    <mergeCell ref="B72:B74"/>
    <mergeCell ref="B75:B77"/>
    <mergeCell ref="B78:B80"/>
    <mergeCell ref="B57:B59"/>
    <mergeCell ref="B60:B62"/>
    <mergeCell ref="B63:B65"/>
    <mergeCell ref="B66:B68"/>
    <mergeCell ref="B69:B7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U12" sqref="U12"/>
    </sheetView>
  </sheetViews>
  <sheetFormatPr baseColWidth="10" defaultRowHeight="15.6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8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8" bestFit="1" customWidth="1"/>
    <col min="13" max="13" width="2.6640625" bestFit="1" customWidth="1"/>
    <col min="16" max="17" width="12.77734375" style="58" customWidth="1"/>
  </cols>
  <sheetData>
    <row r="1" spans="1:17" x14ac:dyDescent="0.3">
      <c r="A1" s="1"/>
    </row>
    <row r="2" spans="1:17" ht="16.2" thickBot="1" x14ac:dyDescent="0.35">
      <c r="A2" s="1"/>
      <c r="C2" s="1"/>
      <c r="P2" s="65"/>
      <c r="Q2" s="65"/>
    </row>
    <row r="3" spans="1:17" ht="16.2" thickBot="1" x14ac:dyDescent="0.35">
      <c r="A3" s="1"/>
      <c r="B3" s="6"/>
      <c r="C3" s="31" t="s">
        <v>0</v>
      </c>
      <c r="D3" s="31" t="s">
        <v>1</v>
      </c>
      <c r="E3" s="31" t="s">
        <v>2</v>
      </c>
      <c r="J3" s="9" t="s">
        <v>11</v>
      </c>
      <c r="K3" s="10" t="s">
        <v>4</v>
      </c>
      <c r="L3" s="34">
        <f>+'Hoja de cronometraje'!E20</f>
        <v>2956</v>
      </c>
      <c r="M3" s="8" t="s">
        <v>7</v>
      </c>
      <c r="P3" s="70" t="s">
        <v>95</v>
      </c>
      <c r="Q3" s="71" t="s">
        <v>96</v>
      </c>
    </row>
    <row r="4" spans="1:17" ht="16.2" thickBot="1" x14ac:dyDescent="0.35">
      <c r="A4" s="1"/>
      <c r="B4" s="13" t="s">
        <v>3</v>
      </c>
      <c r="C4" s="3">
        <f>+'Hoja de cronometraje'!C9</f>
        <v>18</v>
      </c>
      <c r="D4" s="3">
        <f>+'Hoja de cronometraje'!D9</f>
        <v>57</v>
      </c>
      <c r="E4" s="3">
        <f>+'Hoja de cronometraje'!E9</f>
        <v>44</v>
      </c>
      <c r="F4" t="s">
        <v>4</v>
      </c>
      <c r="G4" s="4">
        <f>(C4*3600)+(D4*60)+E4</f>
        <v>68264</v>
      </c>
      <c r="H4" s="5" t="s">
        <v>5</v>
      </c>
      <c r="J4" s="9" t="s">
        <v>12</v>
      </c>
      <c r="K4" s="10" t="s">
        <v>4</v>
      </c>
      <c r="L4" s="33">
        <f>+'Hoja de cronometraje'!E81</f>
        <v>2279</v>
      </c>
      <c r="M4" s="8" t="s">
        <v>7</v>
      </c>
      <c r="P4" s="66" t="s">
        <v>97</v>
      </c>
      <c r="Q4" s="68" t="str">
        <f>+CONCATENATE(C4,"h ",D4,"'",E4,"""")</f>
        <v>18h 57'44"</v>
      </c>
    </row>
    <row r="5" spans="1:17" ht="16.2" thickBot="1" x14ac:dyDescent="0.35">
      <c r="A5" s="1"/>
      <c r="B5" s="15" t="s">
        <v>6</v>
      </c>
      <c r="C5" s="3">
        <f>+'Hoja de cronometraje'!C10</f>
        <v>13</v>
      </c>
      <c r="D5" s="3">
        <f>+'Hoja de cronometraje'!D10</f>
        <v>5</v>
      </c>
      <c r="E5" s="3">
        <f>+'Hoja de cronometraje'!E10</f>
        <v>22</v>
      </c>
      <c r="F5" t="s">
        <v>4</v>
      </c>
      <c r="G5" s="7">
        <f>(C5*3600)+(D5*60)+E5</f>
        <v>47122</v>
      </c>
      <c r="H5" s="8" t="s">
        <v>5</v>
      </c>
      <c r="J5" s="9" t="s">
        <v>14</v>
      </c>
      <c r="K5" s="10" t="s">
        <v>4</v>
      </c>
      <c r="L5" s="35">
        <v>0</v>
      </c>
      <c r="M5" s="8" t="s">
        <v>7</v>
      </c>
      <c r="P5" s="66" t="s">
        <v>98</v>
      </c>
      <c r="Q5" s="68" t="str">
        <f>+CONCATENATE(C5,"h ",D5,"'",E5,"""")</f>
        <v>13h 5'22"</v>
      </c>
    </row>
    <row r="6" spans="1:17" x14ac:dyDescent="0.3">
      <c r="E6" s="1"/>
      <c r="J6" s="1"/>
      <c r="P6" s="67" t="s">
        <v>10</v>
      </c>
      <c r="Q6" s="69" t="str">
        <f>+CONCATENATE(G7," seg")</f>
        <v>21142 seg</v>
      </c>
    </row>
    <row r="7" spans="1:17" ht="16.2" thickBot="1" x14ac:dyDescent="0.35">
      <c r="E7" s="9" t="s">
        <v>10</v>
      </c>
      <c r="F7" s="10" t="s">
        <v>4</v>
      </c>
      <c r="G7" s="10">
        <f>G4-G5</f>
        <v>21142</v>
      </c>
      <c r="H7" s="8" t="s">
        <v>5</v>
      </c>
      <c r="J7" s="1"/>
      <c r="P7" s="67" t="s">
        <v>10</v>
      </c>
      <c r="Q7" s="69" t="str">
        <f>+CONCATENATE(G8," c.s.")</f>
        <v>2114200 c.s.</v>
      </c>
    </row>
    <row r="8" spans="1:17" ht="16.2" thickBot="1" x14ac:dyDescent="0.35">
      <c r="E8" s="9" t="s">
        <v>10</v>
      </c>
      <c r="F8" s="10" t="s">
        <v>4</v>
      </c>
      <c r="G8" s="33">
        <f>G7*100</f>
        <v>2114200</v>
      </c>
      <c r="H8" s="8" t="s">
        <v>7</v>
      </c>
      <c r="J8" s="9" t="s">
        <v>13</v>
      </c>
      <c r="K8" s="10" t="s">
        <v>4</v>
      </c>
      <c r="L8" s="10">
        <f>G8-L3-L4</f>
        <v>2108965</v>
      </c>
      <c r="M8" s="8" t="s">
        <v>7</v>
      </c>
      <c r="P8" s="66" t="s">
        <v>11</v>
      </c>
      <c r="Q8" s="68" t="str">
        <f>+CONCATENATE(L3," c.s.")</f>
        <v>2956 c.s.</v>
      </c>
    </row>
    <row r="9" spans="1:17" x14ac:dyDescent="0.3">
      <c r="J9" s="9" t="s">
        <v>15</v>
      </c>
      <c r="K9" s="10" t="s">
        <v>4</v>
      </c>
      <c r="L9" s="10">
        <f>L8-L5</f>
        <v>2108965</v>
      </c>
      <c r="M9" s="8" t="s">
        <v>7</v>
      </c>
      <c r="P9" s="66" t="s">
        <v>12</v>
      </c>
      <c r="Q9" s="68" t="str">
        <f>+CONCATENATE(L4," c.s.")</f>
        <v>2279 c.s.</v>
      </c>
    </row>
    <row r="10" spans="1:17" x14ac:dyDescent="0.3">
      <c r="J10" s="63"/>
      <c r="K10" s="64"/>
      <c r="L10" s="64"/>
      <c r="M10" s="64"/>
      <c r="P10" s="67" t="s">
        <v>13</v>
      </c>
      <c r="Q10" s="69" t="str">
        <f>+CONCATENATE(L8," c.s.")</f>
        <v>2108965 c.s.</v>
      </c>
    </row>
    <row r="11" spans="1:17" x14ac:dyDescent="0.3">
      <c r="P11" s="67" t="s">
        <v>99</v>
      </c>
      <c r="Q11" s="69" t="str">
        <f>+CONCATENATE(L5," c.s.")</f>
        <v>0 c.s.</v>
      </c>
    </row>
    <row r="12" spans="1:17" x14ac:dyDescent="0.3">
      <c r="J12" s="12" t="s">
        <v>16</v>
      </c>
      <c r="K12" s="10" t="s">
        <v>4</v>
      </c>
      <c r="L12" s="10">
        <f>+'Hoja de cronometraje'!E82</f>
        <v>2114196</v>
      </c>
      <c r="M12" s="8" t="s">
        <v>7</v>
      </c>
      <c r="P12" s="67" t="s">
        <v>15</v>
      </c>
      <c r="Q12" s="69" t="str">
        <f>+CONCATENATE(L9," c.s.")</f>
        <v>2108965 c.s.</v>
      </c>
    </row>
    <row r="13" spans="1:17" x14ac:dyDescent="0.3">
      <c r="J13" s="12" t="s">
        <v>17</v>
      </c>
      <c r="K13" s="10" t="s">
        <v>4</v>
      </c>
      <c r="L13" s="10">
        <f>G8-L12</f>
        <v>4</v>
      </c>
      <c r="M13" s="8" t="s">
        <v>7</v>
      </c>
      <c r="P13" s="66" t="s">
        <v>16</v>
      </c>
      <c r="Q13" s="68" t="str">
        <f>+CONCATENATE(L12," c.s.")</f>
        <v>2114196 c.s.</v>
      </c>
    </row>
    <row r="14" spans="1:17" x14ac:dyDescent="0.3">
      <c r="J14" s="1"/>
      <c r="P14" s="67" t="s">
        <v>100</v>
      </c>
      <c r="Q14" s="69" t="str">
        <f>+CONCATENATE(L13," c.s.")</f>
        <v>4 c.s.</v>
      </c>
    </row>
    <row r="15" spans="1:17" x14ac:dyDescent="0.3">
      <c r="J15" s="9" t="s">
        <v>9</v>
      </c>
      <c r="K15" s="10" t="s">
        <v>4</v>
      </c>
      <c r="L15" s="11">
        <f>(L13/G8)*100</f>
        <v>1.8919685933213508E-4</v>
      </c>
      <c r="M15" s="8" t="s">
        <v>8</v>
      </c>
      <c r="P15" s="67" t="s">
        <v>9</v>
      </c>
      <c r="Q15" s="69" t="str">
        <f>+CONCATENATE(ROUND(L15,4)," %")</f>
        <v>0.0002 %</v>
      </c>
    </row>
    <row r="16" spans="1:17" x14ac:dyDescent="0.3">
      <c r="G16" s="2"/>
    </row>
    <row r="17" spans="9:17" x14ac:dyDescent="0.3">
      <c r="I17" s="46" t="str">
        <f>IF(ABS(L15)&lt;1,"Los tiempos son confiables","Los tiempos no son confiables")</f>
        <v>Los tiempos son confiables</v>
      </c>
      <c r="J17" s="47"/>
      <c r="K17" s="47"/>
      <c r="L17" s="47"/>
      <c r="M17" s="47"/>
      <c r="N17" s="48"/>
      <c r="P17" s="62"/>
      <c r="Q17" s="62"/>
    </row>
    <row r="18" spans="9:17" x14ac:dyDescent="0.3">
      <c r="I18" s="49"/>
      <c r="J18" s="50"/>
      <c r="K18" s="50"/>
      <c r="L18" s="50"/>
      <c r="M18" s="50"/>
      <c r="N18" s="51"/>
      <c r="P18" s="62"/>
      <c r="Q18" s="62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55"/>
  <sheetViews>
    <sheetView showGridLines="0" topLeftCell="C23" zoomScaleNormal="100" workbookViewId="0">
      <selection activeCell="O56" sqref="O56"/>
    </sheetView>
  </sheetViews>
  <sheetFormatPr baseColWidth="10" defaultRowHeight="14.4" x14ac:dyDescent="0.3"/>
  <cols>
    <col min="5" max="6" width="12.77734375" customWidth="1"/>
    <col min="7" max="7" width="15.77734375" customWidth="1"/>
    <col min="14" max="15" width="12.77734375" customWidth="1"/>
    <col min="16" max="16" width="15.77734375" customWidth="1"/>
  </cols>
  <sheetData>
    <row r="2" spans="2:19" x14ac:dyDescent="0.3">
      <c r="B2" s="14"/>
      <c r="G2" s="52" t="str">
        <f>+'Hoja de cronometraje'!K4</f>
        <v>Elemento P</v>
      </c>
      <c r="H2" s="53"/>
      <c r="P2" s="52" t="str">
        <f>+'Hoja de cronometraje'!N4</f>
        <v>Elemento T</v>
      </c>
      <c r="Q2" s="53"/>
    </row>
    <row r="5" spans="2:19" ht="15.6" x14ac:dyDescent="0.3">
      <c r="D5" s="90" t="s">
        <v>18</v>
      </c>
      <c r="E5" s="91" t="s">
        <v>19</v>
      </c>
      <c r="F5" s="91" t="s">
        <v>20</v>
      </c>
      <c r="G5" s="92" t="s">
        <v>21</v>
      </c>
      <c r="M5" s="90" t="s">
        <v>18</v>
      </c>
      <c r="N5" s="91" t="s">
        <v>19</v>
      </c>
      <c r="O5" s="91" t="s">
        <v>20</v>
      </c>
      <c r="P5" s="92" t="s">
        <v>21</v>
      </c>
    </row>
    <row r="6" spans="2:19" ht="15.6" x14ac:dyDescent="0.3">
      <c r="D6" s="79">
        <f ca="1">+'Hoja de cronometraje'!K7</f>
        <v>105</v>
      </c>
      <c r="E6" s="88">
        <f ca="1">+'Hoja de cronometraje'!L7</f>
        <v>25588</v>
      </c>
      <c r="F6" s="88">
        <f ca="1">(D6*E6)/100</f>
        <v>26867.4</v>
      </c>
      <c r="G6" s="81">
        <f ca="1">POWER(F6,2)</f>
        <v>721857182.76000011</v>
      </c>
      <c r="M6" s="79">
        <f ca="1">+'Hoja de cronometraje'!N7</f>
        <v>95</v>
      </c>
      <c r="N6" s="88">
        <f ca="1">+'Hoja de cronometraje'!O7</f>
        <v>54604</v>
      </c>
      <c r="O6" s="88">
        <f ca="1">(M6*N6)/100</f>
        <v>51873.8</v>
      </c>
      <c r="P6" s="81">
        <f ca="1">POWER(O6,2)</f>
        <v>2690891126.4400005</v>
      </c>
    </row>
    <row r="7" spans="2:19" ht="15.6" x14ac:dyDescent="0.3">
      <c r="D7" s="79">
        <f ca="1">+'Hoja de cronometraje'!K8</f>
        <v>105</v>
      </c>
      <c r="E7" s="88">
        <f ca="1">+'Hoja de cronometraje'!L8</f>
        <v>26475</v>
      </c>
      <c r="F7" s="88">
        <f t="shared" ref="F7:F25" ca="1" si="0">(D7*E7)/100</f>
        <v>27798.75</v>
      </c>
      <c r="G7" s="81">
        <f t="shared" ref="G7:G25" ca="1" si="1">POWER(F7,2)</f>
        <v>772770501.5625</v>
      </c>
      <c r="I7" s="15" t="s">
        <v>23</v>
      </c>
      <c r="J7" s="3">
        <f ca="1">COUNTA(E6:E25)</f>
        <v>20</v>
      </c>
      <c r="M7" s="79">
        <f ca="1">+'Hoja de cronometraje'!N8</f>
        <v>105</v>
      </c>
      <c r="N7" s="88">
        <f ca="1">+'Hoja de cronometraje'!O8</f>
        <v>53991</v>
      </c>
      <c r="O7" s="88">
        <f t="shared" ref="O7:O25" ca="1" si="2">(M7*N7)/100</f>
        <v>56690.55</v>
      </c>
      <c r="P7" s="81">
        <f t="shared" ref="P7:P25" ca="1" si="3">POWER(O7,2)</f>
        <v>3213818459.3025002</v>
      </c>
      <c r="R7" s="15" t="s">
        <v>23</v>
      </c>
      <c r="S7" s="3">
        <f ca="1">COUNTA(N6:N25)</f>
        <v>20</v>
      </c>
    </row>
    <row r="8" spans="2:19" ht="15.6" x14ac:dyDescent="0.3">
      <c r="D8" s="79">
        <f ca="1">+'Hoja de cronometraje'!K9</f>
        <v>105</v>
      </c>
      <c r="E8" s="88">
        <f ca="1">+'Hoja de cronometraje'!L9</f>
        <v>26258</v>
      </c>
      <c r="F8" s="88">
        <f t="shared" ca="1" si="0"/>
        <v>27570.9</v>
      </c>
      <c r="G8" s="81">
        <f t="shared" ca="1" si="1"/>
        <v>760154526.81000006</v>
      </c>
      <c r="I8" s="1"/>
      <c r="M8" s="79">
        <f ca="1">+'Hoja de cronometraje'!N9</f>
        <v>105</v>
      </c>
      <c r="N8" s="88">
        <f ca="1">+'Hoja de cronometraje'!O9</f>
        <v>53997</v>
      </c>
      <c r="O8" s="88">
        <f t="shared" ca="1" si="2"/>
        <v>56696.85</v>
      </c>
      <c r="P8" s="81">
        <f t="shared" ca="1" si="3"/>
        <v>3214532799.9224997</v>
      </c>
      <c r="R8" s="1"/>
    </row>
    <row r="9" spans="2:19" ht="15.6" x14ac:dyDescent="0.3">
      <c r="D9" s="79">
        <f ca="1">+'Hoja de cronometraje'!K10</f>
        <v>90</v>
      </c>
      <c r="E9" s="88">
        <f ca="1">+'Hoja de cronometraje'!L10</f>
        <v>26874</v>
      </c>
      <c r="F9" s="88">
        <f t="shared" ca="1" si="0"/>
        <v>24186.6</v>
      </c>
      <c r="G9" s="81">
        <f t="shared" ca="1" si="1"/>
        <v>584991619.55999994</v>
      </c>
      <c r="I9" s="1"/>
      <c r="M9" s="79">
        <f ca="1">+'Hoja de cronometraje'!N10</f>
        <v>105</v>
      </c>
      <c r="N9" s="88">
        <f ca="1">+'Hoja de cronometraje'!O10</f>
        <v>53655</v>
      </c>
      <c r="O9" s="88">
        <f t="shared" ca="1" si="2"/>
        <v>56337.75</v>
      </c>
      <c r="P9" s="81">
        <f t="shared" ca="1" si="3"/>
        <v>3173942075.0625</v>
      </c>
      <c r="R9" s="1"/>
    </row>
    <row r="10" spans="2:19" ht="15.6" x14ac:dyDescent="0.3">
      <c r="D10" s="79">
        <f ca="1">+'Hoja de cronometraje'!K11</f>
        <v>90</v>
      </c>
      <c r="E10" s="88">
        <f ca="1">+'Hoja de cronometraje'!L11</f>
        <v>26837</v>
      </c>
      <c r="F10" s="88">
        <f t="shared" ca="1" si="0"/>
        <v>24153.3</v>
      </c>
      <c r="G10" s="81">
        <f t="shared" ca="1" si="1"/>
        <v>583381900.88999999</v>
      </c>
      <c r="M10" s="79">
        <f ca="1">+'Hoja de cronometraje'!N11</f>
        <v>100</v>
      </c>
      <c r="N10" s="88">
        <f ca="1">+'Hoja de cronometraje'!O11</f>
        <v>54335</v>
      </c>
      <c r="O10" s="88">
        <f t="shared" ca="1" si="2"/>
        <v>54335</v>
      </c>
      <c r="P10" s="81">
        <f t="shared" ca="1" si="3"/>
        <v>2952292225</v>
      </c>
    </row>
    <row r="11" spans="2:19" ht="15.6" x14ac:dyDescent="0.3">
      <c r="D11" s="79">
        <f ca="1">+'Hoja de cronometraje'!K12</f>
        <v>100</v>
      </c>
      <c r="E11" s="88">
        <f ca="1">+'Hoja de cronometraje'!L12</f>
        <v>25247</v>
      </c>
      <c r="F11" s="88">
        <f t="shared" ca="1" si="0"/>
        <v>25247</v>
      </c>
      <c r="G11" s="81">
        <f t="shared" ca="1" si="1"/>
        <v>637411009</v>
      </c>
      <c r="M11" s="79">
        <f ca="1">+'Hoja de cronometraje'!N12</f>
        <v>95</v>
      </c>
      <c r="N11" s="88">
        <f ca="1">+'Hoja de cronometraje'!O12</f>
        <v>53600</v>
      </c>
      <c r="O11" s="88">
        <f t="shared" ca="1" si="2"/>
        <v>50920</v>
      </c>
      <c r="P11" s="81">
        <f t="shared" ca="1" si="3"/>
        <v>2592846400</v>
      </c>
    </row>
    <row r="12" spans="2:19" ht="15.6" x14ac:dyDescent="0.3">
      <c r="D12" s="79">
        <f ca="1">+'Hoja de cronometraje'!K13</f>
        <v>95</v>
      </c>
      <c r="E12" s="88">
        <f ca="1">+'Hoja de cronometraje'!L13</f>
        <v>25455</v>
      </c>
      <c r="F12" s="88">
        <f t="shared" ca="1" si="0"/>
        <v>24182.25</v>
      </c>
      <c r="G12" s="81">
        <f t="shared" ca="1" si="1"/>
        <v>584781215.0625</v>
      </c>
      <c r="I12" s="15" t="s">
        <v>22</v>
      </c>
      <c r="J12" s="3">
        <f ca="1">ROUNDUP(POWER(((40*SQRT((J7*G26)-POWER(F26,2)))/F26),2),0)</f>
        <v>5</v>
      </c>
      <c r="M12" s="79">
        <f ca="1">+'Hoja de cronometraje'!N13</f>
        <v>90</v>
      </c>
      <c r="N12" s="88">
        <f ca="1">+'Hoja de cronometraje'!O13</f>
        <v>53286</v>
      </c>
      <c r="O12" s="88">
        <f t="shared" ca="1" si="2"/>
        <v>47957.4</v>
      </c>
      <c r="P12" s="81">
        <f t="shared" ca="1" si="3"/>
        <v>2299912214.7600002</v>
      </c>
      <c r="R12" s="15" t="s">
        <v>22</v>
      </c>
      <c r="S12" s="3">
        <f ca="1">ROUNDUP(POWER(((40*SQRT((S7*P26)-POWER(O26,2)))/O26),2),0)</f>
        <v>7</v>
      </c>
    </row>
    <row r="13" spans="2:19" ht="15.6" x14ac:dyDescent="0.3">
      <c r="D13" s="79">
        <f ca="1">+'Hoja de cronometraje'!K14</f>
        <v>95</v>
      </c>
      <c r="E13" s="88">
        <f ca="1">+'Hoja de cronometraje'!L14</f>
        <v>25555</v>
      </c>
      <c r="F13" s="88">
        <f t="shared" ca="1" si="0"/>
        <v>24277.25</v>
      </c>
      <c r="G13" s="81">
        <f t="shared" ca="1" si="1"/>
        <v>589384867.5625</v>
      </c>
      <c r="M13" s="79">
        <f ca="1">+'Hoja de cronometraje'!N14</f>
        <v>90</v>
      </c>
      <c r="N13" s="88">
        <f ca="1">+'Hoja de cronometraje'!O14</f>
        <v>53690</v>
      </c>
      <c r="O13" s="88">
        <f t="shared" ca="1" si="2"/>
        <v>48321</v>
      </c>
      <c r="P13" s="81">
        <f t="shared" ca="1" si="3"/>
        <v>2334919041</v>
      </c>
    </row>
    <row r="14" spans="2:19" ht="15.6" x14ac:dyDescent="0.3">
      <c r="D14" s="79">
        <f ca="1">+'Hoja de cronometraje'!K15</f>
        <v>90</v>
      </c>
      <c r="E14" s="88">
        <f ca="1">+'Hoja de cronometraje'!L15</f>
        <v>26065</v>
      </c>
      <c r="F14" s="88">
        <f t="shared" ca="1" si="0"/>
        <v>23458.5</v>
      </c>
      <c r="G14" s="81">
        <f t="shared" ca="1" si="1"/>
        <v>550301222.25</v>
      </c>
      <c r="M14" s="79">
        <f ca="1">+'Hoja de cronometraje'!N15</f>
        <v>100</v>
      </c>
      <c r="N14" s="88">
        <f ca="1">+'Hoja de cronometraje'!O15</f>
        <v>54670</v>
      </c>
      <c r="O14" s="88">
        <f t="shared" ca="1" si="2"/>
        <v>54670</v>
      </c>
      <c r="P14" s="81">
        <f t="shared" ca="1" si="3"/>
        <v>2988808900</v>
      </c>
    </row>
    <row r="15" spans="2:19" ht="15.6" x14ac:dyDescent="0.3">
      <c r="D15" s="79">
        <f ca="1">+'Hoja de cronometraje'!K16</f>
        <v>95</v>
      </c>
      <c r="E15" s="88">
        <f ca="1">+'Hoja de cronometraje'!L16</f>
        <v>25456</v>
      </c>
      <c r="F15" s="88">
        <f t="shared" ca="1" si="0"/>
        <v>24183.200000000001</v>
      </c>
      <c r="G15" s="81">
        <f t="shared" ca="1" si="1"/>
        <v>584827162.24000001</v>
      </c>
      <c r="M15" s="79">
        <f ca="1">+'Hoja de cronometraje'!N16</f>
        <v>100</v>
      </c>
      <c r="N15" s="88">
        <f ca="1">+'Hoja de cronometraje'!O16</f>
        <v>54767</v>
      </c>
      <c r="O15" s="88">
        <f t="shared" ca="1" si="2"/>
        <v>54767</v>
      </c>
      <c r="P15" s="81">
        <f t="shared" ca="1" si="3"/>
        <v>2999424289</v>
      </c>
    </row>
    <row r="16" spans="2:19" ht="15.6" x14ac:dyDescent="0.3">
      <c r="D16" s="79">
        <f ca="1">+'Hoja de cronometraje'!K17</f>
        <v>105</v>
      </c>
      <c r="E16" s="88">
        <f ca="1">+'Hoja de cronometraje'!L17</f>
        <v>26096</v>
      </c>
      <c r="F16" s="88">
        <f t="shared" ca="1" si="0"/>
        <v>27400.799999999999</v>
      </c>
      <c r="G16" s="81">
        <f t="shared" ca="1" si="1"/>
        <v>750803840.63999999</v>
      </c>
      <c r="M16" s="79">
        <f ca="1">+'Hoja de cronometraje'!N17</f>
        <v>90</v>
      </c>
      <c r="N16" s="88">
        <f ca="1">+'Hoja de cronometraje'!O17</f>
        <v>53202</v>
      </c>
      <c r="O16" s="88">
        <f t="shared" ca="1" si="2"/>
        <v>47881.8</v>
      </c>
      <c r="P16" s="81">
        <f t="shared" ca="1" si="3"/>
        <v>2292666771.2400002</v>
      </c>
    </row>
    <row r="17" spans="4:16" ht="15.6" x14ac:dyDescent="0.3">
      <c r="D17" s="79">
        <f ca="1">+'Hoja de cronometraje'!K18</f>
        <v>90</v>
      </c>
      <c r="E17" s="88">
        <f ca="1">+'Hoja de cronometraje'!L18</f>
        <v>26304</v>
      </c>
      <c r="F17" s="88">
        <f t="shared" ca="1" si="0"/>
        <v>23673.599999999999</v>
      </c>
      <c r="G17" s="81">
        <f t="shared" ca="1" si="1"/>
        <v>560439336.95999992</v>
      </c>
      <c r="M17" s="79">
        <f ca="1">+'Hoja de cronometraje'!N18</f>
        <v>95</v>
      </c>
      <c r="N17" s="88">
        <f ca="1">+'Hoja de cronometraje'!O18</f>
        <v>53747</v>
      </c>
      <c r="O17" s="88">
        <f t="shared" ca="1" si="2"/>
        <v>51059.65</v>
      </c>
      <c r="P17" s="81">
        <f t="shared" ca="1" si="3"/>
        <v>2607087858.1224999</v>
      </c>
    </row>
    <row r="18" spans="4:16" ht="15.6" x14ac:dyDescent="0.3">
      <c r="D18" s="79">
        <f ca="1">+'Hoja de cronometraje'!K19</f>
        <v>100</v>
      </c>
      <c r="E18" s="88">
        <f ca="1">+'Hoja de cronometraje'!L19</f>
        <v>25296</v>
      </c>
      <c r="F18" s="88">
        <f t="shared" ca="1" si="0"/>
        <v>25296</v>
      </c>
      <c r="G18" s="81">
        <f t="shared" ca="1" si="1"/>
        <v>639887616</v>
      </c>
      <c r="M18" s="79">
        <f ca="1">+'Hoja de cronometraje'!N19</f>
        <v>105</v>
      </c>
      <c r="N18" s="88">
        <f ca="1">+'Hoja de cronometraje'!O19</f>
        <v>53663</v>
      </c>
      <c r="O18" s="88">
        <f t="shared" ca="1" si="2"/>
        <v>56346.15</v>
      </c>
      <c r="P18" s="81">
        <f t="shared" ca="1" si="3"/>
        <v>3174888619.8225002</v>
      </c>
    </row>
    <row r="19" spans="4:16" ht="15.6" x14ac:dyDescent="0.3">
      <c r="D19" s="79">
        <f ca="1">+'Hoja de cronometraje'!K20</f>
        <v>90</v>
      </c>
      <c r="E19" s="88">
        <f ca="1">+'Hoja de cronometraje'!L20</f>
        <v>26303</v>
      </c>
      <c r="F19" s="88">
        <f t="shared" ca="1" si="0"/>
        <v>23672.7</v>
      </c>
      <c r="G19" s="81">
        <f t="shared" ca="1" si="1"/>
        <v>560396725.29000008</v>
      </c>
      <c r="M19" s="79">
        <f ca="1">+'Hoja de cronometraje'!N20</f>
        <v>105</v>
      </c>
      <c r="N19" s="88">
        <f ca="1">+'Hoja de cronometraje'!O20</f>
        <v>54130</v>
      </c>
      <c r="O19" s="88">
        <f t="shared" ca="1" si="2"/>
        <v>56836.5</v>
      </c>
      <c r="P19" s="81">
        <f t="shared" ca="1" si="3"/>
        <v>3230387732.25</v>
      </c>
    </row>
    <row r="20" spans="4:16" ht="15.6" x14ac:dyDescent="0.3">
      <c r="D20" s="79">
        <f ca="1">+'Hoja de cronometraje'!K21</f>
        <v>95</v>
      </c>
      <c r="E20" s="88">
        <f ca="1">+'Hoja de cronometraje'!L21</f>
        <v>26975</v>
      </c>
      <c r="F20" s="88">
        <f t="shared" ca="1" si="0"/>
        <v>25626.25</v>
      </c>
      <c r="G20" s="81">
        <f t="shared" ca="1" si="1"/>
        <v>656704689.0625</v>
      </c>
      <c r="M20" s="79">
        <f ca="1">+'Hoja de cronometraje'!N21</f>
        <v>85</v>
      </c>
      <c r="N20" s="88">
        <f ca="1">+'Hoja de cronometraje'!O21</f>
        <v>54105</v>
      </c>
      <c r="O20" s="88">
        <f t="shared" ca="1" si="2"/>
        <v>45989.25</v>
      </c>
      <c r="P20" s="81">
        <f t="shared" ca="1" si="3"/>
        <v>2115011115.5625</v>
      </c>
    </row>
    <row r="21" spans="4:16" ht="15.6" x14ac:dyDescent="0.3">
      <c r="D21" s="79">
        <f ca="1">+'Hoja de cronometraje'!K22</f>
        <v>90</v>
      </c>
      <c r="E21" s="88">
        <f ca="1">+'Hoja de cronometraje'!L22</f>
        <v>25900</v>
      </c>
      <c r="F21" s="88">
        <f t="shared" ca="1" si="0"/>
        <v>23310</v>
      </c>
      <c r="G21" s="81">
        <f t="shared" ca="1" si="1"/>
        <v>543356100</v>
      </c>
      <c r="M21" s="79">
        <f ca="1">+'Hoja de cronometraje'!N22</f>
        <v>100</v>
      </c>
      <c r="N21" s="88">
        <f ca="1">+'Hoja de cronometraje'!O22</f>
        <v>54668</v>
      </c>
      <c r="O21" s="88">
        <f t="shared" ca="1" si="2"/>
        <v>54668</v>
      </c>
      <c r="P21" s="81">
        <f t="shared" ca="1" si="3"/>
        <v>2988590224</v>
      </c>
    </row>
    <row r="22" spans="4:16" ht="15.6" x14ac:dyDescent="0.3">
      <c r="D22" s="79">
        <f ca="1">+'Hoja de cronometraje'!K23</f>
        <v>95</v>
      </c>
      <c r="E22" s="88">
        <f ca="1">+'Hoja de cronometraje'!L23</f>
        <v>26729</v>
      </c>
      <c r="F22" s="88">
        <f t="shared" ca="1" si="0"/>
        <v>25392.55</v>
      </c>
      <c r="G22" s="81">
        <f t="shared" ca="1" si="1"/>
        <v>644781595.50249994</v>
      </c>
      <c r="M22" s="79">
        <f ca="1">+'Hoja de cronometraje'!N23</f>
        <v>100</v>
      </c>
      <c r="N22" s="88">
        <f ca="1">+'Hoja de cronometraje'!O23</f>
        <v>53199</v>
      </c>
      <c r="O22" s="88">
        <f t="shared" ca="1" si="2"/>
        <v>53199</v>
      </c>
      <c r="P22" s="81">
        <f t="shared" ca="1" si="3"/>
        <v>2830133601</v>
      </c>
    </row>
    <row r="23" spans="4:16" ht="15.6" x14ac:dyDescent="0.3">
      <c r="D23" s="79">
        <f ca="1">+'Hoja de cronometraje'!K24</f>
        <v>100</v>
      </c>
      <c r="E23" s="88">
        <f ca="1">+'Hoja de cronometraje'!L24</f>
        <v>25256</v>
      </c>
      <c r="F23" s="88">
        <f t="shared" ca="1" si="0"/>
        <v>25256</v>
      </c>
      <c r="G23" s="81">
        <f t="shared" ca="1" si="1"/>
        <v>637865536</v>
      </c>
      <c r="M23" s="79">
        <f ca="1">+'Hoja de cronometraje'!N24</f>
        <v>95</v>
      </c>
      <c r="N23" s="88">
        <f ca="1">+'Hoja de cronometraje'!O24</f>
        <v>54459</v>
      </c>
      <c r="O23" s="88">
        <f t="shared" ca="1" si="2"/>
        <v>51736.05</v>
      </c>
      <c r="P23" s="81">
        <f t="shared" ca="1" si="3"/>
        <v>2676618869.6025004</v>
      </c>
    </row>
    <row r="24" spans="4:16" ht="15.6" x14ac:dyDescent="0.3">
      <c r="D24" s="79">
        <f ca="1">+'Hoja de cronometraje'!K25</f>
        <v>90</v>
      </c>
      <c r="E24" s="88">
        <f ca="1">+'Hoja de cronometraje'!L25</f>
        <v>26315</v>
      </c>
      <c r="F24" s="88">
        <f t="shared" ca="1" si="0"/>
        <v>23683.5</v>
      </c>
      <c r="G24" s="81">
        <f t="shared" ca="1" si="1"/>
        <v>560908172.25</v>
      </c>
      <c r="M24" s="79">
        <f ca="1">+'Hoja de cronometraje'!N25</f>
        <v>100</v>
      </c>
      <c r="N24" s="88">
        <f ca="1">+'Hoja de cronometraje'!O25</f>
        <v>53675</v>
      </c>
      <c r="O24" s="88">
        <f t="shared" ca="1" si="2"/>
        <v>53675</v>
      </c>
      <c r="P24" s="81">
        <f t="shared" ca="1" si="3"/>
        <v>2881005625</v>
      </c>
    </row>
    <row r="25" spans="4:16" ht="15.6" x14ac:dyDescent="0.3">
      <c r="D25" s="82">
        <f ca="1">+'Hoja de cronometraje'!K26</f>
        <v>95</v>
      </c>
      <c r="E25" s="89">
        <f ca="1">+'Hoja de cronometraje'!L26</f>
        <v>26151</v>
      </c>
      <c r="F25" s="89">
        <f t="shared" ca="1" si="0"/>
        <v>24843.45</v>
      </c>
      <c r="G25" s="83">
        <f t="shared" ca="1" si="1"/>
        <v>617197007.90250003</v>
      </c>
      <c r="M25" s="82">
        <f ca="1">+'Hoja de cronometraje'!N26</f>
        <v>95</v>
      </c>
      <c r="N25" s="89">
        <f ca="1">+'Hoja de cronometraje'!O26</f>
        <v>53108</v>
      </c>
      <c r="O25" s="89">
        <f t="shared" ca="1" si="2"/>
        <v>50452.6</v>
      </c>
      <c r="P25" s="83">
        <f t="shared" ca="1" si="3"/>
        <v>2545464846.7599998</v>
      </c>
    </row>
    <row r="26" spans="4:16" ht="15.6" x14ac:dyDescent="0.3">
      <c r="D26" s="84" t="s">
        <v>101</v>
      </c>
      <c r="E26" s="74"/>
      <c r="F26" s="87">
        <f ca="1">SUM(F6:F25)</f>
        <v>500080</v>
      </c>
      <c r="G26" s="78">
        <f ca="1">SUM(G6:G25)</f>
        <v>12542201827.305002</v>
      </c>
      <c r="M26" s="84" t="s">
        <v>101</v>
      </c>
      <c r="N26" s="74"/>
      <c r="O26" s="87">
        <f ca="1">SUM(O6:O25)</f>
        <v>1054413.3500000003</v>
      </c>
      <c r="P26" s="78">
        <f ca="1">SUM(P6:P25)</f>
        <v>55803242793.847511</v>
      </c>
    </row>
    <row r="27" spans="4:16" ht="15.6" x14ac:dyDescent="0.3">
      <c r="D27" s="85" t="s">
        <v>102</v>
      </c>
      <c r="E27" s="76"/>
      <c r="F27" s="75">
        <f ca="1">+J12</f>
        <v>5</v>
      </c>
      <c r="G27" s="86" t="s">
        <v>155</v>
      </c>
      <c r="M27" s="85" t="s">
        <v>102</v>
      </c>
      <c r="N27" s="76"/>
      <c r="O27" s="75">
        <f ca="1">+S12</f>
        <v>7</v>
      </c>
      <c r="P27" s="86" t="s">
        <v>155</v>
      </c>
    </row>
    <row r="30" spans="4:16" x14ac:dyDescent="0.3">
      <c r="G30" s="52" t="str">
        <f>+'Hoja de cronometraje'!K54</f>
        <v>Elemento Q</v>
      </c>
      <c r="H30" s="53"/>
    </row>
    <row r="33" spans="4:10" ht="15.6" x14ac:dyDescent="0.3">
      <c r="D33" s="90" t="s">
        <v>18</v>
      </c>
      <c r="E33" s="91" t="s">
        <v>19</v>
      </c>
      <c r="F33" s="91" t="s">
        <v>20</v>
      </c>
      <c r="G33" s="92" t="s">
        <v>21</v>
      </c>
    </row>
    <row r="34" spans="4:10" ht="15.6" x14ac:dyDescent="0.3">
      <c r="D34" s="79">
        <f ca="1">+'Hoja de cronometraje'!K57</f>
        <v>100</v>
      </c>
      <c r="E34" s="88">
        <f ca="1">+'Hoja de cronometraje'!L57</f>
        <v>25507</v>
      </c>
      <c r="F34" s="88">
        <f ca="1">(D34*E34)/100</f>
        <v>25507</v>
      </c>
      <c r="G34" s="81">
        <f ca="1">POWER(F34,2)</f>
        <v>650607049</v>
      </c>
    </row>
    <row r="35" spans="4:10" ht="15.6" x14ac:dyDescent="0.3">
      <c r="D35" s="79">
        <f ca="1">+'Hoja de cronometraje'!K58</f>
        <v>100</v>
      </c>
      <c r="E35" s="88">
        <f ca="1">+'Hoja de cronometraje'!L58</f>
        <v>25626</v>
      </c>
      <c r="F35" s="88">
        <f t="shared" ref="F35:F53" ca="1" si="4">(D35*E35)/100</f>
        <v>25626</v>
      </c>
      <c r="G35" s="81">
        <f t="shared" ref="G35:G53" ca="1" si="5">POWER(F35,2)</f>
        <v>656691876</v>
      </c>
      <c r="I35" s="15" t="s">
        <v>23</v>
      </c>
      <c r="J35" s="3">
        <f ca="1">COUNTA(E34:E53)</f>
        <v>20</v>
      </c>
    </row>
    <row r="36" spans="4:10" ht="15.6" x14ac:dyDescent="0.3">
      <c r="D36" s="79">
        <f ca="1">+'Hoja de cronometraje'!K59</f>
        <v>90</v>
      </c>
      <c r="E36" s="88">
        <f ca="1">+'Hoja de cronometraje'!L59</f>
        <v>25371</v>
      </c>
      <c r="F36" s="88">
        <f t="shared" ca="1" si="4"/>
        <v>22833.9</v>
      </c>
      <c r="G36" s="81">
        <f t="shared" ca="1" si="5"/>
        <v>521386989.21000004</v>
      </c>
      <c r="I36" s="1"/>
    </row>
    <row r="37" spans="4:10" ht="15.6" x14ac:dyDescent="0.3">
      <c r="D37" s="79">
        <f ca="1">+'Hoja de cronometraje'!K60</f>
        <v>95</v>
      </c>
      <c r="E37" s="88">
        <f ca="1">+'Hoja de cronometraje'!L60</f>
        <v>25139</v>
      </c>
      <c r="F37" s="88">
        <f t="shared" ca="1" si="4"/>
        <v>23882.05</v>
      </c>
      <c r="G37" s="81">
        <f t="shared" ca="1" si="5"/>
        <v>570352312.20249999</v>
      </c>
      <c r="I37" s="1"/>
    </row>
    <row r="38" spans="4:10" ht="15.6" x14ac:dyDescent="0.3">
      <c r="D38" s="79">
        <f ca="1">+'Hoja de cronometraje'!K61</f>
        <v>100</v>
      </c>
      <c r="E38" s="88">
        <f ca="1">+'Hoja de cronometraje'!L61</f>
        <v>25542</v>
      </c>
      <c r="F38" s="88">
        <f t="shared" ca="1" si="4"/>
        <v>25542</v>
      </c>
      <c r="G38" s="81">
        <f t="shared" ca="1" si="5"/>
        <v>652393764</v>
      </c>
    </row>
    <row r="39" spans="4:10" ht="15.6" x14ac:dyDescent="0.3">
      <c r="D39" s="79">
        <f ca="1">+'Hoja de cronometraje'!K62</f>
        <v>100</v>
      </c>
      <c r="E39" s="88">
        <f ca="1">+'Hoja de cronometraje'!L62</f>
        <v>25771</v>
      </c>
      <c r="F39" s="88">
        <f t="shared" ca="1" si="4"/>
        <v>25771</v>
      </c>
      <c r="G39" s="81">
        <f t="shared" ca="1" si="5"/>
        <v>664144441</v>
      </c>
    </row>
    <row r="40" spans="4:10" ht="15.6" x14ac:dyDescent="0.3">
      <c r="D40" s="79">
        <f ca="1">+'Hoja de cronometraje'!K63</f>
        <v>95</v>
      </c>
      <c r="E40" s="88">
        <f ca="1">+'Hoja de cronometraje'!L63</f>
        <v>25353</v>
      </c>
      <c r="F40" s="88">
        <f t="shared" ca="1" si="4"/>
        <v>24085.35</v>
      </c>
      <c r="G40" s="81">
        <f t="shared" ca="1" si="5"/>
        <v>580104084.62249994</v>
      </c>
      <c r="I40" s="15" t="s">
        <v>22</v>
      </c>
      <c r="J40" s="3">
        <f ca="1">ROUNDUP(POWER(((40*SQRT((J35*G54)-POWER(F54,2)))/F54),2),0)</f>
        <v>6</v>
      </c>
    </row>
    <row r="41" spans="4:10" ht="15.6" x14ac:dyDescent="0.3">
      <c r="D41" s="79">
        <f ca="1">+'Hoja de cronometraje'!K64</f>
        <v>100</v>
      </c>
      <c r="E41" s="88">
        <f ca="1">+'Hoja de cronometraje'!L64</f>
        <v>25470</v>
      </c>
      <c r="F41" s="88">
        <f t="shared" ca="1" si="4"/>
        <v>25470</v>
      </c>
      <c r="G41" s="81">
        <f t="shared" ca="1" si="5"/>
        <v>648720900</v>
      </c>
    </row>
    <row r="42" spans="4:10" ht="15.6" x14ac:dyDescent="0.3">
      <c r="D42" s="79">
        <f ca="1">+'Hoja de cronometraje'!K65</f>
        <v>100</v>
      </c>
      <c r="E42" s="88">
        <f ca="1">+'Hoja de cronometraje'!L65</f>
        <v>25673</v>
      </c>
      <c r="F42" s="88">
        <f t="shared" ca="1" si="4"/>
        <v>25673</v>
      </c>
      <c r="G42" s="81">
        <f t="shared" ca="1" si="5"/>
        <v>659102929</v>
      </c>
    </row>
    <row r="43" spans="4:10" ht="15.6" x14ac:dyDescent="0.3">
      <c r="D43" s="79">
        <f ca="1">+'Hoja de cronometraje'!K66</f>
        <v>105</v>
      </c>
      <c r="E43" s="88">
        <f ca="1">+'Hoja de cronometraje'!L66</f>
        <v>25052</v>
      </c>
      <c r="F43" s="88">
        <f t="shared" ca="1" si="4"/>
        <v>26304.6</v>
      </c>
      <c r="G43" s="81">
        <f t="shared" ca="1" si="5"/>
        <v>691931981.15999997</v>
      </c>
    </row>
    <row r="44" spans="4:10" ht="15.6" x14ac:dyDescent="0.3">
      <c r="D44" s="79">
        <f ca="1">+'Hoja de cronometraje'!K67</f>
        <v>105</v>
      </c>
      <c r="E44" s="88">
        <f ca="1">+'Hoja de cronometraje'!L67</f>
        <v>25558</v>
      </c>
      <c r="F44" s="88">
        <f t="shared" ca="1" si="4"/>
        <v>26835.9</v>
      </c>
      <c r="G44" s="81">
        <f t="shared" ca="1" si="5"/>
        <v>720165528.81000006</v>
      </c>
    </row>
    <row r="45" spans="4:10" ht="15.6" x14ac:dyDescent="0.3">
      <c r="D45" s="79">
        <f ca="1">+'Hoja de cronometraje'!K68</f>
        <v>105</v>
      </c>
      <c r="E45" s="88">
        <f ca="1">+'Hoja de cronometraje'!L68</f>
        <v>25296</v>
      </c>
      <c r="F45" s="88">
        <f t="shared" ca="1" si="4"/>
        <v>26560.799999999999</v>
      </c>
      <c r="G45" s="81">
        <f t="shared" ca="1" si="5"/>
        <v>705476096.63999999</v>
      </c>
    </row>
    <row r="46" spans="4:10" ht="15.6" x14ac:dyDescent="0.3">
      <c r="D46" s="79">
        <f ca="1">+'Hoja de cronometraje'!K69</f>
        <v>95</v>
      </c>
      <c r="E46" s="88">
        <f ca="1">+'Hoja de cronometraje'!L69</f>
        <v>25407</v>
      </c>
      <c r="F46" s="88">
        <f t="shared" ca="1" si="4"/>
        <v>24136.65</v>
      </c>
      <c r="G46" s="81">
        <f t="shared" ca="1" si="5"/>
        <v>582577873.22250009</v>
      </c>
    </row>
    <row r="47" spans="4:10" ht="15.6" x14ac:dyDescent="0.3">
      <c r="D47" s="79">
        <f ca="1">+'Hoja de cronometraje'!K70</f>
        <v>90</v>
      </c>
      <c r="E47" s="88">
        <f ca="1">+'Hoja de cronometraje'!L70</f>
        <v>25468</v>
      </c>
      <c r="F47" s="88">
        <f t="shared" ca="1" si="4"/>
        <v>22921.200000000001</v>
      </c>
      <c r="G47" s="81">
        <f t="shared" ca="1" si="5"/>
        <v>525381409.44000006</v>
      </c>
    </row>
    <row r="48" spans="4:10" ht="15.6" x14ac:dyDescent="0.3">
      <c r="D48" s="79">
        <f ca="1">+'Hoja de cronometraje'!K71</f>
        <v>85</v>
      </c>
      <c r="E48" s="88">
        <f ca="1">+'Hoja de cronometraje'!L71</f>
        <v>25064</v>
      </c>
      <c r="F48" s="88">
        <f t="shared" ca="1" si="4"/>
        <v>21304.400000000001</v>
      </c>
      <c r="G48" s="81">
        <f t="shared" ca="1" si="5"/>
        <v>453877459.36000007</v>
      </c>
    </row>
    <row r="49" spans="4:7" ht="15.6" x14ac:dyDescent="0.3">
      <c r="D49" s="79">
        <f ca="1">+'Hoja de cronometraje'!K72</f>
        <v>105</v>
      </c>
      <c r="E49" s="88">
        <f ca="1">+'Hoja de cronometraje'!L72</f>
        <v>25299</v>
      </c>
      <c r="F49" s="88">
        <f t="shared" ca="1" si="4"/>
        <v>26563.95</v>
      </c>
      <c r="G49" s="81">
        <f t="shared" ca="1" si="5"/>
        <v>705643439.60250008</v>
      </c>
    </row>
    <row r="50" spans="4:7" ht="15.6" x14ac:dyDescent="0.3">
      <c r="D50" s="79">
        <f ca="1">+'Hoja de cronometraje'!K73</f>
        <v>90</v>
      </c>
      <c r="E50" s="88">
        <f ca="1">+'Hoja de cronometraje'!L73</f>
        <v>25915</v>
      </c>
      <c r="F50" s="88">
        <f t="shared" ca="1" si="4"/>
        <v>23323.5</v>
      </c>
      <c r="G50" s="81">
        <f t="shared" ca="1" si="5"/>
        <v>543985652.25</v>
      </c>
    </row>
    <row r="51" spans="4:7" ht="15.6" x14ac:dyDescent="0.3">
      <c r="D51" s="79">
        <f ca="1">+'Hoja de cronometraje'!K74</f>
        <v>95</v>
      </c>
      <c r="E51" s="88">
        <f ca="1">+'Hoja de cronometraje'!L74</f>
        <v>25397</v>
      </c>
      <c r="F51" s="88">
        <f t="shared" ca="1" si="4"/>
        <v>24127.15</v>
      </c>
      <c r="G51" s="81">
        <f t="shared" ca="1" si="5"/>
        <v>582119367.12250006</v>
      </c>
    </row>
    <row r="52" spans="4:7" ht="15.6" x14ac:dyDescent="0.3">
      <c r="D52" s="79">
        <f ca="1">+'Hoja de cronometraje'!K75</f>
        <v>100</v>
      </c>
      <c r="E52" s="88">
        <f ca="1">+'Hoja de cronometraje'!L75</f>
        <v>25759</v>
      </c>
      <c r="F52" s="88">
        <f t="shared" ca="1" si="4"/>
        <v>25759</v>
      </c>
      <c r="G52" s="81">
        <f t="shared" ca="1" si="5"/>
        <v>663526081</v>
      </c>
    </row>
    <row r="53" spans="4:7" ht="15.6" x14ac:dyDescent="0.3">
      <c r="D53" s="82">
        <f ca="1">+'Hoja de cronometraje'!K76</f>
        <v>105</v>
      </c>
      <c r="E53" s="89">
        <f ca="1">+'Hoja de cronometraje'!L76</f>
        <v>25608</v>
      </c>
      <c r="F53" s="89">
        <f t="shared" ca="1" si="4"/>
        <v>26888.400000000001</v>
      </c>
      <c r="G53" s="83">
        <f t="shared" ca="1" si="5"/>
        <v>722986054.56000006</v>
      </c>
    </row>
    <row r="54" spans="4:7" ht="15.6" x14ac:dyDescent="0.3">
      <c r="D54" s="84" t="s">
        <v>101</v>
      </c>
      <c r="E54" s="74"/>
      <c r="F54" s="87">
        <f ca="1">SUM(F34:F53)</f>
        <v>499115.85000000015</v>
      </c>
      <c r="G54" s="78">
        <f ca="1">SUM(G34:G53)</f>
        <v>12501175288.202501</v>
      </c>
    </row>
    <row r="55" spans="4:7" ht="15.6" x14ac:dyDescent="0.3">
      <c r="D55" s="85" t="s">
        <v>102</v>
      </c>
      <c r="E55" s="76"/>
      <c r="F55" s="75">
        <f ca="1">+J40</f>
        <v>6</v>
      </c>
      <c r="G55" s="86" t="s">
        <v>155</v>
      </c>
    </row>
  </sheetData>
  <mergeCells count="9">
    <mergeCell ref="D54:E54"/>
    <mergeCell ref="D55:E55"/>
    <mergeCell ref="D26:E26"/>
    <mergeCell ref="D27:E27"/>
    <mergeCell ref="P2:Q2"/>
    <mergeCell ref="G30:H30"/>
    <mergeCell ref="M26:N26"/>
    <mergeCell ref="M27:N27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P115"/>
  <sheetViews>
    <sheetView topLeftCell="A96" zoomScaleNormal="100" workbookViewId="0">
      <selection activeCell="H109" sqref="H109"/>
    </sheetView>
  </sheetViews>
  <sheetFormatPr baseColWidth="10" defaultRowHeight="14.4" x14ac:dyDescent="0.3"/>
  <cols>
    <col min="4" max="4" width="14.44140625" bestFit="1" customWidth="1"/>
  </cols>
  <sheetData>
    <row r="1" spans="1:16" x14ac:dyDescent="0.3">
      <c r="C1" s="16"/>
      <c r="D1" s="16"/>
      <c r="E1" s="16"/>
      <c r="F1" s="16"/>
      <c r="G1" s="16"/>
    </row>
    <row r="2" spans="1:16" x14ac:dyDescent="0.3">
      <c r="C2" s="16"/>
      <c r="D2" s="16"/>
      <c r="E2" s="16"/>
      <c r="F2" s="16"/>
      <c r="G2" s="16"/>
    </row>
    <row r="3" spans="1:16" x14ac:dyDescent="0.3">
      <c r="C3" s="16"/>
      <c r="D3" s="16"/>
      <c r="E3" s="52" t="str">
        <f>+'N° de Obs.'!G2</f>
        <v>Elemento P</v>
      </c>
      <c r="F3" s="53"/>
      <c r="G3" s="16"/>
    </row>
    <row r="4" spans="1:16" x14ac:dyDescent="0.3">
      <c r="C4" s="16"/>
      <c r="D4" s="16"/>
      <c r="E4" s="16"/>
      <c r="F4" s="16"/>
      <c r="G4" s="16"/>
    </row>
    <row r="5" spans="1:16" ht="15.6" x14ac:dyDescent="0.3">
      <c r="A5" s="72"/>
      <c r="B5" s="73"/>
      <c r="C5" s="73"/>
      <c r="D5" s="73"/>
      <c r="E5" s="73"/>
      <c r="F5" s="73"/>
      <c r="G5" s="72"/>
      <c r="H5" s="72"/>
      <c r="I5" s="72"/>
      <c r="J5" s="72"/>
      <c r="K5" s="72"/>
      <c r="L5" s="72"/>
      <c r="M5" s="72"/>
      <c r="N5" s="72"/>
      <c r="O5" s="72"/>
      <c r="P5" s="72"/>
    </row>
    <row r="6" spans="1:16" ht="15.6" x14ac:dyDescent="0.3">
      <c r="A6" s="72"/>
      <c r="B6" s="90" t="s">
        <v>26</v>
      </c>
      <c r="C6" s="91" t="s">
        <v>103</v>
      </c>
      <c r="D6" s="97" t="s">
        <v>104</v>
      </c>
      <c r="E6" s="91" t="s">
        <v>27</v>
      </c>
      <c r="F6" s="92" t="s">
        <v>105</v>
      </c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ht="15.6" x14ac:dyDescent="0.3">
      <c r="A7" s="72"/>
      <c r="B7" s="79">
        <f ca="1">+'N° de Obs.'!D6</f>
        <v>105</v>
      </c>
      <c r="C7" s="88">
        <f ca="1">+'N° de Obs.'!E6</f>
        <v>25588</v>
      </c>
      <c r="D7" s="80">
        <f ca="1">+ROUND($B$29*$C$29/C7,2)</f>
        <v>97.72</v>
      </c>
      <c r="E7" s="88">
        <f ca="1">+J7</f>
        <v>100</v>
      </c>
      <c r="F7" s="81">
        <f ca="1">+B7-E7</f>
        <v>5</v>
      </c>
      <c r="G7" s="72"/>
      <c r="H7" s="72">
        <f ca="1">+ROUND(D7,1)</f>
        <v>97.7</v>
      </c>
      <c r="I7" s="95" t="str">
        <f ca="1">+RIGHT(H7*10,2)</f>
        <v>77</v>
      </c>
      <c r="J7" s="72" cm="1">
        <f t="array" aca="1" ref="J7" ca="1">+_xlfn.IFS(AND(I7&gt;="0",I7&lt;"25"),H7-(I7/10),AND(I7&gt;="25",I7&lt;"50"),H7+(5-(I7/10)),AND(I7&gt;="50",I7&lt;"75"),H7-((I7-50)/10),I7&gt;="75",H7+(10-(I7/10)))</f>
        <v>100</v>
      </c>
      <c r="K7" s="72">
        <f ca="1">+ABS(F7)</f>
        <v>5</v>
      </c>
      <c r="L7" s="72"/>
      <c r="M7" s="72"/>
      <c r="N7" s="72"/>
      <c r="O7" s="72"/>
      <c r="P7" s="72"/>
    </row>
    <row r="8" spans="1:16" ht="15.6" x14ac:dyDescent="0.3">
      <c r="A8" s="72"/>
      <c r="B8" s="79">
        <f ca="1">+'N° de Obs.'!D7</f>
        <v>105</v>
      </c>
      <c r="C8" s="88">
        <f ca="1">+'N° de Obs.'!E7</f>
        <v>26475</v>
      </c>
      <c r="D8" s="80">
        <f t="shared" ref="D8:D26" ca="1" si="0">+ROUND($B$29*$C$29/C8,2)</f>
        <v>94.44</v>
      </c>
      <c r="E8" s="88">
        <f t="shared" ref="E8:E26" ca="1" si="1">+J8</f>
        <v>95</v>
      </c>
      <c r="F8" s="81">
        <f t="shared" ref="F8:F26" ca="1" si="2">+B8-E8</f>
        <v>10</v>
      </c>
      <c r="G8" s="72"/>
      <c r="H8" s="72">
        <f t="shared" ref="H8:H26" ca="1" si="3">+ROUND(D8,1)</f>
        <v>94.4</v>
      </c>
      <c r="I8" s="95" t="str">
        <f t="shared" ref="I8:I26" ca="1" si="4">+RIGHT(H8*10,2)</f>
        <v>44</v>
      </c>
      <c r="J8" s="72" cm="1">
        <f t="array" aca="1" ref="J8" ca="1">+_xlfn.IFS(AND(I8&gt;="0",I8&lt;"25"),H8-(I8/10),AND(I8&gt;="25",I8&lt;"50"),H8+(5-(I8/10)),AND(I8&gt;="50",I8&lt;"75"),H8-((I8-50)/10),I8&gt;="75",H8+(10-(I8/10)))</f>
        <v>95</v>
      </c>
      <c r="K8" s="72">
        <f t="shared" ref="K8:K26" ca="1" si="5">+ABS(F8)</f>
        <v>10</v>
      </c>
      <c r="L8" s="72"/>
      <c r="M8" s="72"/>
      <c r="N8" s="72"/>
      <c r="O8" s="72"/>
      <c r="P8" s="72"/>
    </row>
    <row r="9" spans="1:16" ht="15.6" x14ac:dyDescent="0.3">
      <c r="A9" s="72"/>
      <c r="B9" s="79">
        <f ca="1">+'N° de Obs.'!D8</f>
        <v>105</v>
      </c>
      <c r="C9" s="88">
        <f ca="1">+'N° de Obs.'!E8</f>
        <v>26258</v>
      </c>
      <c r="D9" s="80">
        <f t="shared" ca="1" si="0"/>
        <v>95.22</v>
      </c>
      <c r="E9" s="88">
        <f t="shared" ca="1" si="1"/>
        <v>95</v>
      </c>
      <c r="F9" s="81">
        <f t="shared" ca="1" si="2"/>
        <v>10</v>
      </c>
      <c r="G9" s="72"/>
      <c r="H9" s="72">
        <f t="shared" ca="1" si="3"/>
        <v>95.2</v>
      </c>
      <c r="I9" s="95" t="str">
        <f t="shared" ca="1" si="4"/>
        <v>52</v>
      </c>
      <c r="J9" s="72" cm="1">
        <f t="array" aca="1" ref="J9" ca="1">+_xlfn.IFS(AND(I9&gt;="0",I9&lt;"25"),H9-(I9/10),AND(I9&gt;="25",I9&lt;"50"),H9+(5-(I9/10)),AND(I9&gt;="50",I9&lt;"75"),H9-((I9-50)/10),I9&gt;="75",H9+(10-(I9/10)))</f>
        <v>95</v>
      </c>
      <c r="K9" s="72">
        <f t="shared" ca="1" si="5"/>
        <v>10</v>
      </c>
      <c r="L9" s="72"/>
      <c r="M9" s="72"/>
      <c r="N9" s="72"/>
      <c r="O9" s="72"/>
      <c r="P9" s="72"/>
    </row>
    <row r="10" spans="1:16" ht="15.6" x14ac:dyDescent="0.3">
      <c r="A10" s="72"/>
      <c r="B10" s="79">
        <f ca="1">+'N° de Obs.'!D9</f>
        <v>90</v>
      </c>
      <c r="C10" s="88">
        <f ca="1">+'N° de Obs.'!E9</f>
        <v>26874</v>
      </c>
      <c r="D10" s="80">
        <f t="shared" ca="1" si="0"/>
        <v>93.04</v>
      </c>
      <c r="E10" s="88">
        <f t="shared" ca="1" si="1"/>
        <v>95</v>
      </c>
      <c r="F10" s="81">
        <f t="shared" ca="1" si="2"/>
        <v>-5</v>
      </c>
      <c r="G10" s="72"/>
      <c r="H10" s="72">
        <f t="shared" ca="1" si="3"/>
        <v>93</v>
      </c>
      <c r="I10" s="95" t="str">
        <f t="shared" ca="1" si="4"/>
        <v>30</v>
      </c>
      <c r="J10" s="72" cm="1">
        <f t="array" aca="1" ref="J10" ca="1">+_xlfn.IFS(AND(I10&gt;="0",I10&lt;"25"),H10-(I10/10),AND(I10&gt;="25",I10&lt;"50"),H10+(5-(I10/10)),AND(I10&gt;="50",I10&lt;"75"),H10-((I10-50)/10),I10&gt;="75",H10+(10-(I10/10)))</f>
        <v>95</v>
      </c>
      <c r="K10" s="72">
        <f t="shared" ca="1" si="5"/>
        <v>5</v>
      </c>
      <c r="L10" s="72"/>
      <c r="M10" s="72"/>
      <c r="N10" s="72"/>
      <c r="O10" s="72"/>
      <c r="P10" s="72"/>
    </row>
    <row r="11" spans="1:16" ht="15.6" x14ac:dyDescent="0.3">
      <c r="A11" s="72"/>
      <c r="B11" s="79">
        <f ca="1">+'N° de Obs.'!D10</f>
        <v>90</v>
      </c>
      <c r="C11" s="88">
        <f ca="1">+'N° de Obs.'!E10</f>
        <v>26837</v>
      </c>
      <c r="D11" s="80">
        <f t="shared" ca="1" si="0"/>
        <v>93.17</v>
      </c>
      <c r="E11" s="88">
        <f t="shared" ca="1" si="1"/>
        <v>95</v>
      </c>
      <c r="F11" s="81">
        <f t="shared" ca="1" si="2"/>
        <v>-5</v>
      </c>
      <c r="G11" s="72"/>
      <c r="H11" s="72">
        <f t="shared" ca="1" si="3"/>
        <v>93.2</v>
      </c>
      <c r="I11" s="95" t="str">
        <f t="shared" ca="1" si="4"/>
        <v>32</v>
      </c>
      <c r="J11" s="72" cm="1">
        <f t="array" aca="1" ref="J11" ca="1">+_xlfn.IFS(AND(I11&gt;="0",I11&lt;"25"),H11-(I11/10),AND(I11&gt;="25",I11&lt;"50"),H11+(5-(I11/10)),AND(I11&gt;="50",I11&lt;"75"),H11-((I11-50)/10),I11&gt;="75",H11+(10-(I11/10)))</f>
        <v>95</v>
      </c>
      <c r="K11" s="72">
        <f t="shared" ca="1" si="5"/>
        <v>5</v>
      </c>
      <c r="L11" s="72"/>
      <c r="M11" s="72"/>
      <c r="N11" s="72"/>
      <c r="O11" s="72"/>
      <c r="P11" s="72"/>
    </row>
    <row r="12" spans="1:16" ht="15.6" x14ac:dyDescent="0.3">
      <c r="A12" s="72"/>
      <c r="B12" s="79">
        <f ca="1">+'N° de Obs.'!D11</f>
        <v>100</v>
      </c>
      <c r="C12" s="88">
        <f ca="1">+'N° de Obs.'!E11</f>
        <v>25247</v>
      </c>
      <c r="D12" s="80">
        <f t="shared" ca="1" si="0"/>
        <v>99.04</v>
      </c>
      <c r="E12" s="88">
        <f t="shared" ca="1" si="1"/>
        <v>100</v>
      </c>
      <c r="F12" s="81">
        <f t="shared" ca="1" si="2"/>
        <v>0</v>
      </c>
      <c r="G12" s="72"/>
      <c r="H12" s="72">
        <f t="shared" ca="1" si="3"/>
        <v>99</v>
      </c>
      <c r="I12" s="95" t="str">
        <f t="shared" ca="1" si="4"/>
        <v>90</v>
      </c>
      <c r="J12" s="72" cm="1">
        <f t="array" aca="1" ref="J12" ca="1">+_xlfn.IFS(AND(I12&gt;="0",I12&lt;"25"),H12-(I12/10),AND(I12&gt;="25",I12&lt;"50"),H12+(5-(I12/10)),AND(I12&gt;="50",I12&lt;"75"),H12-((I12-50)/10),I12&gt;="75",H12+(10-(I12/10)))</f>
        <v>100</v>
      </c>
      <c r="K12" s="72">
        <f t="shared" ca="1" si="5"/>
        <v>0</v>
      </c>
      <c r="L12" s="72"/>
      <c r="M12" s="72"/>
      <c r="N12" s="72"/>
      <c r="O12" s="72"/>
      <c r="P12" s="72"/>
    </row>
    <row r="13" spans="1:16" ht="15.6" x14ac:dyDescent="0.3">
      <c r="A13" s="72"/>
      <c r="B13" s="79">
        <f ca="1">+'N° de Obs.'!D12</f>
        <v>95</v>
      </c>
      <c r="C13" s="88">
        <f ca="1">+'N° de Obs.'!E12</f>
        <v>25455</v>
      </c>
      <c r="D13" s="80">
        <f t="shared" ca="1" si="0"/>
        <v>98.23</v>
      </c>
      <c r="E13" s="88">
        <f t="shared" ca="1" si="1"/>
        <v>100</v>
      </c>
      <c r="F13" s="81">
        <f t="shared" ca="1" si="2"/>
        <v>-5</v>
      </c>
      <c r="G13" s="72"/>
      <c r="H13" s="72">
        <f t="shared" ca="1" si="3"/>
        <v>98.2</v>
      </c>
      <c r="I13" s="95" t="str">
        <f t="shared" ca="1" si="4"/>
        <v>82</v>
      </c>
      <c r="J13" s="72" cm="1">
        <f t="array" aca="1" ref="J13" ca="1">+_xlfn.IFS(AND(I13&gt;="0",I13&lt;"25"),H13-(I13/10),AND(I13&gt;="25",I13&lt;"50"),H13+(5-(I13/10)),AND(I13&gt;="50",I13&lt;"75"),H13-((I13-50)/10),I13&gt;="75",H13+(10-(I13/10)))</f>
        <v>100</v>
      </c>
      <c r="K13" s="72">
        <f t="shared" ca="1" si="5"/>
        <v>5</v>
      </c>
      <c r="L13" s="72"/>
      <c r="M13" s="72"/>
      <c r="N13" s="72"/>
      <c r="O13" s="72"/>
      <c r="P13" s="72"/>
    </row>
    <row r="14" spans="1:16" ht="15.6" x14ac:dyDescent="0.3">
      <c r="A14" s="72"/>
      <c r="B14" s="79">
        <f ca="1">+'N° de Obs.'!D13</f>
        <v>95</v>
      </c>
      <c r="C14" s="88">
        <f ca="1">+'N° de Obs.'!E13</f>
        <v>25555</v>
      </c>
      <c r="D14" s="80">
        <f t="shared" ca="1" si="0"/>
        <v>97.84</v>
      </c>
      <c r="E14" s="88">
        <f t="shared" ca="1" si="1"/>
        <v>100</v>
      </c>
      <c r="F14" s="81">
        <f t="shared" ca="1" si="2"/>
        <v>-5</v>
      </c>
      <c r="G14" s="72"/>
      <c r="H14" s="72">
        <f t="shared" ca="1" si="3"/>
        <v>97.8</v>
      </c>
      <c r="I14" s="95" t="str">
        <f t="shared" ca="1" si="4"/>
        <v>78</v>
      </c>
      <c r="J14" s="72" cm="1">
        <f t="array" aca="1" ref="J14" ca="1">+_xlfn.IFS(AND(I14&gt;="0",I14&lt;"25"),H14-(I14/10),AND(I14&gt;="25",I14&lt;"50"),H14+(5-(I14/10)),AND(I14&gt;="50",I14&lt;"75"),H14-((I14-50)/10),I14&gt;="75",H14+(10-(I14/10)))</f>
        <v>100</v>
      </c>
      <c r="K14" s="72">
        <f t="shared" ca="1" si="5"/>
        <v>5</v>
      </c>
      <c r="L14" s="72"/>
      <c r="M14" s="72"/>
      <c r="N14" s="72"/>
      <c r="O14" s="72"/>
      <c r="P14" s="72"/>
    </row>
    <row r="15" spans="1:16" ht="15.6" x14ac:dyDescent="0.3">
      <c r="A15" s="72"/>
      <c r="B15" s="79">
        <f ca="1">+'N° de Obs.'!D14</f>
        <v>90</v>
      </c>
      <c r="C15" s="88">
        <f ca="1">+'N° de Obs.'!E14</f>
        <v>26065</v>
      </c>
      <c r="D15" s="80">
        <f t="shared" ca="1" si="0"/>
        <v>95.93</v>
      </c>
      <c r="E15" s="88">
        <f t="shared" ca="1" si="1"/>
        <v>95</v>
      </c>
      <c r="F15" s="81">
        <f t="shared" ca="1" si="2"/>
        <v>-5</v>
      </c>
      <c r="G15" s="72"/>
      <c r="H15" s="72">
        <f t="shared" ca="1" si="3"/>
        <v>95.9</v>
      </c>
      <c r="I15" s="95" t="str">
        <f t="shared" ca="1" si="4"/>
        <v>59</v>
      </c>
      <c r="J15" s="72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72">
        <f t="shared" ca="1" si="5"/>
        <v>5</v>
      </c>
      <c r="L15" s="72"/>
      <c r="M15" s="72"/>
      <c r="N15" s="72"/>
      <c r="O15" s="72"/>
      <c r="P15" s="72"/>
    </row>
    <row r="16" spans="1:16" ht="15.6" x14ac:dyDescent="0.3">
      <c r="A16" s="72"/>
      <c r="B16" s="79">
        <f ca="1">+'N° de Obs.'!D15</f>
        <v>95</v>
      </c>
      <c r="C16" s="88">
        <f ca="1">+'N° de Obs.'!E15</f>
        <v>25456</v>
      </c>
      <c r="D16" s="80">
        <f t="shared" ca="1" si="0"/>
        <v>98.22</v>
      </c>
      <c r="E16" s="88">
        <f t="shared" ca="1" si="1"/>
        <v>100</v>
      </c>
      <c r="F16" s="81">
        <f t="shared" ca="1" si="2"/>
        <v>-5</v>
      </c>
      <c r="G16" s="72"/>
      <c r="H16" s="72">
        <f t="shared" ca="1" si="3"/>
        <v>98.2</v>
      </c>
      <c r="I16" s="95" t="str">
        <f t="shared" ca="1" si="4"/>
        <v>82</v>
      </c>
      <c r="J16" s="72" cm="1">
        <f t="array" aca="1" ref="J16" ca="1">+_xlfn.IFS(AND(I16&gt;="0",I16&lt;"25"),H16-(I16/10),AND(I16&gt;="25",I16&lt;"50"),H16+(5-(I16/10)),AND(I16&gt;="50",I16&lt;"75"),H16-((I16-50)/10),I16&gt;="75",H16+(10-(I16/10)))</f>
        <v>100</v>
      </c>
      <c r="K16" s="72">
        <f t="shared" ca="1" si="5"/>
        <v>5</v>
      </c>
      <c r="L16" s="72"/>
      <c r="M16" s="72"/>
      <c r="N16" s="72"/>
      <c r="O16" s="72"/>
      <c r="P16" s="72"/>
    </row>
    <row r="17" spans="1:16" ht="15.6" x14ac:dyDescent="0.3">
      <c r="A17" s="72"/>
      <c r="B17" s="79">
        <f ca="1">+'N° de Obs.'!D16</f>
        <v>105</v>
      </c>
      <c r="C17" s="88">
        <f ca="1">+'N° de Obs.'!E16</f>
        <v>26096</v>
      </c>
      <c r="D17" s="80">
        <f t="shared" ca="1" si="0"/>
        <v>95.82</v>
      </c>
      <c r="E17" s="88">
        <f t="shared" ca="1" si="1"/>
        <v>95</v>
      </c>
      <c r="F17" s="81">
        <f t="shared" ca="1" si="2"/>
        <v>10</v>
      </c>
      <c r="G17" s="72"/>
      <c r="H17" s="72">
        <f t="shared" ca="1" si="3"/>
        <v>95.8</v>
      </c>
      <c r="I17" s="95" t="str">
        <f t="shared" ca="1" si="4"/>
        <v>58</v>
      </c>
      <c r="J17" s="72" cm="1">
        <f t="array" aca="1" ref="J17" ca="1">+_xlfn.IFS(AND(I17&gt;="0",I17&lt;"25"),H17-(I17/10),AND(I17&gt;="25",I17&lt;"50"),H17+(5-(I17/10)),AND(I17&gt;="50",I17&lt;"75"),H17-((I17-50)/10),I17&gt;="75",H17+(10-(I17/10)))</f>
        <v>95</v>
      </c>
      <c r="K17" s="72">
        <f t="shared" ca="1" si="5"/>
        <v>10</v>
      </c>
      <c r="L17" s="72"/>
      <c r="M17" s="72"/>
      <c r="N17" s="72"/>
      <c r="O17" s="72"/>
      <c r="P17" s="72"/>
    </row>
    <row r="18" spans="1:16" ht="15.6" x14ac:dyDescent="0.3">
      <c r="A18" s="72"/>
      <c r="B18" s="79">
        <f ca="1">+'N° de Obs.'!D17</f>
        <v>90</v>
      </c>
      <c r="C18" s="88">
        <f ca="1">+'N° de Obs.'!E17</f>
        <v>26304</v>
      </c>
      <c r="D18" s="80">
        <f t="shared" ca="1" si="0"/>
        <v>95.06</v>
      </c>
      <c r="E18" s="88">
        <f t="shared" ca="1" si="1"/>
        <v>95</v>
      </c>
      <c r="F18" s="81">
        <f t="shared" ca="1" si="2"/>
        <v>-5</v>
      </c>
      <c r="G18" s="72"/>
      <c r="H18" s="72">
        <f t="shared" ca="1" si="3"/>
        <v>95.1</v>
      </c>
      <c r="I18" s="95" t="str">
        <f t="shared" ca="1" si="4"/>
        <v>51</v>
      </c>
      <c r="J18" s="72" cm="1">
        <f t="array" aca="1" ref="J18" ca="1">+_xlfn.IFS(AND(I18&gt;="0",I18&lt;"25"),H18-(I18/10),AND(I18&gt;="25",I18&lt;"50"),H18+(5-(I18/10)),AND(I18&gt;="50",I18&lt;"75"),H18-((I18-50)/10),I18&gt;="75",H18+(10-(I18/10)))</f>
        <v>95</v>
      </c>
      <c r="K18" s="72">
        <f t="shared" ca="1" si="5"/>
        <v>5</v>
      </c>
      <c r="L18" s="72"/>
      <c r="M18" s="72"/>
      <c r="N18" s="72"/>
      <c r="O18" s="72"/>
      <c r="P18" s="72"/>
    </row>
    <row r="19" spans="1:16" ht="15.6" x14ac:dyDescent="0.3">
      <c r="A19" s="72"/>
      <c r="B19" s="79">
        <f ca="1">+'N° de Obs.'!D18</f>
        <v>100</v>
      </c>
      <c r="C19" s="88">
        <f ca="1">+'N° de Obs.'!E18</f>
        <v>25296</v>
      </c>
      <c r="D19" s="80">
        <f t="shared" ca="1" si="0"/>
        <v>98.85</v>
      </c>
      <c r="E19" s="88">
        <f t="shared" ca="1" si="1"/>
        <v>100</v>
      </c>
      <c r="F19" s="81">
        <f t="shared" ca="1" si="2"/>
        <v>0</v>
      </c>
      <c r="G19" s="72"/>
      <c r="H19" s="72">
        <f t="shared" ca="1" si="3"/>
        <v>98.9</v>
      </c>
      <c r="I19" s="95" t="str">
        <f t="shared" ca="1" si="4"/>
        <v>89</v>
      </c>
      <c r="J19" s="72" cm="1">
        <f t="array" aca="1" ref="J19" ca="1">+_xlfn.IFS(AND(I19&gt;="0",I19&lt;"25"),H19-(I19/10),AND(I19&gt;="25",I19&lt;"50"),H19+(5-(I19/10)),AND(I19&gt;="50",I19&lt;"75"),H19-((I19-50)/10),I19&gt;="75",H19+(10-(I19/10)))</f>
        <v>100</v>
      </c>
      <c r="K19" s="72">
        <f t="shared" ca="1" si="5"/>
        <v>0</v>
      </c>
      <c r="L19" s="72"/>
      <c r="M19" s="72"/>
      <c r="N19" s="72"/>
      <c r="O19" s="72"/>
      <c r="P19" s="72"/>
    </row>
    <row r="20" spans="1:16" ht="15.6" x14ac:dyDescent="0.3">
      <c r="A20" s="72"/>
      <c r="B20" s="79">
        <f ca="1">+'N° de Obs.'!D19</f>
        <v>90</v>
      </c>
      <c r="C20" s="88">
        <f ca="1">+'N° de Obs.'!E19</f>
        <v>26303</v>
      </c>
      <c r="D20" s="80">
        <f t="shared" ca="1" si="0"/>
        <v>95.06</v>
      </c>
      <c r="E20" s="88">
        <f t="shared" ca="1" si="1"/>
        <v>95</v>
      </c>
      <c r="F20" s="81">
        <f t="shared" ca="1" si="2"/>
        <v>-5</v>
      </c>
      <c r="G20" s="72"/>
      <c r="H20" s="72">
        <f t="shared" ca="1" si="3"/>
        <v>95.1</v>
      </c>
      <c r="I20" s="95" t="str">
        <f t="shared" ca="1" si="4"/>
        <v>51</v>
      </c>
      <c r="J20" s="72" cm="1">
        <f t="array" aca="1" ref="J20" ca="1">+_xlfn.IFS(AND(I20&gt;="0",I20&lt;"25"),H20-(I20/10),AND(I20&gt;="25",I20&lt;"50"),H20+(5-(I20/10)),AND(I20&gt;="50",I20&lt;"75"),H20-((I20-50)/10),I20&gt;="75",H20+(10-(I20/10)))</f>
        <v>95</v>
      </c>
      <c r="K20" s="72">
        <f t="shared" ca="1" si="5"/>
        <v>5</v>
      </c>
      <c r="L20" s="72"/>
      <c r="M20" s="72"/>
      <c r="N20" s="72"/>
      <c r="O20" s="72"/>
      <c r="P20" s="72"/>
    </row>
    <row r="21" spans="1:16" ht="15.6" x14ac:dyDescent="0.3">
      <c r="A21" s="72"/>
      <c r="B21" s="79">
        <f ca="1">+'N° de Obs.'!D20</f>
        <v>95</v>
      </c>
      <c r="C21" s="88">
        <f ca="1">+'N° de Obs.'!E20</f>
        <v>26975</v>
      </c>
      <c r="D21" s="80">
        <f t="shared" ca="1" si="0"/>
        <v>92.69</v>
      </c>
      <c r="E21" s="88">
        <f t="shared" ca="1" si="1"/>
        <v>95</v>
      </c>
      <c r="F21" s="81">
        <f t="shared" ca="1" si="2"/>
        <v>0</v>
      </c>
      <c r="G21" s="72"/>
      <c r="H21" s="72">
        <f t="shared" ca="1" si="3"/>
        <v>92.7</v>
      </c>
      <c r="I21" s="95" t="str">
        <f t="shared" ca="1" si="4"/>
        <v>27</v>
      </c>
      <c r="J21" s="72" cm="1">
        <f t="array" aca="1" ref="J21" ca="1">+_xlfn.IFS(AND(I21&gt;="0",I21&lt;"25"),H21-(I21/10),AND(I21&gt;="25",I21&lt;"50"),H21+(5-(I21/10)),AND(I21&gt;="50",I21&lt;"75"),H21-((I21-50)/10),I21&gt;="75",H21+(10-(I21/10)))</f>
        <v>95</v>
      </c>
      <c r="K21" s="72">
        <f t="shared" ca="1" si="5"/>
        <v>0</v>
      </c>
      <c r="L21" s="72"/>
      <c r="M21" s="72"/>
      <c r="N21" s="72"/>
      <c r="O21" s="72"/>
      <c r="P21" s="72"/>
    </row>
    <row r="22" spans="1:16" ht="15.6" x14ac:dyDescent="0.3">
      <c r="A22" s="72"/>
      <c r="B22" s="79">
        <f ca="1">+'N° de Obs.'!D21</f>
        <v>90</v>
      </c>
      <c r="C22" s="88">
        <f ca="1">+'N° de Obs.'!E21</f>
        <v>25900</v>
      </c>
      <c r="D22" s="80">
        <f t="shared" ca="1" si="0"/>
        <v>96.54</v>
      </c>
      <c r="E22" s="88">
        <f t="shared" ca="1" si="1"/>
        <v>95</v>
      </c>
      <c r="F22" s="81">
        <f t="shared" ca="1" si="2"/>
        <v>-5</v>
      </c>
      <c r="G22" s="72"/>
      <c r="H22" s="72">
        <f t="shared" ca="1" si="3"/>
        <v>96.5</v>
      </c>
      <c r="I22" s="95" t="str">
        <f t="shared" ca="1" si="4"/>
        <v>65</v>
      </c>
      <c r="J22" s="72" cm="1">
        <f t="array" aca="1" ref="J22" ca="1">+_xlfn.IFS(AND(I22&gt;="0",I22&lt;"25"),H22-(I22/10),AND(I22&gt;="25",I22&lt;"50"),H22+(5-(I22/10)),AND(I22&gt;="50",I22&lt;"75"),H22-((I22-50)/10),I22&gt;="75",H22+(10-(I22/10)))</f>
        <v>95</v>
      </c>
      <c r="K22" s="72">
        <f t="shared" ca="1" si="5"/>
        <v>5</v>
      </c>
      <c r="L22" s="72"/>
      <c r="M22" s="72"/>
      <c r="N22" s="72"/>
      <c r="O22" s="72"/>
      <c r="P22" s="72"/>
    </row>
    <row r="23" spans="1:16" ht="15.6" x14ac:dyDescent="0.3">
      <c r="A23" s="72"/>
      <c r="B23" s="79">
        <f ca="1">+'N° de Obs.'!D22</f>
        <v>95</v>
      </c>
      <c r="C23" s="88">
        <f ca="1">+'N° de Obs.'!E22</f>
        <v>26729</v>
      </c>
      <c r="D23" s="80">
        <f t="shared" ca="1" si="0"/>
        <v>93.55</v>
      </c>
      <c r="E23" s="88">
        <f t="shared" ca="1" si="1"/>
        <v>95</v>
      </c>
      <c r="F23" s="81">
        <f t="shared" ca="1" si="2"/>
        <v>0</v>
      </c>
      <c r="G23" s="72"/>
      <c r="H23" s="72">
        <f t="shared" ca="1" si="3"/>
        <v>93.6</v>
      </c>
      <c r="I23" s="95" t="str">
        <f t="shared" ca="1" si="4"/>
        <v>36</v>
      </c>
      <c r="J23" s="72" cm="1">
        <f t="array" aca="1" ref="J23" ca="1">+_xlfn.IFS(AND(I23&gt;="0",I23&lt;"25"),H23-(I23/10),AND(I23&gt;="25",I23&lt;"50"),H23+(5-(I23/10)),AND(I23&gt;="50",I23&lt;"75"),H23-((I23-50)/10),I23&gt;="75",H23+(10-(I23/10)))</f>
        <v>95</v>
      </c>
      <c r="K23" s="72">
        <f t="shared" ca="1" si="5"/>
        <v>0</v>
      </c>
      <c r="L23" s="72"/>
      <c r="M23" s="72"/>
      <c r="N23" s="72"/>
      <c r="O23" s="72"/>
      <c r="P23" s="72"/>
    </row>
    <row r="24" spans="1:16" ht="15.6" x14ac:dyDescent="0.3">
      <c r="A24" s="72"/>
      <c r="B24" s="79">
        <f ca="1">+'N° de Obs.'!D23</f>
        <v>100</v>
      </c>
      <c r="C24" s="88">
        <f ca="1">+'N° de Obs.'!E23</f>
        <v>25256</v>
      </c>
      <c r="D24" s="80">
        <f t="shared" ca="1" si="0"/>
        <v>99</v>
      </c>
      <c r="E24" s="88">
        <f t="shared" ca="1" si="1"/>
        <v>100</v>
      </c>
      <c r="F24" s="81">
        <f t="shared" ca="1" si="2"/>
        <v>0</v>
      </c>
      <c r="G24" s="72"/>
      <c r="H24" s="72">
        <f t="shared" ca="1" si="3"/>
        <v>99</v>
      </c>
      <c r="I24" s="95" t="str">
        <f t="shared" ca="1" si="4"/>
        <v>90</v>
      </c>
      <c r="J24" s="72" cm="1">
        <f t="array" aca="1" ref="J24" ca="1">+_xlfn.IFS(AND(I24&gt;="0",I24&lt;"25"),H24-(I24/10),AND(I24&gt;="25",I24&lt;"50"),H24+(5-(I24/10)),AND(I24&gt;="50",I24&lt;"75"),H24-((I24-50)/10),I24&gt;="75",H24+(10-(I24/10)))</f>
        <v>100</v>
      </c>
      <c r="K24" s="72">
        <f t="shared" ca="1" si="5"/>
        <v>0</v>
      </c>
      <c r="L24" s="72"/>
      <c r="M24" s="72"/>
      <c r="N24" s="72"/>
      <c r="O24" s="72"/>
      <c r="P24" s="72"/>
    </row>
    <row r="25" spans="1:16" ht="15.6" x14ac:dyDescent="0.3">
      <c r="A25" s="72"/>
      <c r="B25" s="79">
        <f ca="1">+'N° de Obs.'!D24</f>
        <v>90</v>
      </c>
      <c r="C25" s="88">
        <f ca="1">+'N° de Obs.'!E24</f>
        <v>26315</v>
      </c>
      <c r="D25" s="80">
        <f t="shared" ca="1" si="0"/>
        <v>95.02</v>
      </c>
      <c r="E25" s="88">
        <f t="shared" ca="1" si="1"/>
        <v>95</v>
      </c>
      <c r="F25" s="81">
        <f t="shared" ca="1" si="2"/>
        <v>-5</v>
      </c>
      <c r="G25" s="72"/>
      <c r="H25" s="72">
        <f t="shared" ca="1" si="3"/>
        <v>95</v>
      </c>
      <c r="I25" s="95" t="str">
        <f t="shared" ca="1" si="4"/>
        <v>50</v>
      </c>
      <c r="J25" s="72" cm="1">
        <f t="array" aca="1" ref="J25" ca="1">+_xlfn.IFS(AND(I25&gt;="0",I25&lt;"25"),H25-(I25/10),AND(I25&gt;="25",I25&lt;"50"),H25+(5-(I25/10)),AND(I25&gt;="50",I25&lt;"75"),H25-((I25-50)/10),I25&gt;="75",H25+(10-(I25/10)))</f>
        <v>95</v>
      </c>
      <c r="K25" s="72">
        <f t="shared" ca="1" si="5"/>
        <v>5</v>
      </c>
      <c r="L25" s="72"/>
      <c r="M25" s="72"/>
      <c r="N25" s="72"/>
      <c r="O25" s="72"/>
      <c r="P25" s="72"/>
    </row>
    <row r="26" spans="1:16" ht="15.6" x14ac:dyDescent="0.3">
      <c r="A26" s="72"/>
      <c r="B26" s="79">
        <f ca="1">+'N° de Obs.'!D25</f>
        <v>95</v>
      </c>
      <c r="C26" s="89">
        <f ca="1">+'N° de Obs.'!E25</f>
        <v>26151</v>
      </c>
      <c r="D26" s="73">
        <f t="shared" ca="1" si="0"/>
        <v>95.61</v>
      </c>
      <c r="E26" s="89">
        <f t="shared" ca="1" si="1"/>
        <v>95</v>
      </c>
      <c r="F26" s="83">
        <f t="shared" ca="1" si="2"/>
        <v>0</v>
      </c>
      <c r="G26" s="72"/>
      <c r="H26" s="72">
        <f t="shared" ca="1" si="3"/>
        <v>95.6</v>
      </c>
      <c r="I26" s="95" t="str">
        <f t="shared" ca="1" si="4"/>
        <v>56</v>
      </c>
      <c r="J26" s="72" cm="1">
        <f t="array" aca="1" ref="J26" ca="1">+_xlfn.IFS(AND(I26&gt;="0",I26&lt;"25"),H26-(I26/10),AND(I26&gt;="25",I26&lt;"50"),H26+(5-(I26/10)),AND(I26&gt;="50",I26&lt;"75"),H26-((I26-50)/10),I26&gt;="75",H26+(10-(I26/10)))</f>
        <v>95</v>
      </c>
      <c r="K26" s="72">
        <f t="shared" ca="1" si="5"/>
        <v>0</v>
      </c>
      <c r="L26" s="72"/>
      <c r="M26" s="72"/>
      <c r="N26" s="72"/>
      <c r="O26" s="72"/>
      <c r="P26" s="72"/>
    </row>
    <row r="27" spans="1:16" ht="15.6" x14ac:dyDescent="0.3">
      <c r="A27" s="72"/>
      <c r="B27" s="84" t="s">
        <v>101</v>
      </c>
      <c r="C27" s="74"/>
      <c r="D27" s="74"/>
      <c r="E27" s="74"/>
      <c r="F27" s="78">
        <f ca="1">+SUMIF(K7:K26,"&lt;=10",F7:F26)</f>
        <v>-15</v>
      </c>
      <c r="G27" s="72"/>
      <c r="H27" s="72"/>
      <c r="I27" s="72"/>
      <c r="J27" s="72"/>
      <c r="K27" s="72">
        <f ca="1">+COUNTIF(K7:K26,"&lt;=10")</f>
        <v>20</v>
      </c>
      <c r="L27" s="72"/>
      <c r="M27" s="72"/>
      <c r="N27" s="72"/>
      <c r="O27" s="72"/>
      <c r="P27" s="72"/>
    </row>
    <row r="28" spans="1:16" ht="15.6" x14ac:dyDescent="0.3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</row>
    <row r="29" spans="1:16" ht="15.6" x14ac:dyDescent="0.3">
      <c r="A29" s="72"/>
      <c r="B29" s="93">
        <v>100</v>
      </c>
      <c r="C29" s="72">
        <f ca="1">+AVERAGE('N° de Obs.'!F6:F25)</f>
        <v>25004</v>
      </c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</row>
    <row r="30" spans="1:16" ht="15.6" x14ac:dyDescent="0.3">
      <c r="A30" s="72"/>
      <c r="B30" s="72"/>
      <c r="C30" s="72"/>
      <c r="D30" s="73"/>
      <c r="E30" s="73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</row>
    <row r="31" spans="1:16" ht="15.6" x14ac:dyDescent="0.3">
      <c r="A31" s="72"/>
      <c r="B31" s="72"/>
      <c r="C31" s="72"/>
      <c r="D31" s="90" t="s">
        <v>95</v>
      </c>
      <c r="E31" s="91" t="s">
        <v>96</v>
      </c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</row>
    <row r="32" spans="1:16" ht="15.6" x14ac:dyDescent="0.3">
      <c r="A32" s="72"/>
      <c r="B32" s="72"/>
      <c r="C32" s="72"/>
      <c r="D32" s="79" t="s">
        <v>98</v>
      </c>
      <c r="E32" s="88" t="s">
        <v>25</v>
      </c>
      <c r="F32" s="72"/>
      <c r="G32" s="72"/>
      <c r="H32" s="72"/>
      <c r="I32" s="72"/>
      <c r="J32" s="72"/>
      <c r="K32" s="96" t="s">
        <v>109</v>
      </c>
      <c r="L32" s="96"/>
      <c r="M32" s="96"/>
      <c r="N32" s="72"/>
      <c r="O32" s="72"/>
      <c r="P32" s="72"/>
    </row>
    <row r="33" spans="1:16" ht="15.6" x14ac:dyDescent="0.3">
      <c r="A33" s="72"/>
      <c r="B33" s="72"/>
      <c r="C33" s="72"/>
      <c r="D33" s="79" t="s">
        <v>106</v>
      </c>
      <c r="E33" s="101">
        <f>+B29</f>
        <v>100</v>
      </c>
      <c r="F33" s="72"/>
      <c r="G33" s="72"/>
      <c r="H33" s="72"/>
      <c r="I33" s="72"/>
      <c r="J33" s="72"/>
      <c r="K33" s="96"/>
      <c r="L33" s="96"/>
      <c r="M33" s="96"/>
      <c r="N33" s="72"/>
      <c r="O33" s="72"/>
      <c r="P33" s="72"/>
    </row>
    <row r="34" spans="1:16" ht="15.6" x14ac:dyDescent="0.3">
      <c r="A34" s="72"/>
      <c r="B34" s="72"/>
      <c r="C34" s="72"/>
      <c r="D34" s="79" t="s">
        <v>20</v>
      </c>
      <c r="E34" s="88">
        <f ca="1">+C29</f>
        <v>25004</v>
      </c>
      <c r="F34" s="72"/>
      <c r="G34" s="72"/>
      <c r="H34" s="72"/>
      <c r="I34" s="72"/>
      <c r="J34" s="72"/>
      <c r="K34" s="96"/>
      <c r="L34" s="96"/>
      <c r="M34" s="96"/>
      <c r="N34" s="72"/>
      <c r="O34" s="72"/>
      <c r="P34" s="72"/>
    </row>
    <row r="35" spans="1:16" ht="31.2" x14ac:dyDescent="0.3">
      <c r="A35" s="72"/>
      <c r="B35" s="72"/>
      <c r="C35" s="72"/>
      <c r="D35" s="98" t="s">
        <v>108</v>
      </c>
      <c r="E35" s="88">
        <f ca="1">+K27</f>
        <v>20</v>
      </c>
      <c r="F35" s="72"/>
      <c r="G35" s="72"/>
      <c r="H35" s="72"/>
      <c r="I35" s="72"/>
      <c r="J35" s="72"/>
      <c r="K35" s="96"/>
      <c r="L35" s="96"/>
      <c r="M35" s="96"/>
      <c r="N35" s="72"/>
      <c r="O35" s="72"/>
      <c r="P35" s="72"/>
    </row>
    <row r="36" spans="1:16" ht="15.6" x14ac:dyDescent="0.3">
      <c r="A36" s="72"/>
      <c r="B36" s="72"/>
      <c r="C36" s="72"/>
      <c r="D36" s="99" t="s">
        <v>105</v>
      </c>
      <c r="E36" s="89">
        <f ca="1">+F27</f>
        <v>-15</v>
      </c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</row>
    <row r="37" spans="1:16" ht="31.2" x14ac:dyDescent="0.3">
      <c r="A37" s="72"/>
      <c r="B37" s="72"/>
      <c r="C37" s="72"/>
      <c r="D37" s="100" t="s">
        <v>107</v>
      </c>
      <c r="E37" s="87" t="str">
        <f ca="1">+CONCATENATE(ROUND((F27/K27*5)/5,2)," %")</f>
        <v>-0.75 %</v>
      </c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</row>
    <row r="38" spans="1:16" ht="15.6" x14ac:dyDescent="0.3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</row>
    <row r="40" spans="1:16" x14ac:dyDescent="0.3">
      <c r="C40" s="16"/>
      <c r="D40" s="16"/>
      <c r="E40" s="52" t="str">
        <f>+'N° de Obs.'!P2</f>
        <v>Elemento T</v>
      </c>
      <c r="F40" s="53"/>
      <c r="G40" s="16"/>
    </row>
    <row r="41" spans="1:16" ht="15.6" x14ac:dyDescent="0.3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</row>
    <row r="42" spans="1:16" ht="15.6" x14ac:dyDescent="0.3">
      <c r="A42" s="72"/>
      <c r="B42" s="73"/>
      <c r="C42" s="73"/>
      <c r="D42" s="73"/>
      <c r="E42" s="73"/>
      <c r="F42" s="73"/>
      <c r="G42" s="72"/>
      <c r="H42" s="72"/>
      <c r="I42" s="72"/>
      <c r="J42" s="72"/>
      <c r="K42" s="72"/>
      <c r="L42" s="72"/>
      <c r="M42" s="72"/>
      <c r="N42" s="72"/>
      <c r="O42" s="72"/>
      <c r="P42" s="72"/>
    </row>
    <row r="43" spans="1:16" ht="15.6" x14ac:dyDescent="0.3">
      <c r="A43" s="72"/>
      <c r="B43" s="90" t="s">
        <v>26</v>
      </c>
      <c r="C43" s="91" t="s">
        <v>103</v>
      </c>
      <c r="D43" s="97" t="s">
        <v>104</v>
      </c>
      <c r="E43" s="91" t="s">
        <v>27</v>
      </c>
      <c r="F43" s="92" t="s">
        <v>105</v>
      </c>
      <c r="G43" s="72"/>
      <c r="H43" s="72"/>
      <c r="I43" s="72"/>
      <c r="J43" s="72"/>
      <c r="K43" s="72"/>
      <c r="L43" s="72"/>
      <c r="M43" s="72"/>
      <c r="N43" s="72"/>
      <c r="O43" s="72"/>
      <c r="P43" s="72"/>
    </row>
    <row r="44" spans="1:16" ht="15.6" x14ac:dyDescent="0.3">
      <c r="A44" s="72"/>
      <c r="B44" s="79">
        <f ca="1">+'N° de Obs.'!M6</f>
        <v>95</v>
      </c>
      <c r="C44" s="88">
        <f ca="1">+'N° de Obs.'!N6</f>
        <v>54604</v>
      </c>
      <c r="D44" s="80">
        <f ca="1">+ROUND($B$66*$C$66/C44,2)</f>
        <v>96.55</v>
      </c>
      <c r="E44" s="88">
        <f ca="1">+J44</f>
        <v>95</v>
      </c>
      <c r="F44" s="81">
        <f ca="1">+B44-E44</f>
        <v>0</v>
      </c>
      <c r="G44" s="72"/>
      <c r="H44" s="72">
        <f ca="1">+ROUND(D44,1)</f>
        <v>96.6</v>
      </c>
      <c r="I44" s="95" t="str">
        <f ca="1">+RIGHT(H44*10,2)</f>
        <v>66</v>
      </c>
      <c r="J44" s="72" cm="1">
        <f t="array" aca="1" ref="J44" ca="1">+_xlfn.IFS(AND(I44&gt;="0",I44&lt;"25"),H44-(I44/10),AND(I44&gt;="25",I44&lt;"50"),H44+(5-(I44/10)),AND(I44&gt;="50",I44&lt;"75"),H44-((I44-50)/10),I44&gt;="75",H44+(10-(I44/10)))</f>
        <v>95</v>
      </c>
      <c r="K44" s="72">
        <f ca="1">+ABS(F44)</f>
        <v>0</v>
      </c>
      <c r="L44" s="72"/>
      <c r="M44" s="72"/>
      <c r="N44" s="72"/>
      <c r="O44" s="72"/>
      <c r="P44" s="72"/>
    </row>
    <row r="45" spans="1:16" ht="15.6" x14ac:dyDescent="0.3">
      <c r="A45" s="72"/>
      <c r="B45" s="79">
        <f ca="1">+'N° de Obs.'!M7</f>
        <v>105</v>
      </c>
      <c r="C45" s="88">
        <f ca="1">+'N° de Obs.'!N7</f>
        <v>53991</v>
      </c>
      <c r="D45" s="80">
        <f t="shared" ref="D45:D63" ca="1" si="6">+ROUND($B$66*$C$66/C45,2)</f>
        <v>97.65</v>
      </c>
      <c r="E45" s="88">
        <f t="shared" ref="E45:E63" ca="1" si="7">+J45</f>
        <v>100</v>
      </c>
      <c r="F45" s="81">
        <f t="shared" ref="F45:F63" ca="1" si="8">+B45-E45</f>
        <v>5</v>
      </c>
      <c r="G45" s="72"/>
      <c r="H45" s="72">
        <f t="shared" ref="H45:H63" ca="1" si="9">+ROUND(D45,1)</f>
        <v>97.7</v>
      </c>
      <c r="I45" s="95" t="str">
        <f t="shared" ref="I45:I63" ca="1" si="10">+RIGHT(H45*10,2)</f>
        <v>77</v>
      </c>
      <c r="J45" s="72" cm="1">
        <f t="array" aca="1" ref="J45" ca="1">+_xlfn.IFS(AND(I45&gt;="0",I45&lt;"25"),H45-(I45/10),AND(I45&gt;="25",I45&lt;"50"),H45+(5-(I45/10)),AND(I45&gt;="50",I45&lt;"75"),H45-((I45-50)/10),I45&gt;="75",H45+(10-(I45/10)))</f>
        <v>100</v>
      </c>
      <c r="K45" s="72">
        <f t="shared" ref="K45:K63" ca="1" si="11">+ABS(F45)</f>
        <v>5</v>
      </c>
      <c r="L45" s="72"/>
      <c r="M45" s="72"/>
      <c r="N45" s="72"/>
      <c r="O45" s="72"/>
      <c r="P45" s="72"/>
    </row>
    <row r="46" spans="1:16" ht="15.6" x14ac:dyDescent="0.3">
      <c r="A46" s="72"/>
      <c r="B46" s="79">
        <f ca="1">+'N° de Obs.'!M8</f>
        <v>105</v>
      </c>
      <c r="C46" s="88">
        <f ca="1">+'N° de Obs.'!N8</f>
        <v>53997</v>
      </c>
      <c r="D46" s="80">
        <f t="shared" ca="1" si="6"/>
        <v>97.64</v>
      </c>
      <c r="E46" s="88">
        <f t="shared" ca="1" si="7"/>
        <v>100</v>
      </c>
      <c r="F46" s="81">
        <f t="shared" ca="1" si="8"/>
        <v>5</v>
      </c>
      <c r="G46" s="72"/>
      <c r="H46" s="72">
        <f t="shared" ca="1" si="9"/>
        <v>97.6</v>
      </c>
      <c r="I46" s="95" t="str">
        <f t="shared" ca="1" si="10"/>
        <v>76</v>
      </c>
      <c r="J46" s="72" cm="1">
        <f t="array" aca="1" ref="J46" ca="1">+_xlfn.IFS(AND(I46&gt;="0",I46&lt;"25"),H46-(I46/10),AND(I46&gt;="25",I46&lt;"50"),H46+(5-(I46/10)),AND(I46&gt;="50",I46&lt;"75"),H46-((I46-50)/10),I46&gt;="75",H46+(10-(I46/10)))</f>
        <v>100</v>
      </c>
      <c r="K46" s="72">
        <f t="shared" ca="1" si="11"/>
        <v>5</v>
      </c>
      <c r="L46" s="72"/>
      <c r="M46" s="72"/>
      <c r="N46" s="72"/>
      <c r="O46" s="72"/>
      <c r="P46" s="72"/>
    </row>
    <row r="47" spans="1:16" ht="15.6" x14ac:dyDescent="0.3">
      <c r="A47" s="72"/>
      <c r="B47" s="79">
        <f ca="1">+'N° de Obs.'!M9</f>
        <v>105</v>
      </c>
      <c r="C47" s="88">
        <f ca="1">+'N° de Obs.'!N9</f>
        <v>53655</v>
      </c>
      <c r="D47" s="80">
        <f t="shared" ca="1" si="6"/>
        <v>98.26</v>
      </c>
      <c r="E47" s="88">
        <f t="shared" ca="1" si="7"/>
        <v>100</v>
      </c>
      <c r="F47" s="81">
        <f t="shared" ca="1" si="8"/>
        <v>5</v>
      </c>
      <c r="G47" s="72"/>
      <c r="H47" s="72">
        <f t="shared" ca="1" si="9"/>
        <v>98.3</v>
      </c>
      <c r="I47" s="95" t="str">
        <f t="shared" ca="1" si="10"/>
        <v>83</v>
      </c>
      <c r="J47" s="72" cm="1">
        <f t="array" aca="1" ref="J47" ca="1">+_xlfn.IFS(AND(I47&gt;="0",I47&lt;"25"),H47-(I47/10),AND(I47&gt;="25",I47&lt;"50"),H47+(5-(I47/10)),AND(I47&gt;="50",I47&lt;"75"),H47-((I47-50)/10),I47&gt;="75",H47+(10-(I47/10)))</f>
        <v>100</v>
      </c>
      <c r="K47" s="72">
        <f t="shared" ca="1" si="11"/>
        <v>5</v>
      </c>
      <c r="L47" s="72"/>
      <c r="M47" s="72"/>
      <c r="N47" s="72"/>
      <c r="O47" s="72"/>
      <c r="P47" s="72"/>
    </row>
    <row r="48" spans="1:16" ht="15.6" x14ac:dyDescent="0.3">
      <c r="A48" s="72"/>
      <c r="B48" s="79">
        <f ca="1">+'N° de Obs.'!M10</f>
        <v>100</v>
      </c>
      <c r="C48" s="88">
        <f ca="1">+'N° de Obs.'!N10</f>
        <v>54335</v>
      </c>
      <c r="D48" s="80">
        <f t="shared" ca="1" si="6"/>
        <v>97.03</v>
      </c>
      <c r="E48" s="88">
        <f t="shared" ca="1" si="7"/>
        <v>95</v>
      </c>
      <c r="F48" s="81">
        <f t="shared" ca="1" si="8"/>
        <v>5</v>
      </c>
      <c r="G48" s="72"/>
      <c r="H48" s="72">
        <f t="shared" ca="1" si="9"/>
        <v>97</v>
      </c>
      <c r="I48" s="95" t="str">
        <f t="shared" ca="1" si="10"/>
        <v>70</v>
      </c>
      <c r="J48" s="72" cm="1">
        <f t="array" aca="1" ref="J48" ca="1">+_xlfn.IFS(AND(I48&gt;="0",I48&lt;"25"),H48-(I48/10),AND(I48&gt;="25",I48&lt;"50"),H48+(5-(I48/10)),AND(I48&gt;="50",I48&lt;"75"),H48-((I48-50)/10),I48&gt;="75",H48+(10-(I48/10)))</f>
        <v>95</v>
      </c>
      <c r="K48" s="72">
        <f t="shared" ca="1" si="11"/>
        <v>5</v>
      </c>
      <c r="L48" s="72"/>
      <c r="M48" s="72"/>
      <c r="N48" s="72"/>
      <c r="O48" s="72"/>
      <c r="P48" s="72"/>
    </row>
    <row r="49" spans="1:16" ht="15.6" x14ac:dyDescent="0.3">
      <c r="A49" s="72"/>
      <c r="B49" s="79">
        <f ca="1">+'N° de Obs.'!M11</f>
        <v>95</v>
      </c>
      <c r="C49" s="88">
        <f ca="1">+'N° de Obs.'!N11</f>
        <v>53600</v>
      </c>
      <c r="D49" s="80">
        <f t="shared" ca="1" si="6"/>
        <v>98.36</v>
      </c>
      <c r="E49" s="88">
        <f t="shared" ca="1" si="7"/>
        <v>100</v>
      </c>
      <c r="F49" s="81">
        <f t="shared" ca="1" si="8"/>
        <v>-5</v>
      </c>
      <c r="G49" s="72"/>
      <c r="H49" s="72">
        <f t="shared" ca="1" si="9"/>
        <v>98.4</v>
      </c>
      <c r="I49" s="95" t="str">
        <f t="shared" ca="1" si="10"/>
        <v>84</v>
      </c>
      <c r="J49" s="72" cm="1">
        <f t="array" aca="1" ref="J49" ca="1">+_xlfn.IFS(AND(I49&gt;="0",I49&lt;"25"),H49-(I49/10),AND(I49&gt;="25",I49&lt;"50"),H49+(5-(I49/10)),AND(I49&gt;="50",I49&lt;"75"),H49-((I49-50)/10),I49&gt;="75",H49+(10-(I49/10)))</f>
        <v>100</v>
      </c>
      <c r="K49" s="72">
        <f t="shared" ca="1" si="11"/>
        <v>5</v>
      </c>
      <c r="L49" s="72"/>
      <c r="M49" s="72"/>
      <c r="N49" s="72"/>
      <c r="O49" s="72"/>
      <c r="P49" s="72"/>
    </row>
    <row r="50" spans="1:16" ht="15.6" x14ac:dyDescent="0.3">
      <c r="A50" s="72"/>
      <c r="B50" s="79">
        <f ca="1">+'N° de Obs.'!M12</f>
        <v>90</v>
      </c>
      <c r="C50" s="88">
        <f ca="1">+'N° de Obs.'!N12</f>
        <v>53286</v>
      </c>
      <c r="D50" s="80">
        <f t="shared" ca="1" si="6"/>
        <v>98.94</v>
      </c>
      <c r="E50" s="88">
        <f t="shared" ca="1" si="7"/>
        <v>100</v>
      </c>
      <c r="F50" s="81">
        <f t="shared" ca="1" si="8"/>
        <v>-10</v>
      </c>
      <c r="G50" s="72"/>
      <c r="H50" s="72">
        <f t="shared" ca="1" si="9"/>
        <v>98.9</v>
      </c>
      <c r="I50" s="95" t="str">
        <f t="shared" ca="1" si="10"/>
        <v>89</v>
      </c>
      <c r="J50" s="72" cm="1">
        <f t="array" aca="1" ref="J50" ca="1">+_xlfn.IFS(AND(I50&gt;="0",I50&lt;"25"),H50-(I50/10),AND(I50&gt;="25",I50&lt;"50"),H50+(5-(I50/10)),AND(I50&gt;="50",I50&lt;"75"),H50-((I50-50)/10),I50&gt;="75",H50+(10-(I50/10)))</f>
        <v>100</v>
      </c>
      <c r="K50" s="72">
        <f t="shared" ca="1" si="11"/>
        <v>10</v>
      </c>
      <c r="L50" s="72"/>
      <c r="M50" s="72"/>
      <c r="N50" s="72"/>
      <c r="O50" s="72"/>
      <c r="P50" s="72"/>
    </row>
    <row r="51" spans="1:16" ht="15.6" x14ac:dyDescent="0.3">
      <c r="A51" s="72"/>
      <c r="B51" s="79">
        <f ca="1">+'N° de Obs.'!M13</f>
        <v>90</v>
      </c>
      <c r="C51" s="88">
        <f ca="1">+'N° de Obs.'!N13</f>
        <v>53690</v>
      </c>
      <c r="D51" s="80">
        <f t="shared" ca="1" si="6"/>
        <v>98.2</v>
      </c>
      <c r="E51" s="88">
        <f t="shared" ca="1" si="7"/>
        <v>100</v>
      </c>
      <c r="F51" s="81">
        <f t="shared" ca="1" si="8"/>
        <v>-10</v>
      </c>
      <c r="G51" s="72"/>
      <c r="H51" s="72">
        <f t="shared" ca="1" si="9"/>
        <v>98.2</v>
      </c>
      <c r="I51" s="95" t="str">
        <f t="shared" ca="1" si="10"/>
        <v>82</v>
      </c>
      <c r="J51" s="72" cm="1">
        <f t="array" aca="1" ref="J51" ca="1">+_xlfn.IFS(AND(I51&gt;="0",I51&lt;"25"),H51-(I51/10),AND(I51&gt;="25",I51&lt;"50"),H51+(5-(I51/10)),AND(I51&gt;="50",I51&lt;"75"),H51-((I51-50)/10),I51&gt;="75",H51+(10-(I51/10)))</f>
        <v>100</v>
      </c>
      <c r="K51" s="72">
        <f t="shared" ca="1" si="11"/>
        <v>10</v>
      </c>
      <c r="L51" s="72"/>
      <c r="M51" s="72"/>
      <c r="N51" s="72"/>
      <c r="O51" s="72"/>
      <c r="P51" s="72"/>
    </row>
    <row r="52" spans="1:16" ht="15.6" x14ac:dyDescent="0.3">
      <c r="A52" s="72"/>
      <c r="B52" s="79">
        <f ca="1">+'N° de Obs.'!M14</f>
        <v>100</v>
      </c>
      <c r="C52" s="88">
        <f ca="1">+'N° de Obs.'!N14</f>
        <v>54670</v>
      </c>
      <c r="D52" s="80">
        <f t="shared" ca="1" si="6"/>
        <v>96.43</v>
      </c>
      <c r="E52" s="88">
        <f t="shared" ca="1" si="7"/>
        <v>95</v>
      </c>
      <c r="F52" s="81">
        <f t="shared" ca="1" si="8"/>
        <v>5</v>
      </c>
      <c r="G52" s="72"/>
      <c r="H52" s="72">
        <f t="shared" ca="1" si="9"/>
        <v>96.4</v>
      </c>
      <c r="I52" s="95" t="str">
        <f t="shared" ca="1" si="10"/>
        <v>64</v>
      </c>
      <c r="J52" s="72" cm="1">
        <f t="array" aca="1" ref="J52" ca="1">+_xlfn.IFS(AND(I52&gt;="0",I52&lt;"25"),H52-(I52/10),AND(I52&gt;="25",I52&lt;"50"),H52+(5-(I52/10)),AND(I52&gt;="50",I52&lt;"75"),H52-((I52-50)/10),I52&gt;="75",H52+(10-(I52/10)))</f>
        <v>95</v>
      </c>
      <c r="K52" s="72">
        <f t="shared" ca="1" si="11"/>
        <v>5</v>
      </c>
      <c r="L52" s="72"/>
      <c r="M52" s="72"/>
      <c r="N52" s="72"/>
      <c r="O52" s="72"/>
      <c r="P52" s="72"/>
    </row>
    <row r="53" spans="1:16" ht="15.6" x14ac:dyDescent="0.3">
      <c r="A53" s="72"/>
      <c r="B53" s="79">
        <f ca="1">+'N° de Obs.'!M15</f>
        <v>100</v>
      </c>
      <c r="C53" s="88">
        <f ca="1">+'N° de Obs.'!N15</f>
        <v>54767</v>
      </c>
      <c r="D53" s="80">
        <f t="shared" ca="1" si="6"/>
        <v>96.26</v>
      </c>
      <c r="E53" s="88">
        <f t="shared" ca="1" si="7"/>
        <v>95</v>
      </c>
      <c r="F53" s="81">
        <f t="shared" ca="1" si="8"/>
        <v>5</v>
      </c>
      <c r="G53" s="72"/>
      <c r="H53" s="72">
        <f t="shared" ca="1" si="9"/>
        <v>96.3</v>
      </c>
      <c r="I53" s="95" t="str">
        <f t="shared" ca="1" si="10"/>
        <v>63</v>
      </c>
      <c r="J53" s="72" cm="1">
        <f t="array" aca="1" ref="J53" ca="1">+_xlfn.IFS(AND(I53&gt;="0",I53&lt;"25"),H53-(I53/10),AND(I53&gt;="25",I53&lt;"50"),H53+(5-(I53/10)),AND(I53&gt;="50",I53&lt;"75"),H53-((I53-50)/10),I53&gt;="75",H53+(10-(I53/10)))</f>
        <v>95</v>
      </c>
      <c r="K53" s="72">
        <f t="shared" ca="1" si="11"/>
        <v>5</v>
      </c>
      <c r="L53" s="72"/>
      <c r="M53" s="72"/>
      <c r="N53" s="72"/>
      <c r="O53" s="72"/>
      <c r="P53" s="72"/>
    </row>
    <row r="54" spans="1:16" ht="15.6" x14ac:dyDescent="0.3">
      <c r="A54" s="72"/>
      <c r="B54" s="79">
        <f ca="1">+'N° de Obs.'!M16</f>
        <v>90</v>
      </c>
      <c r="C54" s="88">
        <f ca="1">+'N° de Obs.'!N16</f>
        <v>53202</v>
      </c>
      <c r="D54" s="80">
        <f t="shared" ca="1" si="6"/>
        <v>99.1</v>
      </c>
      <c r="E54" s="88">
        <f t="shared" ca="1" si="7"/>
        <v>100</v>
      </c>
      <c r="F54" s="81">
        <f t="shared" ca="1" si="8"/>
        <v>-10</v>
      </c>
      <c r="G54" s="72"/>
      <c r="H54" s="72">
        <f t="shared" ca="1" si="9"/>
        <v>99.1</v>
      </c>
      <c r="I54" s="95" t="str">
        <f t="shared" ca="1" si="10"/>
        <v>91</v>
      </c>
      <c r="J54" s="72" cm="1">
        <f t="array" aca="1" ref="J54" ca="1">+_xlfn.IFS(AND(I54&gt;="0",I54&lt;"25"),H54-(I54/10),AND(I54&gt;="25",I54&lt;"50"),H54+(5-(I54/10)),AND(I54&gt;="50",I54&lt;"75"),H54-((I54-50)/10),I54&gt;="75",H54+(10-(I54/10)))</f>
        <v>100</v>
      </c>
      <c r="K54" s="72">
        <f t="shared" ca="1" si="11"/>
        <v>10</v>
      </c>
      <c r="L54" s="72"/>
      <c r="M54" s="72"/>
      <c r="N54" s="72"/>
      <c r="O54" s="72"/>
      <c r="P54" s="72"/>
    </row>
    <row r="55" spans="1:16" ht="15.6" x14ac:dyDescent="0.3">
      <c r="A55" s="72"/>
      <c r="B55" s="79">
        <f ca="1">+'N° de Obs.'!M17</f>
        <v>95</v>
      </c>
      <c r="C55" s="88">
        <f ca="1">+'N° de Obs.'!N17</f>
        <v>53747</v>
      </c>
      <c r="D55" s="80">
        <f t="shared" ca="1" si="6"/>
        <v>98.09</v>
      </c>
      <c r="E55" s="88">
        <f t="shared" ca="1" si="7"/>
        <v>100</v>
      </c>
      <c r="F55" s="81">
        <f t="shared" ca="1" si="8"/>
        <v>-5</v>
      </c>
      <c r="G55" s="72"/>
      <c r="H55" s="72">
        <f t="shared" ca="1" si="9"/>
        <v>98.1</v>
      </c>
      <c r="I55" s="95" t="str">
        <f t="shared" ca="1" si="10"/>
        <v>81</v>
      </c>
      <c r="J55" s="72" cm="1">
        <f t="array" aca="1" ref="J55" ca="1">+_xlfn.IFS(AND(I55&gt;="0",I55&lt;"25"),H55-(I55/10),AND(I55&gt;="25",I55&lt;"50"),H55+(5-(I55/10)),AND(I55&gt;="50",I55&lt;"75"),H55-((I55-50)/10),I55&gt;="75",H55+(10-(I55/10)))</f>
        <v>100</v>
      </c>
      <c r="K55" s="72">
        <f t="shared" ca="1" si="11"/>
        <v>5</v>
      </c>
      <c r="L55" s="72"/>
      <c r="M55" s="72"/>
      <c r="N55" s="72"/>
      <c r="O55" s="72"/>
      <c r="P55" s="72"/>
    </row>
    <row r="56" spans="1:16" ht="15.6" x14ac:dyDescent="0.3">
      <c r="A56" s="72"/>
      <c r="B56" s="79">
        <f ca="1">+'N° de Obs.'!M18</f>
        <v>105</v>
      </c>
      <c r="C56" s="88">
        <f ca="1">+'N° de Obs.'!N18</f>
        <v>53663</v>
      </c>
      <c r="D56" s="102">
        <f t="shared" ca="1" si="6"/>
        <v>98.24</v>
      </c>
      <c r="E56" s="88">
        <f t="shared" ca="1" si="7"/>
        <v>100</v>
      </c>
      <c r="F56" s="81">
        <f t="shared" ca="1" si="8"/>
        <v>5</v>
      </c>
      <c r="G56" s="72"/>
      <c r="H56" s="72">
        <f t="shared" ca="1" si="9"/>
        <v>98.2</v>
      </c>
      <c r="I56" s="95" t="str">
        <f t="shared" ca="1" si="10"/>
        <v>82</v>
      </c>
      <c r="J56" s="72" cm="1">
        <f t="array" aca="1" ref="J56" ca="1">+_xlfn.IFS(AND(I56&gt;="0",I56&lt;"25"),H56-(I56/10),AND(I56&gt;="25",I56&lt;"50"),H56+(5-(I56/10)),AND(I56&gt;="50",I56&lt;"75"),H56-((I56-50)/10),I56&gt;="75",H56+(10-(I56/10)))</f>
        <v>100</v>
      </c>
      <c r="K56" s="72">
        <f t="shared" ca="1" si="11"/>
        <v>5</v>
      </c>
      <c r="L56" s="72"/>
      <c r="M56" s="72"/>
      <c r="N56" s="72"/>
      <c r="O56" s="72"/>
      <c r="P56" s="72"/>
    </row>
    <row r="57" spans="1:16" ht="15.6" x14ac:dyDescent="0.3">
      <c r="A57" s="72"/>
      <c r="B57" s="79">
        <f ca="1">+'N° de Obs.'!M19</f>
        <v>105</v>
      </c>
      <c r="C57" s="88">
        <f ca="1">+'N° de Obs.'!N19</f>
        <v>54130</v>
      </c>
      <c r="D57" s="80">
        <f t="shared" ca="1" si="6"/>
        <v>97.4</v>
      </c>
      <c r="E57" s="88">
        <f t="shared" ca="1" si="7"/>
        <v>95</v>
      </c>
      <c r="F57" s="81">
        <f t="shared" ca="1" si="8"/>
        <v>10</v>
      </c>
      <c r="G57" s="72"/>
      <c r="H57" s="72">
        <f t="shared" ca="1" si="9"/>
        <v>97.4</v>
      </c>
      <c r="I57" s="95" t="str">
        <f t="shared" ca="1" si="10"/>
        <v>74</v>
      </c>
      <c r="J57" s="72" cm="1">
        <f t="array" aca="1" ref="J57" ca="1">+_xlfn.IFS(AND(I57&gt;="0",I57&lt;"25"),H57-(I57/10),AND(I57&gt;="25",I57&lt;"50"),H57+(5-(I57/10)),AND(I57&gt;="50",I57&lt;"75"),H57-((I57-50)/10),I57&gt;="75",H57+(10-(I57/10)))</f>
        <v>95</v>
      </c>
      <c r="K57" s="72">
        <f t="shared" ca="1" si="11"/>
        <v>10</v>
      </c>
      <c r="L57" s="72"/>
      <c r="M57" s="72"/>
      <c r="N57" s="72"/>
      <c r="O57" s="72"/>
      <c r="P57" s="72"/>
    </row>
    <row r="58" spans="1:16" ht="15.6" x14ac:dyDescent="0.3">
      <c r="A58" s="72"/>
      <c r="B58" s="79">
        <f ca="1">+'N° de Obs.'!M20</f>
        <v>85</v>
      </c>
      <c r="C58" s="88">
        <f ca="1">+'N° de Obs.'!N20</f>
        <v>54105</v>
      </c>
      <c r="D58" s="80">
        <f t="shared" ca="1" si="6"/>
        <v>97.44</v>
      </c>
      <c r="E58" s="88">
        <f t="shared" ca="1" si="7"/>
        <v>95</v>
      </c>
      <c r="F58" s="81">
        <f t="shared" ca="1" si="8"/>
        <v>-10</v>
      </c>
      <c r="G58" s="72"/>
      <c r="H58" s="72">
        <f t="shared" ca="1" si="9"/>
        <v>97.4</v>
      </c>
      <c r="I58" s="95" t="str">
        <f t="shared" ca="1" si="10"/>
        <v>74</v>
      </c>
      <c r="J58" s="72" cm="1">
        <f t="array" aca="1" ref="J58" ca="1">+_xlfn.IFS(AND(I58&gt;="0",I58&lt;"25"),H58-(I58/10),AND(I58&gt;="25",I58&lt;"50"),H58+(5-(I58/10)),AND(I58&gt;="50",I58&lt;"75"),H58-((I58-50)/10),I58&gt;="75",H58+(10-(I58/10)))</f>
        <v>95</v>
      </c>
      <c r="K58" s="72">
        <f t="shared" ca="1" si="11"/>
        <v>10</v>
      </c>
      <c r="L58" s="72"/>
      <c r="M58" s="72"/>
      <c r="N58" s="72"/>
      <c r="O58" s="72"/>
      <c r="P58" s="72"/>
    </row>
    <row r="59" spans="1:16" ht="15.6" x14ac:dyDescent="0.3">
      <c r="A59" s="72"/>
      <c r="B59" s="79">
        <f ca="1">+'N° de Obs.'!M21</f>
        <v>100</v>
      </c>
      <c r="C59" s="88">
        <f ca="1">+'N° de Obs.'!N21</f>
        <v>54668</v>
      </c>
      <c r="D59" s="80">
        <f t="shared" ca="1" si="6"/>
        <v>96.44</v>
      </c>
      <c r="E59" s="88">
        <f t="shared" ca="1" si="7"/>
        <v>95</v>
      </c>
      <c r="F59" s="81">
        <f t="shared" ca="1" si="8"/>
        <v>5</v>
      </c>
      <c r="G59" s="72"/>
      <c r="H59" s="72">
        <f t="shared" ca="1" si="9"/>
        <v>96.4</v>
      </c>
      <c r="I59" s="95" t="str">
        <f t="shared" ca="1" si="10"/>
        <v>64</v>
      </c>
      <c r="J59" s="72" cm="1">
        <f t="array" aca="1" ref="J59" ca="1">+_xlfn.IFS(AND(I59&gt;="0",I59&lt;"25"),H59-(I59/10),AND(I59&gt;="25",I59&lt;"50"),H59+(5-(I59/10)),AND(I59&gt;="50",I59&lt;"75"),H59-((I59-50)/10),I59&gt;="75",H59+(10-(I59/10)))</f>
        <v>95</v>
      </c>
      <c r="K59" s="72">
        <f t="shared" ca="1" si="11"/>
        <v>5</v>
      </c>
      <c r="L59" s="72"/>
      <c r="M59" s="72"/>
      <c r="N59" s="72"/>
      <c r="O59" s="72"/>
      <c r="P59" s="72"/>
    </row>
    <row r="60" spans="1:16" ht="15.6" x14ac:dyDescent="0.3">
      <c r="A60" s="72"/>
      <c r="B60" s="79">
        <f ca="1">+'N° de Obs.'!M22</f>
        <v>100</v>
      </c>
      <c r="C60" s="88">
        <f ca="1">+'N° de Obs.'!N22</f>
        <v>53199</v>
      </c>
      <c r="D60" s="80">
        <f t="shared" ca="1" si="6"/>
        <v>99.1</v>
      </c>
      <c r="E60" s="88">
        <f t="shared" ca="1" si="7"/>
        <v>100</v>
      </c>
      <c r="F60" s="81">
        <f t="shared" ca="1" si="8"/>
        <v>0</v>
      </c>
      <c r="G60" s="72"/>
      <c r="H60" s="72">
        <f t="shared" ca="1" si="9"/>
        <v>99.1</v>
      </c>
      <c r="I60" s="95" t="str">
        <f t="shared" ca="1" si="10"/>
        <v>91</v>
      </c>
      <c r="J60" s="72" cm="1">
        <f t="array" aca="1" ref="J60" ca="1">+_xlfn.IFS(AND(I60&gt;="0",I60&lt;"25"),H60-(I60/10),AND(I60&gt;="25",I60&lt;"50"),H60+(5-(I60/10)),AND(I60&gt;="50",I60&lt;"75"),H60-((I60-50)/10),I60&gt;="75",H60+(10-(I60/10)))</f>
        <v>100</v>
      </c>
      <c r="K60" s="72">
        <f t="shared" ca="1" si="11"/>
        <v>0</v>
      </c>
      <c r="L60" s="72"/>
      <c r="M60" s="72"/>
      <c r="N60" s="72"/>
      <c r="O60" s="72"/>
      <c r="P60" s="72"/>
    </row>
    <row r="61" spans="1:16" ht="15.6" x14ac:dyDescent="0.3">
      <c r="A61" s="72"/>
      <c r="B61" s="79">
        <f ca="1">+'N° de Obs.'!M23</f>
        <v>95</v>
      </c>
      <c r="C61" s="88">
        <f ca="1">+'N° de Obs.'!N23</f>
        <v>54459</v>
      </c>
      <c r="D61" s="80">
        <f t="shared" ca="1" si="6"/>
        <v>96.81</v>
      </c>
      <c r="E61" s="88">
        <f t="shared" ca="1" si="7"/>
        <v>95</v>
      </c>
      <c r="F61" s="81">
        <f t="shared" ca="1" si="8"/>
        <v>0</v>
      </c>
      <c r="G61" s="72"/>
      <c r="H61" s="72">
        <f t="shared" ca="1" si="9"/>
        <v>96.8</v>
      </c>
      <c r="I61" s="95" t="str">
        <f t="shared" ca="1" si="10"/>
        <v>68</v>
      </c>
      <c r="J61" s="72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72">
        <f t="shared" ca="1" si="11"/>
        <v>0</v>
      </c>
      <c r="L61" s="72"/>
      <c r="M61" s="72"/>
      <c r="N61" s="72"/>
      <c r="O61" s="72"/>
      <c r="P61" s="72"/>
    </row>
    <row r="62" spans="1:16" ht="15.6" x14ac:dyDescent="0.3">
      <c r="A62" s="72"/>
      <c r="B62" s="79">
        <f ca="1">+'N° de Obs.'!M24</f>
        <v>100</v>
      </c>
      <c r="C62" s="88">
        <f ca="1">+'N° de Obs.'!N24</f>
        <v>53675</v>
      </c>
      <c r="D62" s="80">
        <f t="shared" ca="1" si="6"/>
        <v>98.22</v>
      </c>
      <c r="E62" s="88">
        <f t="shared" ca="1" si="7"/>
        <v>100</v>
      </c>
      <c r="F62" s="81">
        <f t="shared" ca="1" si="8"/>
        <v>0</v>
      </c>
      <c r="G62" s="72"/>
      <c r="H62" s="72">
        <f t="shared" ca="1" si="9"/>
        <v>98.2</v>
      </c>
      <c r="I62" s="95" t="str">
        <f t="shared" ca="1" si="10"/>
        <v>82</v>
      </c>
      <c r="J62" s="72" cm="1">
        <f t="array" aca="1" ref="J62" ca="1">+_xlfn.IFS(AND(I62&gt;="0",I62&lt;"25"),H62-(I62/10),AND(I62&gt;="25",I62&lt;"50"),H62+(5-(I62/10)),AND(I62&gt;="50",I62&lt;"75"),H62-((I62-50)/10),I62&gt;="75",H62+(10-(I62/10)))</f>
        <v>100</v>
      </c>
      <c r="K62" s="72">
        <f t="shared" ca="1" si="11"/>
        <v>0</v>
      </c>
      <c r="L62" s="72"/>
      <c r="M62" s="72"/>
      <c r="N62" s="72"/>
      <c r="O62" s="72"/>
      <c r="P62" s="72"/>
    </row>
    <row r="63" spans="1:16" ht="15.6" x14ac:dyDescent="0.3">
      <c r="A63" s="72"/>
      <c r="B63" s="79">
        <f ca="1">+'N° de Obs.'!M25</f>
        <v>95</v>
      </c>
      <c r="C63" s="89">
        <f ca="1">+'N° de Obs.'!N25</f>
        <v>53108</v>
      </c>
      <c r="D63" s="80">
        <f t="shared" ca="1" si="6"/>
        <v>99.27</v>
      </c>
      <c r="E63" s="89">
        <f t="shared" ca="1" si="7"/>
        <v>100</v>
      </c>
      <c r="F63" s="83">
        <f t="shared" ca="1" si="8"/>
        <v>-5</v>
      </c>
      <c r="G63" s="72"/>
      <c r="H63" s="72">
        <f t="shared" ca="1" si="9"/>
        <v>99.3</v>
      </c>
      <c r="I63" s="95" t="str">
        <f t="shared" ca="1" si="10"/>
        <v>93</v>
      </c>
      <c r="J63" s="72" cm="1">
        <f t="array" aca="1" ref="J63" ca="1">+_xlfn.IFS(AND(I63&gt;="0",I63&lt;"25"),H63-(I63/10),AND(I63&gt;="25",I63&lt;"50"),H63+(5-(I63/10)),AND(I63&gt;="50",I63&lt;"75"),H63-((I63-50)/10),I63&gt;="75",H63+(10-(I63/10)))</f>
        <v>100</v>
      </c>
      <c r="K63" s="72">
        <f t="shared" ca="1" si="11"/>
        <v>5</v>
      </c>
      <c r="L63" s="72"/>
      <c r="M63" s="72"/>
      <c r="N63" s="72"/>
      <c r="O63" s="72"/>
      <c r="P63" s="72"/>
    </row>
    <row r="64" spans="1:16" ht="15.6" x14ac:dyDescent="0.3">
      <c r="A64" s="72"/>
      <c r="B64" s="84" t="s">
        <v>101</v>
      </c>
      <c r="C64" s="74"/>
      <c r="D64" s="74"/>
      <c r="E64" s="74"/>
      <c r="F64" s="78">
        <f ca="1">+SUMIF(K44:K63,"&lt;=10",F44:F63)</f>
        <v>-5</v>
      </c>
      <c r="G64" s="72"/>
      <c r="H64" s="72"/>
      <c r="I64" s="72"/>
      <c r="J64" s="72"/>
      <c r="K64" s="72">
        <f ca="1">+COUNTIF(K44:K63,"&lt;=10")</f>
        <v>20</v>
      </c>
      <c r="L64" s="72"/>
      <c r="M64" s="72"/>
      <c r="N64" s="72"/>
      <c r="O64" s="72"/>
      <c r="P64" s="72"/>
    </row>
    <row r="65" spans="1:16" ht="15.6" x14ac:dyDescent="0.3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</row>
    <row r="66" spans="1:16" ht="15.6" x14ac:dyDescent="0.3">
      <c r="A66" s="72"/>
      <c r="B66" s="72">
        <v>100</v>
      </c>
      <c r="C66" s="72">
        <f ca="1">+ROUND(AVERAGE('N° de Obs.'!O6:O25),0)</f>
        <v>52721</v>
      </c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</row>
    <row r="67" spans="1:16" ht="15.6" x14ac:dyDescent="0.3">
      <c r="A67" s="72"/>
      <c r="B67" s="72"/>
      <c r="C67" s="72"/>
      <c r="D67" s="73"/>
      <c r="E67" s="73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</row>
    <row r="68" spans="1:16" ht="15.6" x14ac:dyDescent="0.3">
      <c r="A68" s="72"/>
      <c r="B68" s="72"/>
      <c r="C68" s="72"/>
      <c r="D68" s="90" t="s">
        <v>95</v>
      </c>
      <c r="E68" s="91" t="s">
        <v>96</v>
      </c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</row>
    <row r="69" spans="1:16" ht="15.6" x14ac:dyDescent="0.3">
      <c r="A69" s="72"/>
      <c r="B69" s="72"/>
      <c r="C69" s="72"/>
      <c r="D69" s="79" t="s">
        <v>98</v>
      </c>
      <c r="E69" s="88" t="s">
        <v>25</v>
      </c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</row>
    <row r="70" spans="1:16" ht="15.6" x14ac:dyDescent="0.3">
      <c r="A70" s="72"/>
      <c r="B70" s="72"/>
      <c r="C70" s="72"/>
      <c r="D70" s="79" t="s">
        <v>106</v>
      </c>
      <c r="E70" s="88">
        <v>100</v>
      </c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</row>
    <row r="71" spans="1:16" ht="15.6" x14ac:dyDescent="0.3">
      <c r="A71" s="72"/>
      <c r="B71" s="72"/>
      <c r="C71" s="72"/>
      <c r="D71" s="79" t="s">
        <v>20</v>
      </c>
      <c r="E71" s="88">
        <f ca="1">+C66</f>
        <v>52721</v>
      </c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</row>
    <row r="72" spans="1:16" ht="31.2" x14ac:dyDescent="0.3">
      <c r="A72" s="72"/>
      <c r="B72" s="72"/>
      <c r="C72" s="72"/>
      <c r="D72" s="98" t="s">
        <v>108</v>
      </c>
      <c r="E72" s="88">
        <f ca="1">+K64</f>
        <v>20</v>
      </c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</row>
    <row r="73" spans="1:16" ht="15.6" x14ac:dyDescent="0.3">
      <c r="A73" s="72"/>
      <c r="B73" s="72"/>
      <c r="C73" s="72"/>
      <c r="D73" s="99" t="s">
        <v>105</v>
      </c>
      <c r="E73" s="89">
        <f ca="1">+F64</f>
        <v>-5</v>
      </c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</row>
    <row r="74" spans="1:16" ht="31.2" x14ac:dyDescent="0.3">
      <c r="A74" s="72"/>
      <c r="B74" s="72"/>
      <c r="C74" s="72"/>
      <c r="D74" s="100" t="s">
        <v>107</v>
      </c>
      <c r="E74" s="87" t="str">
        <f ca="1">+CONCATENATE(ROUND((F64/K64*5)/5,2)," %")</f>
        <v>-0.25 %</v>
      </c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</row>
    <row r="75" spans="1:16" ht="15.6" x14ac:dyDescent="0.3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</row>
    <row r="77" spans="1:16" x14ac:dyDescent="0.3">
      <c r="C77" s="16"/>
      <c r="D77" s="16"/>
      <c r="E77" s="52" t="str">
        <f>+'N° de Obs.'!G30</f>
        <v>Elemento Q</v>
      </c>
      <c r="F77" s="53"/>
      <c r="G77" s="16"/>
    </row>
    <row r="78" spans="1:16" ht="15.6" x14ac:dyDescent="0.3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</row>
    <row r="79" spans="1:16" ht="15.6" x14ac:dyDescent="0.3">
      <c r="A79" s="72"/>
      <c r="B79" s="73"/>
      <c r="C79" s="73"/>
      <c r="D79" s="73"/>
      <c r="E79" s="73"/>
      <c r="F79" s="73"/>
      <c r="G79" s="72"/>
      <c r="H79" s="72"/>
      <c r="I79" s="72"/>
      <c r="J79" s="72"/>
      <c r="K79" s="72"/>
      <c r="L79" s="72"/>
      <c r="M79" s="72"/>
      <c r="N79" s="72"/>
      <c r="O79" s="72"/>
    </row>
    <row r="80" spans="1:16" ht="15.6" x14ac:dyDescent="0.3">
      <c r="A80" s="72"/>
      <c r="B80" s="90" t="s">
        <v>26</v>
      </c>
      <c r="C80" s="91" t="s">
        <v>103</v>
      </c>
      <c r="D80" s="97" t="s">
        <v>104</v>
      </c>
      <c r="E80" s="91" t="s">
        <v>27</v>
      </c>
      <c r="F80" s="92" t="s">
        <v>105</v>
      </c>
      <c r="G80" s="72"/>
      <c r="H80" s="72"/>
      <c r="I80" s="72"/>
      <c r="J80" s="72"/>
      <c r="K80" s="72"/>
      <c r="L80" s="72"/>
      <c r="M80" s="72"/>
      <c r="N80" s="72"/>
      <c r="O80" s="72"/>
    </row>
    <row r="81" spans="1:15" ht="15.6" x14ac:dyDescent="0.3">
      <c r="A81" s="72"/>
      <c r="B81" s="79">
        <f ca="1">+'N° de Obs.'!D34</f>
        <v>100</v>
      </c>
      <c r="C81" s="88">
        <f ca="1">+'N° de Obs.'!E34</f>
        <v>25507</v>
      </c>
      <c r="D81" s="80">
        <f ca="1">+ROUND($B$103*$C$103/C81,2)</f>
        <v>97.84</v>
      </c>
      <c r="E81" s="88">
        <f ca="1">+J81</f>
        <v>100</v>
      </c>
      <c r="F81" s="81">
        <f ca="1">+B81-E81</f>
        <v>0</v>
      </c>
      <c r="G81" s="72"/>
      <c r="H81" s="72">
        <f ca="1">+ROUND(D81,1)</f>
        <v>97.8</v>
      </c>
      <c r="I81" s="95" t="str">
        <f ca="1">+RIGHT(H81*10,2)</f>
        <v>78</v>
      </c>
      <c r="J81" s="72" cm="1">
        <f t="array" aca="1" ref="J81" ca="1">+_xlfn.IFS(AND(I81&gt;="0",I81&lt;"25"),H81-(I81/10),AND(I81&gt;="25",I81&lt;"50"),H81+(5-(I81/10)),AND(I81&gt;="50",I81&lt;"75"),H81-((I81-50)/10),I81&gt;="75",H81+(10-(I81/10)))</f>
        <v>100</v>
      </c>
      <c r="K81" s="72">
        <f ca="1">+ABS(F81)</f>
        <v>0</v>
      </c>
      <c r="L81" s="72"/>
      <c r="M81" s="72"/>
      <c r="N81" s="72"/>
      <c r="O81" s="72"/>
    </row>
    <row r="82" spans="1:15" ht="15.6" x14ac:dyDescent="0.3">
      <c r="A82" s="72"/>
      <c r="B82" s="79">
        <f ca="1">+'N° de Obs.'!D35</f>
        <v>100</v>
      </c>
      <c r="C82" s="88">
        <f ca="1">+'N° de Obs.'!E35</f>
        <v>25626</v>
      </c>
      <c r="D82" s="80">
        <f t="shared" ref="D82:D100" ca="1" si="12">+ROUND($B$103*$C$103/C82,2)</f>
        <v>97.39</v>
      </c>
      <c r="E82" s="88">
        <f t="shared" ref="E82:E100" ca="1" si="13">+J82</f>
        <v>95</v>
      </c>
      <c r="F82" s="81">
        <f t="shared" ref="F82:F100" ca="1" si="14">+B82-E82</f>
        <v>5</v>
      </c>
      <c r="G82" s="72"/>
      <c r="H82" s="72">
        <f t="shared" ref="H82:H100" ca="1" si="15">+ROUND(D82,1)</f>
        <v>97.4</v>
      </c>
      <c r="I82" s="95" t="str">
        <f t="shared" ref="I82:I100" ca="1" si="16">+RIGHT(H82*10,2)</f>
        <v>74</v>
      </c>
      <c r="J82" s="72" cm="1">
        <f t="array" aca="1" ref="J82" ca="1">+_xlfn.IFS(AND(I82&gt;="0",I82&lt;"25"),H82-(I82/10),AND(I82&gt;="25",I82&lt;"50"),H82+(5-(I82/10)),AND(I82&gt;="50",I82&lt;"75"),H82-((I82-50)/10),I82&gt;="75",H82+(10-(I82/10)))</f>
        <v>95</v>
      </c>
      <c r="K82" s="72">
        <f t="shared" ref="K82:K100" ca="1" si="17">+ABS(F82)</f>
        <v>5</v>
      </c>
      <c r="L82" s="72"/>
      <c r="M82" s="72"/>
      <c r="N82" s="72"/>
      <c r="O82" s="72"/>
    </row>
    <row r="83" spans="1:15" ht="15.6" x14ac:dyDescent="0.3">
      <c r="A83" s="72"/>
      <c r="B83" s="79">
        <f ca="1">+'N° de Obs.'!D36</f>
        <v>90</v>
      </c>
      <c r="C83" s="88">
        <f ca="1">+'N° de Obs.'!E36</f>
        <v>25371</v>
      </c>
      <c r="D83" s="80">
        <f t="shared" ca="1" si="12"/>
        <v>98.36</v>
      </c>
      <c r="E83" s="88">
        <f t="shared" ca="1" si="13"/>
        <v>100</v>
      </c>
      <c r="F83" s="81">
        <f t="shared" ca="1" si="14"/>
        <v>-10</v>
      </c>
      <c r="G83" s="72"/>
      <c r="H83" s="72">
        <f t="shared" ca="1" si="15"/>
        <v>98.4</v>
      </c>
      <c r="I83" s="95" t="str">
        <f t="shared" ca="1" si="16"/>
        <v>84</v>
      </c>
      <c r="J83" s="72" cm="1">
        <f t="array" aca="1" ref="J83" ca="1">+_xlfn.IFS(AND(I83&gt;="0",I83&lt;"25"),H83-(I83/10),AND(I83&gt;="25",I83&lt;"50"),H83+(5-(I83/10)),AND(I83&gt;="50",I83&lt;"75"),H83-((I83-50)/10),I83&gt;="75",H83+(10-(I83/10)))</f>
        <v>100</v>
      </c>
      <c r="K83" s="72">
        <f t="shared" ca="1" si="17"/>
        <v>10</v>
      </c>
      <c r="L83" s="72"/>
      <c r="M83" s="72"/>
      <c r="N83" s="72"/>
      <c r="O83" s="72"/>
    </row>
    <row r="84" spans="1:15" ht="15.6" x14ac:dyDescent="0.3">
      <c r="A84" s="72"/>
      <c r="B84" s="79">
        <f ca="1">+'N° de Obs.'!D37</f>
        <v>95</v>
      </c>
      <c r="C84" s="88">
        <f ca="1">+'N° de Obs.'!E37</f>
        <v>25139</v>
      </c>
      <c r="D84" s="80">
        <f t="shared" ca="1" si="12"/>
        <v>99.27</v>
      </c>
      <c r="E84" s="88">
        <f t="shared" ca="1" si="13"/>
        <v>100</v>
      </c>
      <c r="F84" s="81">
        <f t="shared" ca="1" si="14"/>
        <v>-5</v>
      </c>
      <c r="G84" s="72"/>
      <c r="H84" s="72">
        <f t="shared" ca="1" si="15"/>
        <v>99.3</v>
      </c>
      <c r="I84" s="95" t="str">
        <f t="shared" ca="1" si="16"/>
        <v>93</v>
      </c>
      <c r="J84" s="72" cm="1">
        <f t="array" aca="1" ref="J84" ca="1">+_xlfn.IFS(AND(I84&gt;="0",I84&lt;"25"),H84-(I84/10),AND(I84&gt;="25",I84&lt;"50"),H84+(5-(I84/10)),AND(I84&gt;="50",I84&lt;"75"),H84-((I84-50)/10),I84&gt;="75",H84+(10-(I84/10)))</f>
        <v>100</v>
      </c>
      <c r="K84" s="72">
        <f t="shared" ca="1" si="17"/>
        <v>5</v>
      </c>
      <c r="L84" s="72"/>
      <c r="M84" s="72"/>
      <c r="N84" s="72"/>
      <c r="O84" s="72"/>
    </row>
    <row r="85" spans="1:15" ht="15.6" x14ac:dyDescent="0.3">
      <c r="A85" s="72"/>
      <c r="B85" s="79">
        <f ca="1">+'N° de Obs.'!D38</f>
        <v>100</v>
      </c>
      <c r="C85" s="88">
        <f ca="1">+'N° de Obs.'!E38</f>
        <v>25542</v>
      </c>
      <c r="D85" s="80">
        <f t="shared" ca="1" si="12"/>
        <v>97.71</v>
      </c>
      <c r="E85" s="88">
        <f t="shared" ca="1" si="13"/>
        <v>100</v>
      </c>
      <c r="F85" s="81">
        <f t="shared" ca="1" si="14"/>
        <v>0</v>
      </c>
      <c r="G85" s="72"/>
      <c r="H85" s="72">
        <f t="shared" ca="1" si="15"/>
        <v>97.7</v>
      </c>
      <c r="I85" s="95" t="str">
        <f t="shared" ca="1" si="16"/>
        <v>77</v>
      </c>
      <c r="J85" s="72" cm="1">
        <f t="array" aca="1" ref="J85" ca="1">+_xlfn.IFS(AND(I85&gt;="0",I85&lt;"25"),H85-(I85/10),AND(I85&gt;="25",I85&lt;"50"),H85+(5-(I85/10)),AND(I85&gt;="50",I85&lt;"75"),H85-((I85-50)/10),I85&gt;="75",H85+(10-(I85/10)))</f>
        <v>100</v>
      </c>
      <c r="K85" s="72">
        <f t="shared" ca="1" si="17"/>
        <v>0</v>
      </c>
      <c r="L85" s="72"/>
      <c r="M85" s="72"/>
      <c r="N85" s="72"/>
      <c r="O85" s="72"/>
    </row>
    <row r="86" spans="1:15" ht="15.6" x14ac:dyDescent="0.3">
      <c r="A86" s="72"/>
      <c r="B86" s="79">
        <f ca="1">+'N° de Obs.'!D39</f>
        <v>100</v>
      </c>
      <c r="C86" s="88">
        <f ca="1">+'N° de Obs.'!E39</f>
        <v>25771</v>
      </c>
      <c r="D86" s="80">
        <f t="shared" ca="1" si="12"/>
        <v>96.84</v>
      </c>
      <c r="E86" s="88">
        <f t="shared" ca="1" si="13"/>
        <v>95</v>
      </c>
      <c r="F86" s="81">
        <f t="shared" ca="1" si="14"/>
        <v>5</v>
      </c>
      <c r="G86" s="72"/>
      <c r="H86" s="72">
        <f t="shared" ca="1" si="15"/>
        <v>96.8</v>
      </c>
      <c r="I86" s="95" t="str">
        <f t="shared" ca="1" si="16"/>
        <v>68</v>
      </c>
      <c r="J86" s="72" cm="1">
        <f t="array" aca="1" ref="J86" ca="1">+_xlfn.IFS(AND(I86&gt;="0",I86&lt;"25"),H86-(I86/10),AND(I86&gt;="25",I86&lt;"50"),H86+(5-(I86/10)),AND(I86&gt;="50",I86&lt;"75"),H86-((I86-50)/10),I86&gt;="75",H86+(10-(I86/10)))</f>
        <v>95</v>
      </c>
      <c r="K86" s="72">
        <f t="shared" ca="1" si="17"/>
        <v>5</v>
      </c>
      <c r="L86" s="72"/>
      <c r="M86" s="72"/>
      <c r="N86" s="72"/>
      <c r="O86" s="72"/>
    </row>
    <row r="87" spans="1:15" ht="15.6" x14ac:dyDescent="0.3">
      <c r="A87" s="72"/>
      <c r="B87" s="79">
        <f ca="1">+'N° de Obs.'!D40</f>
        <v>95</v>
      </c>
      <c r="C87" s="88">
        <f ca="1">+'N° de Obs.'!E40</f>
        <v>25353</v>
      </c>
      <c r="D87" s="80">
        <f t="shared" ca="1" si="12"/>
        <v>98.43</v>
      </c>
      <c r="E87" s="88">
        <f t="shared" ca="1" si="13"/>
        <v>100</v>
      </c>
      <c r="F87" s="81">
        <f t="shared" ca="1" si="14"/>
        <v>-5</v>
      </c>
      <c r="G87" s="72"/>
      <c r="H87" s="72">
        <f t="shared" ca="1" si="15"/>
        <v>98.4</v>
      </c>
      <c r="I87" s="95" t="str">
        <f t="shared" ca="1" si="16"/>
        <v>84</v>
      </c>
      <c r="J87" s="72" cm="1">
        <f t="array" aca="1" ref="J87" ca="1">+_xlfn.IFS(AND(I87&gt;="0",I87&lt;"25"),H87-(I87/10),AND(I87&gt;="25",I87&lt;"50"),H87+(5-(I87/10)),AND(I87&gt;="50",I87&lt;"75"),H87-((I87-50)/10),I87&gt;="75",H87+(10-(I87/10)))</f>
        <v>100</v>
      </c>
      <c r="K87" s="72">
        <f t="shared" ca="1" si="17"/>
        <v>5</v>
      </c>
      <c r="L87" s="72"/>
      <c r="M87" s="72"/>
      <c r="N87" s="72"/>
      <c r="O87" s="72"/>
    </row>
    <row r="88" spans="1:15" ht="15.6" x14ac:dyDescent="0.3">
      <c r="A88" s="72"/>
      <c r="B88" s="79">
        <f ca="1">+'N° de Obs.'!D41</f>
        <v>100</v>
      </c>
      <c r="C88" s="88">
        <f ca="1">+'N° de Obs.'!E41</f>
        <v>25470</v>
      </c>
      <c r="D88" s="80">
        <f t="shared" ca="1" si="12"/>
        <v>97.98</v>
      </c>
      <c r="E88" s="88">
        <f t="shared" ca="1" si="13"/>
        <v>100</v>
      </c>
      <c r="F88" s="81">
        <f t="shared" ca="1" si="14"/>
        <v>0</v>
      </c>
      <c r="G88" s="72"/>
      <c r="H88" s="72">
        <f t="shared" ca="1" si="15"/>
        <v>98</v>
      </c>
      <c r="I88" s="95" t="str">
        <f t="shared" ca="1" si="16"/>
        <v>80</v>
      </c>
      <c r="J88" s="72" cm="1">
        <f t="array" aca="1" ref="J88" ca="1">+_xlfn.IFS(AND(I88&gt;="0",I88&lt;"25"),H88-(I88/10),AND(I88&gt;="25",I88&lt;"50"),H88+(5-(I88/10)),AND(I88&gt;="50",I88&lt;"75"),H88-((I88-50)/10),I88&gt;="75",H88+(10-(I88/10)))</f>
        <v>100</v>
      </c>
      <c r="K88" s="72">
        <f t="shared" ca="1" si="17"/>
        <v>0</v>
      </c>
      <c r="L88" s="72"/>
      <c r="M88" s="72"/>
      <c r="N88" s="72"/>
      <c r="O88" s="72"/>
    </row>
    <row r="89" spans="1:15" ht="15.6" x14ac:dyDescent="0.3">
      <c r="A89" s="72"/>
      <c r="B89" s="79">
        <f ca="1">+'N° de Obs.'!D42</f>
        <v>100</v>
      </c>
      <c r="C89" s="88">
        <f ca="1">+'N° de Obs.'!E42</f>
        <v>25673</v>
      </c>
      <c r="D89" s="80">
        <f t="shared" ca="1" si="12"/>
        <v>97.21</v>
      </c>
      <c r="E89" s="88">
        <f t="shared" ca="1" si="13"/>
        <v>95</v>
      </c>
      <c r="F89" s="81">
        <f t="shared" ca="1" si="14"/>
        <v>5</v>
      </c>
      <c r="G89" s="72"/>
      <c r="H89" s="72">
        <f t="shared" ca="1" si="15"/>
        <v>97.2</v>
      </c>
      <c r="I89" s="95" t="str">
        <f t="shared" ca="1" si="16"/>
        <v>72</v>
      </c>
      <c r="J89" s="72" cm="1">
        <f t="array" aca="1" ref="J89" ca="1">+_xlfn.IFS(AND(I89&gt;="0",I89&lt;"25"),H89-(I89/10),AND(I89&gt;="25",I89&lt;"50"),H89+(5-(I89/10)),AND(I89&gt;="50",I89&lt;"75"),H89-((I89-50)/10),I89&gt;="75",H89+(10-(I89/10)))</f>
        <v>95</v>
      </c>
      <c r="K89" s="72">
        <f t="shared" ca="1" si="17"/>
        <v>5</v>
      </c>
      <c r="L89" s="72"/>
      <c r="M89" s="72"/>
      <c r="N89" s="72"/>
      <c r="O89" s="72"/>
    </row>
    <row r="90" spans="1:15" ht="15.6" x14ac:dyDescent="0.3">
      <c r="A90" s="72"/>
      <c r="B90" s="79">
        <f ca="1">+'N° de Obs.'!D43</f>
        <v>105</v>
      </c>
      <c r="C90" s="88">
        <f ca="1">+'N° de Obs.'!E43</f>
        <v>25052</v>
      </c>
      <c r="D90" s="80">
        <f t="shared" ca="1" si="12"/>
        <v>99.62</v>
      </c>
      <c r="E90" s="88">
        <f t="shared" ca="1" si="13"/>
        <v>100</v>
      </c>
      <c r="F90" s="81">
        <f t="shared" ca="1" si="14"/>
        <v>5</v>
      </c>
      <c r="G90" s="72"/>
      <c r="H90" s="72">
        <f t="shared" ca="1" si="15"/>
        <v>99.6</v>
      </c>
      <c r="I90" s="95" t="str">
        <f t="shared" ca="1" si="16"/>
        <v>96</v>
      </c>
      <c r="J90" s="72" cm="1">
        <f t="array" aca="1" ref="J90" ca="1">+_xlfn.IFS(AND(I90&gt;="0",I90&lt;"25"),H90-(I90/10),AND(I90&gt;="25",I90&lt;"50"),H90+(5-(I90/10)),AND(I90&gt;="50",I90&lt;"75"),H90-((I90-50)/10),I90&gt;="75",H90+(10-(I90/10)))</f>
        <v>100</v>
      </c>
      <c r="K90" s="72">
        <f t="shared" ca="1" si="17"/>
        <v>5</v>
      </c>
      <c r="L90" s="72"/>
      <c r="M90" s="72"/>
      <c r="N90" s="72"/>
      <c r="O90" s="72"/>
    </row>
    <row r="91" spans="1:15" ht="15.6" x14ac:dyDescent="0.3">
      <c r="A91" s="72"/>
      <c r="B91" s="79">
        <f ca="1">+'N° de Obs.'!D44</f>
        <v>105</v>
      </c>
      <c r="C91" s="88">
        <f ca="1">+'N° de Obs.'!E44</f>
        <v>25558</v>
      </c>
      <c r="D91" s="80">
        <f t="shared" ca="1" si="12"/>
        <v>97.64</v>
      </c>
      <c r="E91" s="88">
        <f t="shared" ca="1" si="13"/>
        <v>100</v>
      </c>
      <c r="F91" s="81">
        <f t="shared" ca="1" si="14"/>
        <v>5</v>
      </c>
      <c r="G91" s="72"/>
      <c r="H91" s="72">
        <f t="shared" ca="1" si="15"/>
        <v>97.6</v>
      </c>
      <c r="I91" s="95" t="str">
        <f t="shared" ca="1" si="16"/>
        <v>76</v>
      </c>
      <c r="J91" s="72" cm="1">
        <f t="array" aca="1" ref="J91" ca="1">+_xlfn.IFS(AND(I91&gt;="0",I91&lt;"25"),H91-(I91/10),AND(I91&gt;="25",I91&lt;"50"),H91+(5-(I91/10)),AND(I91&gt;="50",I91&lt;"75"),H91-((I91-50)/10),I91&gt;="75",H91+(10-(I91/10)))</f>
        <v>100</v>
      </c>
      <c r="K91" s="72">
        <f t="shared" ca="1" si="17"/>
        <v>5</v>
      </c>
      <c r="L91" s="72"/>
      <c r="M91" s="72"/>
      <c r="N91" s="72"/>
      <c r="O91" s="72"/>
    </row>
    <row r="92" spans="1:15" ht="15.6" x14ac:dyDescent="0.3">
      <c r="A92" s="72"/>
      <c r="B92" s="79">
        <f ca="1">+'N° de Obs.'!D45</f>
        <v>105</v>
      </c>
      <c r="C92" s="88">
        <f ca="1">+'N° de Obs.'!E45</f>
        <v>25296</v>
      </c>
      <c r="D92" s="80">
        <f t="shared" ca="1" si="12"/>
        <v>98.66</v>
      </c>
      <c r="E92" s="88">
        <f t="shared" ca="1" si="13"/>
        <v>100</v>
      </c>
      <c r="F92" s="81">
        <f t="shared" ca="1" si="14"/>
        <v>5</v>
      </c>
      <c r="G92" s="72"/>
      <c r="H92" s="72">
        <f t="shared" ca="1" si="15"/>
        <v>98.7</v>
      </c>
      <c r="I92" s="95" t="str">
        <f t="shared" ca="1" si="16"/>
        <v>87</v>
      </c>
      <c r="J92" s="72" cm="1">
        <f t="array" aca="1" ref="J92" ca="1">+_xlfn.IFS(AND(I92&gt;="0",I92&lt;"25"),H92-(I92/10),AND(I92&gt;="25",I92&lt;"50"),H92+(5-(I92/10)),AND(I92&gt;="50",I92&lt;"75"),H92-((I92-50)/10),I92&gt;="75",H92+(10-(I92/10)))</f>
        <v>100</v>
      </c>
      <c r="K92" s="72">
        <f t="shared" ca="1" si="17"/>
        <v>5</v>
      </c>
      <c r="L92" s="72"/>
      <c r="M92" s="72"/>
      <c r="N92" s="72"/>
      <c r="O92" s="72"/>
    </row>
    <row r="93" spans="1:15" ht="15.6" x14ac:dyDescent="0.3">
      <c r="A93" s="72"/>
      <c r="B93" s="79">
        <f ca="1">+'N° de Obs.'!D46</f>
        <v>95</v>
      </c>
      <c r="C93" s="88">
        <f ca="1">+'N° de Obs.'!E46</f>
        <v>25407</v>
      </c>
      <c r="D93" s="80">
        <f t="shared" ca="1" si="12"/>
        <v>98.22</v>
      </c>
      <c r="E93" s="88">
        <f t="shared" ca="1" si="13"/>
        <v>100</v>
      </c>
      <c r="F93" s="81">
        <f t="shared" ca="1" si="14"/>
        <v>-5</v>
      </c>
      <c r="G93" s="72"/>
      <c r="H93" s="72">
        <f t="shared" ca="1" si="15"/>
        <v>98.2</v>
      </c>
      <c r="I93" s="95" t="str">
        <f t="shared" ca="1" si="16"/>
        <v>82</v>
      </c>
      <c r="J93" s="72" cm="1">
        <f t="array" aca="1" ref="J93" ca="1">+_xlfn.IFS(AND(I93&gt;="0",I93&lt;"25"),H93-(I93/10),AND(I93&gt;="25",I93&lt;"50"),H93+(5-(I93/10)),AND(I93&gt;="50",I93&lt;"75"),H93-((I93-50)/10),I93&gt;="75",H93+(10-(I93/10)))</f>
        <v>100</v>
      </c>
      <c r="K93" s="72">
        <f t="shared" ca="1" si="17"/>
        <v>5</v>
      </c>
      <c r="L93" s="72"/>
      <c r="M93" s="72"/>
      <c r="N93" s="72"/>
      <c r="O93" s="72"/>
    </row>
    <row r="94" spans="1:15" ht="15.6" x14ac:dyDescent="0.3">
      <c r="A94" s="72"/>
      <c r="B94" s="79">
        <f ca="1">+'N° de Obs.'!D47</f>
        <v>90</v>
      </c>
      <c r="C94" s="88">
        <f ca="1">+'N° de Obs.'!E47</f>
        <v>25468</v>
      </c>
      <c r="D94" s="80">
        <f t="shared" ca="1" si="12"/>
        <v>97.99</v>
      </c>
      <c r="E94" s="88">
        <f t="shared" ca="1" si="13"/>
        <v>100</v>
      </c>
      <c r="F94" s="81">
        <f t="shared" ca="1" si="14"/>
        <v>-10</v>
      </c>
      <c r="G94" s="72"/>
      <c r="H94" s="72">
        <f t="shared" ca="1" si="15"/>
        <v>98</v>
      </c>
      <c r="I94" s="95" t="str">
        <f t="shared" ca="1" si="16"/>
        <v>80</v>
      </c>
      <c r="J94" s="72" cm="1">
        <f t="array" aca="1" ref="J94" ca="1">+_xlfn.IFS(AND(I94&gt;="0",I94&lt;"25"),H94-(I94/10),AND(I94&gt;="25",I94&lt;"50"),H94+(5-(I94/10)),AND(I94&gt;="50",I94&lt;"75"),H94-((I94-50)/10),I94&gt;="75",H94+(10-(I94/10)))</f>
        <v>100</v>
      </c>
      <c r="K94" s="72">
        <f t="shared" ca="1" si="17"/>
        <v>10</v>
      </c>
      <c r="L94" s="72"/>
      <c r="M94" s="72"/>
      <c r="N94" s="72"/>
      <c r="O94" s="72"/>
    </row>
    <row r="95" spans="1:15" ht="15.6" x14ac:dyDescent="0.3">
      <c r="A95" s="72"/>
      <c r="B95" s="79">
        <f ca="1">+'N° de Obs.'!D48</f>
        <v>85</v>
      </c>
      <c r="C95" s="88">
        <f ca="1">+'N° de Obs.'!E48</f>
        <v>25064</v>
      </c>
      <c r="D95" s="80">
        <f t="shared" ca="1" si="12"/>
        <v>99.57</v>
      </c>
      <c r="E95" s="88">
        <f t="shared" ca="1" si="13"/>
        <v>100</v>
      </c>
      <c r="F95" s="81">
        <f t="shared" ca="1" si="14"/>
        <v>-15</v>
      </c>
      <c r="G95" s="72"/>
      <c r="H95" s="72">
        <f t="shared" ca="1" si="15"/>
        <v>99.6</v>
      </c>
      <c r="I95" s="95" t="str">
        <f t="shared" ca="1" si="16"/>
        <v>96</v>
      </c>
      <c r="J95" s="72" cm="1">
        <f t="array" aca="1" ref="J95" ca="1">+_xlfn.IFS(AND(I95&gt;="0",I95&lt;"25"),H95-(I95/10),AND(I95&gt;="25",I95&lt;"50"),H95+(5-(I95/10)),AND(I95&gt;="50",I95&lt;"75"),H95-((I95-50)/10),I95&gt;="75",H95+(10-(I95/10)))</f>
        <v>100</v>
      </c>
      <c r="K95" s="72">
        <f t="shared" ca="1" si="17"/>
        <v>15</v>
      </c>
      <c r="L95" s="72"/>
      <c r="M95" s="72"/>
      <c r="N95" s="72"/>
      <c r="O95" s="72"/>
    </row>
    <row r="96" spans="1:15" ht="15.6" x14ac:dyDescent="0.3">
      <c r="A96" s="72"/>
      <c r="B96" s="79">
        <f ca="1">+'N° de Obs.'!D49</f>
        <v>105</v>
      </c>
      <c r="C96" s="88">
        <f ca="1">+'N° de Obs.'!E49</f>
        <v>25299</v>
      </c>
      <c r="D96" s="80">
        <f t="shared" ca="1" si="12"/>
        <v>98.64</v>
      </c>
      <c r="E96" s="88">
        <f t="shared" ca="1" si="13"/>
        <v>100</v>
      </c>
      <c r="F96" s="81">
        <f t="shared" ca="1" si="14"/>
        <v>5</v>
      </c>
      <c r="G96" s="72"/>
      <c r="H96" s="72">
        <f t="shared" ca="1" si="15"/>
        <v>98.6</v>
      </c>
      <c r="I96" s="95" t="str">
        <f t="shared" ca="1" si="16"/>
        <v>86</v>
      </c>
      <c r="J96" s="72" cm="1">
        <f t="array" aca="1" ref="J96" ca="1">+_xlfn.IFS(AND(I96&gt;="0",I96&lt;"25"),H96-(I96/10),AND(I96&gt;="25",I96&lt;"50"),H96+(5-(I96/10)),AND(I96&gt;="50",I96&lt;"75"),H96-((I96-50)/10),I96&gt;="75",H96+(10-(I96/10)))</f>
        <v>100</v>
      </c>
      <c r="K96" s="72">
        <f t="shared" ca="1" si="17"/>
        <v>5</v>
      </c>
      <c r="L96" s="72"/>
      <c r="M96" s="72"/>
      <c r="N96" s="72"/>
      <c r="O96" s="72"/>
    </row>
    <row r="97" spans="1:15" ht="15.6" x14ac:dyDescent="0.3">
      <c r="A97" s="72"/>
      <c r="B97" s="79">
        <f ca="1">+'N° de Obs.'!D50</f>
        <v>90</v>
      </c>
      <c r="C97" s="88">
        <f ca="1">+'N° de Obs.'!E50</f>
        <v>25915</v>
      </c>
      <c r="D97" s="80">
        <f t="shared" ca="1" si="12"/>
        <v>96.3</v>
      </c>
      <c r="E97" s="88">
        <f t="shared" ca="1" si="13"/>
        <v>95</v>
      </c>
      <c r="F97" s="81">
        <f t="shared" ca="1" si="14"/>
        <v>-5</v>
      </c>
      <c r="G97" s="72"/>
      <c r="H97" s="72">
        <f t="shared" ca="1" si="15"/>
        <v>96.3</v>
      </c>
      <c r="I97" s="95" t="str">
        <f t="shared" ca="1" si="16"/>
        <v>63</v>
      </c>
      <c r="J97" s="72" cm="1">
        <f t="array" aca="1" ref="J97" ca="1">+_xlfn.IFS(AND(I97&gt;="0",I97&lt;"25"),H97-(I97/10),AND(I97&gt;="25",I97&lt;"50"),H97+(5-(I97/10)),AND(I97&gt;="50",I97&lt;"75"),H97-((I97-50)/10),I97&gt;="75",H97+(10-(I97/10)))</f>
        <v>95</v>
      </c>
      <c r="K97" s="72">
        <f t="shared" ca="1" si="17"/>
        <v>5</v>
      </c>
      <c r="L97" s="72"/>
      <c r="M97" s="72"/>
      <c r="N97" s="72"/>
      <c r="O97" s="72"/>
    </row>
    <row r="98" spans="1:15" ht="15.6" x14ac:dyDescent="0.3">
      <c r="A98" s="72"/>
      <c r="B98" s="79">
        <f ca="1">+'N° de Obs.'!D51</f>
        <v>95</v>
      </c>
      <c r="C98" s="88">
        <f ca="1">+'N° de Obs.'!E51</f>
        <v>25397</v>
      </c>
      <c r="D98" s="80">
        <f t="shared" ca="1" si="12"/>
        <v>98.26</v>
      </c>
      <c r="E98" s="88">
        <f t="shared" ca="1" si="13"/>
        <v>100</v>
      </c>
      <c r="F98" s="81">
        <f t="shared" ca="1" si="14"/>
        <v>-5</v>
      </c>
      <c r="G98" s="72"/>
      <c r="H98" s="72">
        <f t="shared" ca="1" si="15"/>
        <v>98.3</v>
      </c>
      <c r="I98" s="95" t="str">
        <f t="shared" ca="1" si="16"/>
        <v>83</v>
      </c>
      <c r="J98" s="72" cm="1">
        <f t="array" aca="1" ref="J98" ca="1">+_xlfn.IFS(AND(I98&gt;="0",I98&lt;"25"),H98-(I98/10),AND(I98&gt;="25",I98&lt;"50"),H98+(5-(I98/10)),AND(I98&gt;="50",I98&lt;"75"),H98-((I98-50)/10),I98&gt;="75",H98+(10-(I98/10)))</f>
        <v>100</v>
      </c>
      <c r="K98" s="72">
        <f t="shared" ca="1" si="17"/>
        <v>5</v>
      </c>
      <c r="L98" s="72"/>
      <c r="M98" s="72"/>
      <c r="N98" s="72"/>
      <c r="O98" s="72"/>
    </row>
    <row r="99" spans="1:15" ht="15.6" x14ac:dyDescent="0.3">
      <c r="A99" s="72"/>
      <c r="B99" s="79">
        <f ca="1">+'N° de Obs.'!D52</f>
        <v>100</v>
      </c>
      <c r="C99" s="88">
        <f ca="1">+'N° de Obs.'!E52</f>
        <v>25759</v>
      </c>
      <c r="D99" s="80">
        <f t="shared" ca="1" si="12"/>
        <v>96.88</v>
      </c>
      <c r="E99" s="88">
        <f t="shared" ca="1" si="13"/>
        <v>95</v>
      </c>
      <c r="F99" s="81">
        <f t="shared" ca="1" si="14"/>
        <v>5</v>
      </c>
      <c r="G99" s="72"/>
      <c r="H99" s="72">
        <f t="shared" ca="1" si="15"/>
        <v>96.9</v>
      </c>
      <c r="I99" s="95" t="str">
        <f t="shared" ca="1" si="16"/>
        <v>69</v>
      </c>
      <c r="J99" s="72" cm="1">
        <f t="array" aca="1" ref="J99" ca="1">+_xlfn.IFS(AND(I99&gt;="0",I99&lt;"25"),H99-(I99/10),AND(I99&gt;="25",I99&lt;"50"),H99+(5-(I99/10)),AND(I99&gt;="50",I99&lt;"75"),H99-((I99-50)/10),I99&gt;="75",H99+(10-(I99/10)))</f>
        <v>95</v>
      </c>
      <c r="K99" s="72">
        <f t="shared" ca="1" si="17"/>
        <v>5</v>
      </c>
      <c r="L99" s="72"/>
      <c r="M99" s="72"/>
      <c r="N99" s="72"/>
      <c r="O99" s="72"/>
    </row>
    <row r="100" spans="1:15" ht="15.6" x14ac:dyDescent="0.3">
      <c r="A100" s="72"/>
      <c r="B100" s="79">
        <f ca="1">+'N° de Obs.'!D53</f>
        <v>105</v>
      </c>
      <c r="C100" s="89">
        <f ca="1">+'N° de Obs.'!E53</f>
        <v>25608</v>
      </c>
      <c r="D100" s="80">
        <f t="shared" ca="1" si="12"/>
        <v>97.45</v>
      </c>
      <c r="E100" s="89">
        <f t="shared" ca="1" si="13"/>
        <v>100</v>
      </c>
      <c r="F100" s="83">
        <f t="shared" ca="1" si="14"/>
        <v>5</v>
      </c>
      <c r="G100" s="72"/>
      <c r="H100" s="72">
        <f t="shared" ca="1" si="15"/>
        <v>97.5</v>
      </c>
      <c r="I100" s="95" t="str">
        <f t="shared" ca="1" si="16"/>
        <v>75</v>
      </c>
      <c r="J100" s="72" cm="1">
        <f t="array" aca="1" ref="J100" ca="1">+_xlfn.IFS(AND(I100&gt;="0",I100&lt;"25"),H100-(I100/10),AND(I100&gt;="25",I100&lt;"50"),H100+(5-(I100/10)),AND(I100&gt;="50",I100&lt;"75"),H100-((I100-50)/10),I100&gt;="75",H100+(10-(I100/10)))</f>
        <v>100</v>
      </c>
      <c r="K100" s="72">
        <f t="shared" ca="1" si="17"/>
        <v>5</v>
      </c>
      <c r="L100" s="72"/>
      <c r="M100" s="72"/>
      <c r="N100" s="72"/>
      <c r="O100" s="72"/>
    </row>
    <row r="101" spans="1:15" ht="15.6" x14ac:dyDescent="0.3">
      <c r="A101" s="72"/>
      <c r="B101" s="84" t="s">
        <v>101</v>
      </c>
      <c r="C101" s="74"/>
      <c r="D101" s="74"/>
      <c r="E101" s="74"/>
      <c r="F101" s="78">
        <f ca="1">+SUMIF(K81:K100,"&lt;=10",F81:F100)</f>
        <v>0</v>
      </c>
      <c r="G101" s="72"/>
      <c r="H101" s="72"/>
      <c r="I101" s="72"/>
      <c r="J101" s="72"/>
      <c r="K101" s="72">
        <f ca="1">+COUNTIF(K81:K100,"&lt;=10")</f>
        <v>19</v>
      </c>
      <c r="L101" s="72"/>
      <c r="M101" s="72"/>
      <c r="N101" s="72"/>
      <c r="O101" s="72"/>
    </row>
    <row r="102" spans="1:15" ht="15.6" x14ac:dyDescent="0.3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</row>
    <row r="103" spans="1:15" ht="15.6" x14ac:dyDescent="0.3">
      <c r="A103" s="72"/>
      <c r="B103" s="72">
        <v>100</v>
      </c>
      <c r="C103" s="72">
        <f ca="1">+ROUND(AVERAGE('N° de Obs.'!F34:F53),0)</f>
        <v>24956</v>
      </c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</row>
    <row r="104" spans="1:15" ht="15.6" x14ac:dyDescent="0.3">
      <c r="A104" s="72"/>
      <c r="B104" s="72"/>
      <c r="C104" s="72"/>
      <c r="D104" s="73"/>
      <c r="E104" s="73"/>
      <c r="F104" s="72"/>
      <c r="G104" s="72"/>
      <c r="H104" s="72"/>
      <c r="I104" s="72"/>
      <c r="J104" s="72"/>
      <c r="K104" s="72"/>
      <c r="L104" s="72"/>
      <c r="M104" s="72"/>
      <c r="N104" s="72"/>
      <c r="O104" s="72"/>
    </row>
    <row r="105" spans="1:15" ht="15.6" x14ac:dyDescent="0.3">
      <c r="A105" s="72"/>
      <c r="B105" s="72"/>
      <c r="C105" s="72"/>
      <c r="D105" s="90" t="s">
        <v>95</v>
      </c>
      <c r="E105" s="92" t="s">
        <v>96</v>
      </c>
      <c r="F105" s="72"/>
      <c r="G105" s="72"/>
      <c r="H105" s="72"/>
      <c r="I105" s="72"/>
      <c r="J105" s="72"/>
      <c r="K105" s="72"/>
      <c r="L105" s="72"/>
      <c r="M105" s="72"/>
      <c r="N105" s="72"/>
      <c r="O105" s="72"/>
    </row>
    <row r="106" spans="1:15" ht="15.6" x14ac:dyDescent="0.3">
      <c r="A106" s="72"/>
      <c r="B106" s="72"/>
      <c r="C106" s="72"/>
      <c r="D106" s="79" t="s">
        <v>98</v>
      </c>
      <c r="E106" s="81" t="s">
        <v>25</v>
      </c>
      <c r="F106" s="72"/>
      <c r="G106" s="72"/>
      <c r="H106" s="72"/>
      <c r="I106" s="72"/>
      <c r="J106" s="72"/>
      <c r="K106" s="72"/>
      <c r="L106" s="72"/>
      <c r="M106" s="72"/>
      <c r="N106" s="72"/>
      <c r="O106" s="72"/>
    </row>
    <row r="107" spans="1:15" ht="15.6" x14ac:dyDescent="0.3">
      <c r="A107" s="72"/>
      <c r="B107" s="72"/>
      <c r="C107" s="72"/>
      <c r="D107" s="79" t="s">
        <v>106</v>
      </c>
      <c r="E107" s="81">
        <v>100</v>
      </c>
      <c r="F107" s="72"/>
      <c r="G107" s="72"/>
      <c r="H107" s="72"/>
      <c r="I107" s="72"/>
      <c r="J107" s="72"/>
      <c r="K107" s="72"/>
      <c r="L107" s="72"/>
      <c r="M107" s="72"/>
      <c r="N107" s="72"/>
      <c r="O107" s="72"/>
    </row>
    <row r="108" spans="1:15" ht="15.6" x14ac:dyDescent="0.3">
      <c r="A108" s="72"/>
      <c r="B108" s="72"/>
      <c r="C108" s="72"/>
      <c r="D108" s="79" t="s">
        <v>20</v>
      </c>
      <c r="E108" s="81">
        <f ca="1">+C103</f>
        <v>24956</v>
      </c>
      <c r="F108" s="72"/>
      <c r="G108" s="72"/>
      <c r="H108" s="72"/>
      <c r="I108" s="72"/>
      <c r="J108" s="72"/>
      <c r="K108" s="72"/>
      <c r="L108" s="72"/>
      <c r="M108" s="72"/>
      <c r="N108" s="72"/>
      <c r="O108" s="72"/>
    </row>
    <row r="109" spans="1:15" ht="31.2" x14ac:dyDescent="0.3">
      <c r="A109" s="72"/>
      <c r="B109" s="72"/>
      <c r="C109" s="72"/>
      <c r="D109" s="98" t="s">
        <v>108</v>
      </c>
      <c r="E109" s="81">
        <f ca="1">+K101</f>
        <v>19</v>
      </c>
      <c r="F109" s="72"/>
      <c r="G109" s="72"/>
      <c r="H109" s="72"/>
      <c r="I109" s="72"/>
      <c r="J109" s="72"/>
      <c r="K109" s="72"/>
      <c r="L109" s="72"/>
      <c r="M109" s="72"/>
      <c r="N109" s="72"/>
      <c r="O109" s="72"/>
    </row>
    <row r="110" spans="1:15" ht="15.6" x14ac:dyDescent="0.3">
      <c r="A110" s="72"/>
      <c r="B110" s="72"/>
      <c r="C110" s="72"/>
      <c r="D110" s="99" t="s">
        <v>105</v>
      </c>
      <c r="E110" s="83">
        <f ca="1">+F101</f>
        <v>0</v>
      </c>
      <c r="F110" s="72"/>
      <c r="G110" s="72"/>
      <c r="H110" s="72"/>
      <c r="I110" s="72"/>
      <c r="J110" s="72"/>
      <c r="K110" s="72"/>
      <c r="L110" s="72"/>
      <c r="M110" s="72"/>
      <c r="N110" s="72"/>
      <c r="O110" s="72"/>
    </row>
    <row r="111" spans="1:15" ht="31.2" x14ac:dyDescent="0.3">
      <c r="A111" s="72"/>
      <c r="B111" s="72"/>
      <c r="C111" s="72"/>
      <c r="D111" s="100" t="s">
        <v>107</v>
      </c>
      <c r="E111" s="78" t="str">
        <f ca="1">+CONCATENATE(ROUND((F101/K101*5)/5,2)," %")</f>
        <v>0 %</v>
      </c>
      <c r="F111" s="72"/>
      <c r="G111" s="72"/>
      <c r="H111" s="72"/>
      <c r="I111" s="72"/>
      <c r="J111" s="72"/>
      <c r="K111" s="72"/>
      <c r="L111" s="72"/>
      <c r="M111" s="72"/>
      <c r="N111" s="72"/>
      <c r="O111" s="72"/>
    </row>
    <row r="112" spans="1:15" ht="15.6" x14ac:dyDescent="0.3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</row>
    <row r="113" spans="1:15" ht="15.6" x14ac:dyDescent="0.3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</row>
    <row r="114" spans="1:15" ht="15.6" x14ac:dyDescent="0.3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</row>
    <row r="115" spans="1:15" ht="15.6" x14ac:dyDescent="0.3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</row>
  </sheetData>
  <mergeCells count="7">
    <mergeCell ref="E77:F77"/>
    <mergeCell ref="B101:E101"/>
    <mergeCell ref="K32:M35"/>
    <mergeCell ref="E3:F3"/>
    <mergeCell ref="E40:F40"/>
    <mergeCell ref="B64:E64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F4E9-1E92-47C7-B6BC-32208965835B}">
  <dimension ref="A2:T357"/>
  <sheetViews>
    <sheetView topLeftCell="A69" zoomScaleNormal="100" workbookViewId="0">
      <selection activeCell="T46" sqref="T46"/>
    </sheetView>
  </sheetViews>
  <sheetFormatPr baseColWidth="10" defaultRowHeight="14.4" x14ac:dyDescent="0.3"/>
  <cols>
    <col min="10" max="10" width="2.6640625" customWidth="1"/>
    <col min="16" max="16" width="2.5546875" bestFit="1" customWidth="1"/>
  </cols>
  <sheetData>
    <row r="2" spans="1:18" x14ac:dyDescent="0.3">
      <c r="D2" s="52" t="str">
        <f>+'N° de Obs.'!G2</f>
        <v>Elemento P</v>
      </c>
      <c r="E2" s="53"/>
    </row>
    <row r="3" spans="1:18" s="72" customFormat="1" ht="15.6" x14ac:dyDescent="0.3"/>
    <row r="4" spans="1:18" ht="15.6" x14ac:dyDescent="0.3">
      <c r="A4" s="72"/>
      <c r="B4" s="36" t="s">
        <v>18</v>
      </c>
      <c r="C4" s="36" t="s">
        <v>19</v>
      </c>
      <c r="D4" s="36" t="s">
        <v>20</v>
      </c>
      <c r="E4" s="37" t="s">
        <v>133</v>
      </c>
      <c r="F4" s="37" t="s">
        <v>134</v>
      </c>
      <c r="G4" s="37" t="s">
        <v>135</v>
      </c>
      <c r="H4" s="37" t="s">
        <v>136</v>
      </c>
      <c r="I4" s="38" t="s">
        <v>97</v>
      </c>
      <c r="J4" s="38" t="s">
        <v>137</v>
      </c>
      <c r="K4" s="39">
        <f ca="1">ROUNDDOWN(H28,0)</f>
        <v>1165</v>
      </c>
      <c r="L4" s="72"/>
      <c r="M4" s="72"/>
      <c r="N4" s="72"/>
      <c r="O4" s="72"/>
      <c r="P4" s="72"/>
    </row>
    <row r="5" spans="1:18" ht="15.6" x14ac:dyDescent="0.3">
      <c r="A5" s="72"/>
      <c r="B5" s="87">
        <f ca="1">+'N° de Obs.'!D6</f>
        <v>105</v>
      </c>
      <c r="C5" s="87">
        <f ca="1">+'N° de Obs.'!E6</f>
        <v>25588</v>
      </c>
      <c r="D5" s="87">
        <f ca="1">+'N° de Obs.'!F6</f>
        <v>26867.4</v>
      </c>
      <c r="E5" s="87">
        <f ca="1">IF(I5="","",IFERROR(F5*G5,""))</f>
        <v>0</v>
      </c>
      <c r="F5" s="87">
        <f ca="1">IF(I5="","",IFERROR(G5*H5,""))</f>
        <v>0</v>
      </c>
      <c r="G5" s="87">
        <f ca="1">IF(I5="","",ROW($V1)-1)</f>
        <v>0</v>
      </c>
      <c r="H5" s="87">
        <f ca="1">IF(I5="","",COUNTIF($D$5:$D$24,"&lt;="&amp;$J6))</f>
        <v>5</v>
      </c>
      <c r="I5" s="87">
        <f ca="1">ROUND(H27,0)</f>
        <v>23310</v>
      </c>
      <c r="J5" s="82"/>
      <c r="K5" s="78" t="s">
        <v>147</v>
      </c>
      <c r="L5" s="72"/>
      <c r="M5" s="72"/>
      <c r="N5" s="87" t="s">
        <v>138</v>
      </c>
      <c r="O5" s="87">
        <f ca="1">F9/H9</f>
        <v>1.4</v>
      </c>
      <c r="P5" s="72"/>
      <c r="Q5" s="40"/>
      <c r="R5" s="40"/>
    </row>
    <row r="6" spans="1:18" ht="15.6" x14ac:dyDescent="0.3">
      <c r="A6" s="72"/>
      <c r="B6" s="87">
        <f ca="1">+'N° de Obs.'!D7</f>
        <v>105</v>
      </c>
      <c r="C6" s="87">
        <f ca="1">+'N° de Obs.'!E7</f>
        <v>26475</v>
      </c>
      <c r="D6" s="87">
        <f ca="1">+'N° de Obs.'!F7</f>
        <v>27798.75</v>
      </c>
      <c r="E6" s="87">
        <f t="shared" ref="E6:E8" ca="1" si="0">IF(I6="","",IFERROR(F6*G6,""))</f>
        <v>6</v>
      </c>
      <c r="F6" s="87">
        <f t="shared" ref="F6:F8" ca="1" si="1">IF(I6="","",IFERROR(G6*H6,""))</f>
        <v>6</v>
      </c>
      <c r="G6" s="87">
        <f t="shared" ref="G6:G8" ca="1" si="2">IF(I6="","",ROW($V2)-1)</f>
        <v>1</v>
      </c>
      <c r="H6" s="87">
        <f ca="1">IF(I6="","",COUNTIFS($D$5:$D$24,"&lt;="&amp;$J7,$D$5:$D$24,"&gt;"&amp;$J6))</f>
        <v>6</v>
      </c>
      <c r="I6" s="87">
        <f ca="1">IFERROR(IF($I5+$K$4&lt;=$M$28,$I5+$K$4,""),"")</f>
        <v>24475</v>
      </c>
      <c r="J6" s="106">
        <f ca="1">IF(I5="","",IFERROR(($I5+$I6)/2,MAX($D$5:$D$24)))</f>
        <v>23892.5</v>
      </c>
      <c r="K6" s="78" t="s">
        <v>148</v>
      </c>
      <c r="L6" s="72"/>
      <c r="M6" s="72"/>
      <c r="N6" s="87" t="s">
        <v>139</v>
      </c>
      <c r="O6" s="87">
        <f ca="1">E9/H9</f>
        <v>3.1</v>
      </c>
      <c r="P6" s="72"/>
      <c r="Q6" s="40"/>
      <c r="R6" s="40"/>
    </row>
    <row r="7" spans="1:18" ht="15.6" x14ac:dyDescent="0.3">
      <c r="A7" s="72"/>
      <c r="B7" s="87">
        <f ca="1">+'N° de Obs.'!D8</f>
        <v>105</v>
      </c>
      <c r="C7" s="87">
        <f ca="1">+'N° de Obs.'!E8</f>
        <v>26258</v>
      </c>
      <c r="D7" s="87">
        <f ca="1">+'N° de Obs.'!F8</f>
        <v>27570.9</v>
      </c>
      <c r="E7" s="87">
        <f t="shared" ca="1" si="0"/>
        <v>20</v>
      </c>
      <c r="F7" s="87">
        <f t="shared" ca="1" si="1"/>
        <v>10</v>
      </c>
      <c r="G7" s="87">
        <f t="shared" ca="1" si="2"/>
        <v>2</v>
      </c>
      <c r="H7" s="87">
        <f t="shared" ref="H7:H8" ca="1" si="3">IF(I7="","",COUNTIFS($D$5:$D$24,"&lt;="&amp;$J8,$D$5:$D$24,"&gt;"&amp;$J7))</f>
        <v>5</v>
      </c>
      <c r="I7" s="87">
        <f ca="1">IFERROR(IF($I6+$K$4&lt;=$M$28,$I6+$K$4,""),"")</f>
        <v>25640</v>
      </c>
      <c r="J7" s="106">
        <f t="shared" ref="J7:J9" ca="1" si="4">IF(I6="","",IFERROR(($I6+$I7)/2,MAX($D$5:$D$24)))</f>
        <v>25057.5</v>
      </c>
      <c r="K7" s="78" t="s">
        <v>147</v>
      </c>
      <c r="L7" s="72"/>
      <c r="M7" s="72"/>
      <c r="N7" s="72"/>
      <c r="O7" s="72"/>
      <c r="P7" s="72"/>
      <c r="Q7" s="40"/>
      <c r="R7" s="40"/>
    </row>
    <row r="8" spans="1:18" ht="16.2" thickBot="1" x14ac:dyDescent="0.35">
      <c r="A8" s="72"/>
      <c r="B8" s="87">
        <f ca="1">+'N° de Obs.'!D9</f>
        <v>90</v>
      </c>
      <c r="C8" s="87">
        <f ca="1">+'N° de Obs.'!E9</f>
        <v>26874</v>
      </c>
      <c r="D8" s="87">
        <f ca="1">+'N° de Obs.'!F9</f>
        <v>24186.6</v>
      </c>
      <c r="E8" s="87">
        <f t="shared" ca="1" si="0"/>
        <v>36</v>
      </c>
      <c r="F8" s="87">
        <f t="shared" ca="1" si="1"/>
        <v>12</v>
      </c>
      <c r="G8" s="87">
        <f t="shared" ca="1" si="2"/>
        <v>3</v>
      </c>
      <c r="H8" s="87">
        <f t="shared" ca="1" si="3"/>
        <v>4</v>
      </c>
      <c r="I8" s="87">
        <f ca="1">IFERROR(IF($I7+$K$4&lt;=$M$28,$I7+$K$4,""),"")</f>
        <v>26805</v>
      </c>
      <c r="J8" s="106">
        <f t="shared" ca="1" si="4"/>
        <v>26222.5</v>
      </c>
      <c r="K8" s="78" t="s">
        <v>149</v>
      </c>
      <c r="L8" s="72"/>
      <c r="M8" s="72"/>
      <c r="N8" s="87" t="s">
        <v>140</v>
      </c>
      <c r="O8" s="87">
        <f ca="1">H27+(K4*O5)</f>
        <v>24941</v>
      </c>
      <c r="P8" s="72"/>
      <c r="Q8" s="40"/>
      <c r="R8" s="40"/>
    </row>
    <row r="9" spans="1:18" ht="16.2" thickBot="1" x14ac:dyDescent="0.35">
      <c r="A9" s="72"/>
      <c r="B9" s="87">
        <f ca="1">+'N° de Obs.'!D10</f>
        <v>90</v>
      </c>
      <c r="C9" s="87">
        <f ca="1">+'N° de Obs.'!E10</f>
        <v>26837</v>
      </c>
      <c r="D9" s="87">
        <f ca="1">+'N° de Obs.'!F10</f>
        <v>24153.3</v>
      </c>
      <c r="E9" s="104">
        <f ca="1">SUM(E5:E17)</f>
        <v>62</v>
      </c>
      <c r="F9" s="105">
        <f ca="1">SUM(F5:F17)</f>
        <v>28</v>
      </c>
      <c r="G9" s="72"/>
      <c r="H9" s="105">
        <f ca="1">SUM(H5:H17)</f>
        <v>20</v>
      </c>
      <c r="I9" s="107" t="str">
        <f ca="1">IFERROR(IF($I8+$K$4&lt;=$M$28,$I8+$K$4,""),"")</f>
        <v/>
      </c>
      <c r="J9" s="108">
        <f t="shared" ca="1" si="4"/>
        <v>27798.75</v>
      </c>
      <c r="K9" s="72"/>
      <c r="L9" s="72"/>
      <c r="M9" s="72"/>
      <c r="N9" s="87" t="s">
        <v>141</v>
      </c>
      <c r="O9" s="109">
        <f ca="1">K4*(SQRT(O6-POWER(O5,2)))</f>
        <v>1243.879616361648</v>
      </c>
      <c r="P9" s="72"/>
      <c r="Q9" s="40"/>
      <c r="R9" s="40"/>
    </row>
    <row r="10" spans="1:18" ht="15.6" x14ac:dyDescent="0.3">
      <c r="A10" s="72"/>
      <c r="B10" s="87">
        <f ca="1">+'N° de Obs.'!D11</f>
        <v>100</v>
      </c>
      <c r="C10" s="87">
        <f ca="1">+'N° de Obs.'!E11</f>
        <v>25247</v>
      </c>
      <c r="D10" s="87">
        <f ca="1">+'N° de Obs.'!F11</f>
        <v>25247</v>
      </c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40"/>
      <c r="R10" s="40"/>
    </row>
    <row r="11" spans="1:18" ht="15.6" x14ac:dyDescent="0.3">
      <c r="A11" s="72"/>
      <c r="B11" s="87">
        <f ca="1">+'N° de Obs.'!D12</f>
        <v>95</v>
      </c>
      <c r="C11" s="87">
        <f ca="1">+'N° de Obs.'!E12</f>
        <v>25455</v>
      </c>
      <c r="D11" s="87">
        <f ca="1">+'N° de Obs.'!F12</f>
        <v>24182.25</v>
      </c>
      <c r="E11" s="72"/>
      <c r="F11" s="72"/>
      <c r="G11" s="72"/>
      <c r="H11" s="72"/>
      <c r="I11" s="72"/>
      <c r="J11" s="72"/>
      <c r="K11" s="72"/>
      <c r="L11" s="72"/>
      <c r="M11" s="72"/>
      <c r="N11" s="87" t="s">
        <v>142</v>
      </c>
      <c r="O11" s="87">
        <f ca="1">(O9*100)/O8</f>
        <v>4.9872884662268877</v>
      </c>
      <c r="P11" s="87" t="s">
        <v>8</v>
      </c>
      <c r="Q11" s="40"/>
      <c r="R11" s="40"/>
    </row>
    <row r="12" spans="1:18" ht="15.6" x14ac:dyDescent="0.3">
      <c r="A12" s="72"/>
      <c r="B12" s="87">
        <f ca="1">+'N° de Obs.'!D13</f>
        <v>95</v>
      </c>
      <c r="C12" s="87">
        <f ca="1">+'N° de Obs.'!E13</f>
        <v>25555</v>
      </c>
      <c r="D12" s="87">
        <f ca="1">+'N° de Obs.'!F13</f>
        <v>24277.25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40"/>
      <c r="R12" s="40"/>
    </row>
    <row r="13" spans="1:18" ht="15.6" x14ac:dyDescent="0.3">
      <c r="A13" s="72"/>
      <c r="B13" s="87">
        <f ca="1">+'N° de Obs.'!D14</f>
        <v>90</v>
      </c>
      <c r="C13" s="87">
        <f ca="1">+'N° de Obs.'!E14</f>
        <v>26065</v>
      </c>
      <c r="D13" s="87">
        <f ca="1">+'N° de Obs.'!F14</f>
        <v>23458.5</v>
      </c>
      <c r="E13" s="72"/>
      <c r="F13" s="72"/>
      <c r="G13" s="72"/>
      <c r="H13" s="72"/>
      <c r="I13" s="72"/>
      <c r="J13" s="72"/>
      <c r="K13" s="72"/>
      <c r="L13" s="72"/>
      <c r="M13" s="72"/>
      <c r="N13" s="103" t="str">
        <f ca="1">IF(O11&lt;6,"Se puede continuar con el estudio","No se puede continuar con el estudio")</f>
        <v>Se puede continuar con el estudio</v>
      </c>
      <c r="O13" s="103"/>
      <c r="P13" s="72"/>
      <c r="Q13" s="40"/>
      <c r="R13" s="40"/>
    </row>
    <row r="14" spans="1:18" ht="15.6" x14ac:dyDescent="0.3">
      <c r="A14" s="72"/>
      <c r="B14" s="87">
        <f ca="1">+'N° de Obs.'!D15</f>
        <v>95</v>
      </c>
      <c r="C14" s="87">
        <f ca="1">+'N° de Obs.'!E15</f>
        <v>25456</v>
      </c>
      <c r="D14" s="87">
        <f ca="1">+'N° de Obs.'!F15</f>
        <v>24183.200000000001</v>
      </c>
      <c r="E14" s="72"/>
      <c r="F14" s="72"/>
      <c r="G14" s="72"/>
      <c r="H14" s="72"/>
      <c r="I14" s="72"/>
      <c r="J14" s="72"/>
      <c r="K14" s="72"/>
      <c r="L14" s="72"/>
      <c r="M14" s="72"/>
      <c r="N14" s="103"/>
      <c r="O14" s="103"/>
      <c r="P14" s="72"/>
      <c r="Q14" s="40"/>
      <c r="R14" s="40"/>
    </row>
    <row r="15" spans="1:18" ht="15.6" x14ac:dyDescent="0.3">
      <c r="A15" s="72"/>
      <c r="B15" s="87">
        <f ca="1">+'N° de Obs.'!D16</f>
        <v>105</v>
      </c>
      <c r="C15" s="87">
        <f ca="1">+'N° de Obs.'!E16</f>
        <v>26096</v>
      </c>
      <c r="D15" s="87">
        <f ca="1">+'N° de Obs.'!F16</f>
        <v>27400.799999999999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40"/>
      <c r="R15" s="40"/>
    </row>
    <row r="16" spans="1:18" ht="15.6" x14ac:dyDescent="0.3">
      <c r="A16" s="72"/>
      <c r="B16" s="87">
        <f ca="1">+'N° de Obs.'!D17</f>
        <v>90</v>
      </c>
      <c r="C16" s="87">
        <f ca="1">+'N° de Obs.'!E17</f>
        <v>26304</v>
      </c>
      <c r="D16" s="87">
        <f ca="1">+'N° de Obs.'!F17</f>
        <v>23673.599999999999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40"/>
      <c r="R16" s="40"/>
    </row>
    <row r="17" spans="1:18" ht="15.6" x14ac:dyDescent="0.3">
      <c r="A17" s="72"/>
      <c r="B17" s="87">
        <f ca="1">+'N° de Obs.'!D18</f>
        <v>100</v>
      </c>
      <c r="C17" s="87">
        <f ca="1">+'N° de Obs.'!E18</f>
        <v>25296</v>
      </c>
      <c r="D17" s="87">
        <f ca="1">+'N° de Obs.'!F18</f>
        <v>25296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40"/>
      <c r="R17" s="40"/>
    </row>
    <row r="18" spans="1:18" ht="15.6" x14ac:dyDescent="0.3">
      <c r="A18" s="72"/>
      <c r="B18" s="87">
        <f ca="1">+'N° de Obs.'!D19</f>
        <v>90</v>
      </c>
      <c r="C18" s="87">
        <f ca="1">+'N° de Obs.'!E19</f>
        <v>26303</v>
      </c>
      <c r="D18" s="87">
        <f ca="1">+'N° de Obs.'!F19</f>
        <v>23672.7</v>
      </c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40"/>
      <c r="R18" s="40"/>
    </row>
    <row r="19" spans="1:18" ht="15.6" x14ac:dyDescent="0.3">
      <c r="A19" s="72"/>
      <c r="B19" s="87">
        <f ca="1">+'N° de Obs.'!D20</f>
        <v>95</v>
      </c>
      <c r="C19" s="87">
        <f ca="1">+'N° de Obs.'!E20</f>
        <v>26975</v>
      </c>
      <c r="D19" s="87">
        <f ca="1">+'N° de Obs.'!F20</f>
        <v>25626.25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40"/>
      <c r="R19" s="40"/>
    </row>
    <row r="20" spans="1:18" ht="15.6" x14ac:dyDescent="0.3">
      <c r="A20" s="72"/>
      <c r="B20" s="87">
        <f ca="1">+'N° de Obs.'!D21</f>
        <v>90</v>
      </c>
      <c r="C20" s="87">
        <f ca="1">+'N° de Obs.'!E21</f>
        <v>25900</v>
      </c>
      <c r="D20" s="87">
        <f ca="1">+'N° de Obs.'!F21</f>
        <v>23310</v>
      </c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40"/>
      <c r="R20" s="40"/>
    </row>
    <row r="21" spans="1:18" ht="15.6" x14ac:dyDescent="0.3">
      <c r="A21" s="72"/>
      <c r="B21" s="87">
        <f ca="1">+'N° de Obs.'!D22</f>
        <v>95</v>
      </c>
      <c r="C21" s="87">
        <f ca="1">+'N° de Obs.'!E22</f>
        <v>26729</v>
      </c>
      <c r="D21" s="87">
        <f ca="1">+'N° de Obs.'!F22</f>
        <v>25392.55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40"/>
      <c r="R21" s="40"/>
    </row>
    <row r="22" spans="1:18" ht="15.6" x14ac:dyDescent="0.3">
      <c r="A22" s="72"/>
      <c r="B22" s="87">
        <f ca="1">+'N° de Obs.'!D23</f>
        <v>100</v>
      </c>
      <c r="C22" s="87">
        <f ca="1">+'N° de Obs.'!E23</f>
        <v>25256</v>
      </c>
      <c r="D22" s="87">
        <f ca="1">+'N° de Obs.'!F23</f>
        <v>25256</v>
      </c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40"/>
      <c r="R22" s="40"/>
    </row>
    <row r="23" spans="1:18" ht="15.6" x14ac:dyDescent="0.3">
      <c r="A23" s="72"/>
      <c r="B23" s="87">
        <f ca="1">+'N° de Obs.'!D24</f>
        <v>90</v>
      </c>
      <c r="C23" s="87">
        <f ca="1">+'N° de Obs.'!E24</f>
        <v>26315</v>
      </c>
      <c r="D23" s="87">
        <f ca="1">+'N° de Obs.'!F24</f>
        <v>23683.5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40"/>
      <c r="R23" s="40"/>
    </row>
    <row r="24" spans="1:18" ht="15.6" x14ac:dyDescent="0.3">
      <c r="A24" s="72"/>
      <c r="B24" s="87">
        <f ca="1">+'N° de Obs.'!D25</f>
        <v>95</v>
      </c>
      <c r="C24" s="87">
        <f ca="1">+'N° de Obs.'!E25</f>
        <v>26151</v>
      </c>
      <c r="D24" s="87">
        <f ca="1">+'N° de Obs.'!F25</f>
        <v>24843.45</v>
      </c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40"/>
      <c r="R24" s="40"/>
    </row>
    <row r="25" spans="1:18" ht="15.6" x14ac:dyDescent="0.3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40"/>
      <c r="R25" s="40"/>
    </row>
    <row r="26" spans="1:18" ht="15.6" x14ac:dyDescent="0.3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40"/>
      <c r="R26" s="40"/>
    </row>
    <row r="27" spans="1:18" ht="15.6" x14ac:dyDescent="0.3">
      <c r="A27" s="72"/>
      <c r="B27" s="72"/>
      <c r="C27" s="72"/>
      <c r="D27" s="87" t="s">
        <v>23</v>
      </c>
      <c r="E27" s="87">
        <f ca="1">COUNTA(C5:C24)</f>
        <v>20</v>
      </c>
      <c r="F27" s="72"/>
      <c r="G27" s="72"/>
      <c r="H27" s="87">
        <f ca="1">MIN(D5:D24)</f>
        <v>23310</v>
      </c>
      <c r="I27" s="77">
        <v>100</v>
      </c>
      <c r="J27" s="78" t="s">
        <v>8</v>
      </c>
      <c r="K27" s="72"/>
      <c r="L27" s="87" t="s">
        <v>143</v>
      </c>
      <c r="M27" s="87">
        <f ca="1">ROUND(MIN(D5:D24),0)</f>
        <v>23310</v>
      </c>
      <c r="N27" s="72"/>
      <c r="O27" s="72"/>
      <c r="P27" s="72"/>
      <c r="Q27" s="40"/>
      <c r="R27" s="40"/>
    </row>
    <row r="28" spans="1:18" ht="15.6" x14ac:dyDescent="0.3">
      <c r="B28" s="72"/>
      <c r="C28" s="72"/>
      <c r="D28" s="72"/>
      <c r="E28" s="72"/>
      <c r="F28" s="72"/>
      <c r="G28" s="72"/>
      <c r="H28" s="89">
        <f ca="1">(I28*H27)/I27</f>
        <v>1165.5</v>
      </c>
      <c r="I28" s="82">
        <v>5</v>
      </c>
      <c r="J28" s="83" t="s">
        <v>8</v>
      </c>
      <c r="K28" s="72"/>
      <c r="L28" s="87" t="s">
        <v>144</v>
      </c>
      <c r="M28" s="87">
        <f ca="1">ROUND(MAX(D5:D24),0)</f>
        <v>27799</v>
      </c>
      <c r="N28" s="72"/>
      <c r="O28" s="72"/>
      <c r="P28" s="72"/>
      <c r="Q28" s="40"/>
      <c r="R28" s="40"/>
    </row>
    <row r="29" spans="1:18" ht="15.6" x14ac:dyDescent="0.3">
      <c r="B29" s="110" t="s">
        <v>24</v>
      </c>
      <c r="C29" s="110"/>
      <c r="D29" s="110"/>
      <c r="E29" s="87">
        <f ca="1">ROUND(SUM(D5:D24)/E27,0)</f>
        <v>25004</v>
      </c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40"/>
      <c r="R29" s="40"/>
    </row>
    <row r="30" spans="1:18" ht="15.6" x14ac:dyDescent="0.3"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40"/>
      <c r="R30" s="40"/>
    </row>
    <row r="31" spans="1:18" ht="15.6" x14ac:dyDescent="0.3"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40"/>
      <c r="R31" s="40"/>
    </row>
    <row r="32" spans="1:18" ht="15.6" x14ac:dyDescent="0.3"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40"/>
      <c r="R32" s="40"/>
    </row>
    <row r="33" spans="1:18" x14ac:dyDescent="0.3">
      <c r="Q33" s="40"/>
      <c r="R33" s="40"/>
    </row>
    <row r="34" spans="1:18" x14ac:dyDescent="0.3">
      <c r="Q34" s="40"/>
      <c r="R34" s="40"/>
    </row>
    <row r="35" spans="1:18" x14ac:dyDescent="0.3">
      <c r="Q35" s="40"/>
      <c r="R35" s="40"/>
    </row>
    <row r="36" spans="1:18" x14ac:dyDescent="0.3">
      <c r="D36" s="52" t="str">
        <f>+'N° de Obs.'!P2</f>
        <v>Elemento T</v>
      </c>
      <c r="E36" s="53"/>
      <c r="Q36" s="40"/>
      <c r="R36" s="40"/>
    </row>
    <row r="37" spans="1:18" s="72" customFormat="1" ht="15.6" x14ac:dyDescent="0.3"/>
    <row r="38" spans="1:18" ht="15.6" x14ac:dyDescent="0.3">
      <c r="A38" s="72"/>
      <c r="B38" s="36" t="s">
        <v>18</v>
      </c>
      <c r="C38" s="36" t="s">
        <v>19</v>
      </c>
      <c r="D38" s="36" t="s">
        <v>20</v>
      </c>
      <c r="E38" s="37" t="s">
        <v>133</v>
      </c>
      <c r="F38" s="37" t="s">
        <v>134</v>
      </c>
      <c r="G38" s="37" t="s">
        <v>135</v>
      </c>
      <c r="H38" s="37" t="s">
        <v>136</v>
      </c>
      <c r="I38" s="38" t="s">
        <v>97</v>
      </c>
      <c r="J38" s="38" t="s">
        <v>137</v>
      </c>
      <c r="K38" s="39">
        <f ca="1">ROUNDDOWN(H62,0)</f>
        <v>2299</v>
      </c>
      <c r="L38" s="72"/>
      <c r="M38" s="72"/>
      <c r="N38" s="72"/>
      <c r="O38" s="72"/>
      <c r="P38" s="72"/>
      <c r="Q38" s="72"/>
      <c r="R38" s="40"/>
    </row>
    <row r="39" spans="1:18" s="72" customFormat="1" ht="15.6" x14ac:dyDescent="0.3">
      <c r="B39" s="87">
        <f ca="1">+'N° de Obs.'!M6</f>
        <v>95</v>
      </c>
      <c r="C39" s="87">
        <f ca="1">+'N° de Obs.'!N6</f>
        <v>54604</v>
      </c>
      <c r="D39" s="87">
        <f ca="1">+'N° de Obs.'!O6</f>
        <v>51873.8</v>
      </c>
      <c r="E39" s="87">
        <f ca="1">IF(I39="","",IFERROR(F39*G39,""))</f>
        <v>0</v>
      </c>
      <c r="F39" s="87">
        <f ca="1">IF(I39="","",IFERROR(G39*H39,""))</f>
        <v>0</v>
      </c>
      <c r="G39" s="87">
        <f ca="1">IF(I39="","",ROW($V1)-1)</f>
        <v>0</v>
      </c>
      <c r="H39" s="87">
        <f ca="1">IF(I39="","",COUNTIF($D$39:$D$58,"&lt;="&amp;$J40))</f>
        <v>1</v>
      </c>
      <c r="I39" s="87">
        <f ca="1">ROUND(H61,0)</f>
        <v>45989</v>
      </c>
      <c r="J39" s="82"/>
      <c r="K39" s="78" t="s">
        <v>29</v>
      </c>
      <c r="N39" s="87" t="s">
        <v>138</v>
      </c>
      <c r="O39" s="87">
        <f ca="1">F44/H44</f>
        <v>2.8</v>
      </c>
    </row>
    <row r="40" spans="1:18" ht="15.6" x14ac:dyDescent="0.3">
      <c r="A40" s="72"/>
      <c r="B40" s="87">
        <f ca="1">+'N° de Obs.'!M7</f>
        <v>105</v>
      </c>
      <c r="C40" s="87">
        <f ca="1">+'N° de Obs.'!N7</f>
        <v>53991</v>
      </c>
      <c r="D40" s="87">
        <f ca="1">+'N° de Obs.'!O7</f>
        <v>56690.55</v>
      </c>
      <c r="E40" s="87">
        <f t="shared" ref="E40:E43" ca="1" si="5">IF(I40="","",IFERROR(F40*G40,""))</f>
        <v>3</v>
      </c>
      <c r="F40" s="87">
        <f t="shared" ref="F40:F43" ca="1" si="6">IF(I40="","",IFERROR(G40*H40,""))</f>
        <v>3</v>
      </c>
      <c r="G40" s="87">
        <f t="shared" ref="G40:G43" ca="1" si="7">IF(I40="","",ROW($V2)-1)</f>
        <v>1</v>
      </c>
      <c r="H40" s="87">
        <f ca="1">IF(I40="","",COUNTIFS($D$39:$D$58,"&lt;="&amp;$J41,$D$39:$D$58,"&gt;"&amp;$J40))</f>
        <v>3</v>
      </c>
      <c r="I40" s="87">
        <f ca="1">IFERROR(IF($I39+$K$38&lt;=$M$62,$I39+$K$38,""),"")</f>
        <v>48288</v>
      </c>
      <c r="J40" s="106">
        <f ca="1">IF(I39="","",IFERROR(($I39+$I40)/2,MAX($D$39:$D$58)))</f>
        <v>47138.5</v>
      </c>
      <c r="K40" s="78" t="s">
        <v>150</v>
      </c>
      <c r="L40" s="72"/>
      <c r="M40" s="72"/>
      <c r="N40" s="87" t="s">
        <v>139</v>
      </c>
      <c r="O40" s="87">
        <f ca="1">E44/H44</f>
        <v>9.5</v>
      </c>
      <c r="P40" s="72"/>
      <c r="Q40" s="72"/>
      <c r="R40" s="72"/>
    </row>
    <row r="41" spans="1:18" ht="15.6" x14ac:dyDescent="0.3">
      <c r="A41" s="72"/>
      <c r="B41" s="87">
        <f ca="1">+'N° de Obs.'!M8</f>
        <v>105</v>
      </c>
      <c r="C41" s="87">
        <f ca="1">+'N° de Obs.'!N8</f>
        <v>53997</v>
      </c>
      <c r="D41" s="87">
        <f ca="1">+'N° de Obs.'!O8</f>
        <v>56696.85</v>
      </c>
      <c r="E41" s="87">
        <f t="shared" ca="1" si="5"/>
        <v>16</v>
      </c>
      <c r="F41" s="87">
        <f t="shared" ca="1" si="6"/>
        <v>8</v>
      </c>
      <c r="G41" s="87">
        <f t="shared" ca="1" si="7"/>
        <v>2</v>
      </c>
      <c r="H41" s="87">
        <f t="shared" ref="H41:H43" ca="1" si="8">IF(I41="","",COUNTIFS($D$39:$D$58,"&lt;="&amp;$J42,$D$39:$D$58,"&gt;"&amp;$J41))</f>
        <v>4</v>
      </c>
      <c r="I41" s="87">
        <f t="shared" ref="I41:I44" ca="1" si="9">IFERROR(IF($I40+$K$38&lt;=$M$62,$I40+$K$38,""),"")</f>
        <v>50587</v>
      </c>
      <c r="J41" s="106">
        <f t="shared" ref="J41:J44" ca="1" si="10">IF(I40="","",IFERROR(($I40+$I41)/2,MAX($D$39:$D$58)))</f>
        <v>49437.5</v>
      </c>
      <c r="K41" s="78" t="s">
        <v>149</v>
      </c>
      <c r="L41" s="72"/>
      <c r="M41" s="72"/>
      <c r="N41" s="72"/>
      <c r="O41" s="72"/>
      <c r="P41" s="72"/>
      <c r="Q41" s="72"/>
      <c r="R41" s="72"/>
    </row>
    <row r="42" spans="1:18" ht="15.6" x14ac:dyDescent="0.3">
      <c r="A42" s="72"/>
      <c r="B42" s="87">
        <f ca="1">+'N° de Obs.'!M9</f>
        <v>105</v>
      </c>
      <c r="C42" s="87">
        <f ca="1">+'N° de Obs.'!N9</f>
        <v>53655</v>
      </c>
      <c r="D42" s="87">
        <f ca="1">+'N° de Obs.'!O9</f>
        <v>56337.75</v>
      </c>
      <c r="E42" s="87">
        <f t="shared" ca="1" si="5"/>
        <v>27</v>
      </c>
      <c r="F42" s="87">
        <f t="shared" ca="1" si="6"/>
        <v>9</v>
      </c>
      <c r="G42" s="87">
        <f t="shared" ca="1" si="7"/>
        <v>3</v>
      </c>
      <c r="H42" s="87">
        <f t="shared" ca="1" si="8"/>
        <v>3</v>
      </c>
      <c r="I42" s="87">
        <f t="shared" ca="1" si="9"/>
        <v>52886</v>
      </c>
      <c r="J42" s="106">
        <f t="shared" ca="1" si="10"/>
        <v>51736.5</v>
      </c>
      <c r="K42" s="78" t="s">
        <v>150</v>
      </c>
      <c r="L42" s="72"/>
      <c r="M42" s="72"/>
      <c r="N42" s="87" t="s">
        <v>140</v>
      </c>
      <c r="O42" s="87">
        <f ca="1">H61+(K38*O39)</f>
        <v>52426.45</v>
      </c>
      <c r="P42" s="72"/>
      <c r="Q42" s="72"/>
      <c r="R42" s="72"/>
    </row>
    <row r="43" spans="1:18" ht="16.2" thickBot="1" x14ac:dyDescent="0.35">
      <c r="A43" s="72"/>
      <c r="B43" s="87">
        <f ca="1">+'N° de Obs.'!M10</f>
        <v>100</v>
      </c>
      <c r="C43" s="87">
        <f ca="1">+'N° de Obs.'!N10</f>
        <v>54335</v>
      </c>
      <c r="D43" s="87">
        <f ca="1">+'N° de Obs.'!O10</f>
        <v>54335</v>
      </c>
      <c r="E43" s="87">
        <f t="shared" ca="1" si="5"/>
        <v>144</v>
      </c>
      <c r="F43" s="87">
        <f t="shared" ca="1" si="6"/>
        <v>36</v>
      </c>
      <c r="G43" s="87">
        <f t="shared" ca="1" si="7"/>
        <v>4</v>
      </c>
      <c r="H43" s="87">
        <f t="shared" ca="1" si="8"/>
        <v>9</v>
      </c>
      <c r="I43" s="87">
        <f t="shared" ca="1" si="9"/>
        <v>55185</v>
      </c>
      <c r="J43" s="106">
        <f t="shared" ca="1" si="10"/>
        <v>54035.5</v>
      </c>
      <c r="K43" s="78" t="s">
        <v>151</v>
      </c>
      <c r="L43" s="72"/>
      <c r="M43" s="72"/>
      <c r="N43" s="87" t="s">
        <v>141</v>
      </c>
      <c r="O43" s="109">
        <f ca="1">K38*(SQRT(O40-POWER(O39,2)))</f>
        <v>2962.0542972741077</v>
      </c>
      <c r="P43" s="72"/>
      <c r="Q43" s="72"/>
      <c r="R43" s="72"/>
    </row>
    <row r="44" spans="1:18" ht="16.2" thickBot="1" x14ac:dyDescent="0.35">
      <c r="A44" s="72"/>
      <c r="B44" s="87">
        <f ca="1">+'N° de Obs.'!M11</f>
        <v>95</v>
      </c>
      <c r="C44" s="87">
        <f ca="1">+'N° de Obs.'!N11</f>
        <v>53600</v>
      </c>
      <c r="D44" s="87">
        <f ca="1">+'N° de Obs.'!O11</f>
        <v>50920</v>
      </c>
      <c r="E44" s="104">
        <f ca="1">SUM(E39:E51)</f>
        <v>190</v>
      </c>
      <c r="F44" s="105">
        <f ca="1">SUM(F39:F51)</f>
        <v>56</v>
      </c>
      <c r="G44" s="72"/>
      <c r="H44" s="105">
        <f ca="1">SUM(H39:H51)</f>
        <v>20</v>
      </c>
      <c r="I44" s="107" t="str">
        <f t="shared" ca="1" si="9"/>
        <v/>
      </c>
      <c r="J44" s="108">
        <f t="shared" ca="1" si="10"/>
        <v>56836.5</v>
      </c>
      <c r="K44" s="72"/>
      <c r="L44" s="72"/>
      <c r="M44" s="72"/>
      <c r="N44" s="72"/>
      <c r="O44" s="72"/>
      <c r="P44" s="72"/>
      <c r="Q44" s="72"/>
      <c r="R44" s="72"/>
    </row>
    <row r="45" spans="1:18" ht="15.6" x14ac:dyDescent="0.3">
      <c r="A45" s="72"/>
      <c r="B45" s="87">
        <f ca="1">+'N° de Obs.'!M12</f>
        <v>90</v>
      </c>
      <c r="C45" s="87">
        <f ca="1">+'N° de Obs.'!N12</f>
        <v>53286</v>
      </c>
      <c r="D45" s="87">
        <f ca="1">+'N° de Obs.'!O12</f>
        <v>47957.4</v>
      </c>
      <c r="E45" s="72"/>
      <c r="F45" s="72"/>
      <c r="G45" s="72"/>
      <c r="H45" s="72"/>
      <c r="I45" s="72"/>
      <c r="J45" s="72"/>
      <c r="K45" s="72"/>
      <c r="L45" s="72"/>
      <c r="M45" s="72"/>
      <c r="N45" s="87" t="s">
        <v>142</v>
      </c>
      <c r="O45" s="87">
        <f ca="1">(O43*100)/O42</f>
        <v>5.6499234590061089</v>
      </c>
      <c r="P45" s="87" t="s">
        <v>8</v>
      </c>
      <c r="Q45" s="72"/>
      <c r="R45" s="72"/>
    </row>
    <row r="46" spans="1:18" ht="15.6" x14ac:dyDescent="0.3">
      <c r="A46" s="72"/>
      <c r="B46" s="87">
        <f ca="1">+'N° de Obs.'!M13</f>
        <v>90</v>
      </c>
      <c r="C46" s="87">
        <f ca="1">+'N° de Obs.'!N13</f>
        <v>53690</v>
      </c>
      <c r="D46" s="87">
        <f ca="1">+'N° de Obs.'!O13</f>
        <v>48321</v>
      </c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</row>
    <row r="47" spans="1:18" ht="15.6" x14ac:dyDescent="0.3">
      <c r="A47" s="72"/>
      <c r="B47" s="87">
        <f ca="1">+'N° de Obs.'!M14</f>
        <v>100</v>
      </c>
      <c r="C47" s="87">
        <f ca="1">+'N° de Obs.'!N14</f>
        <v>54670</v>
      </c>
      <c r="D47" s="87">
        <f ca="1">+'N° de Obs.'!O14</f>
        <v>54670</v>
      </c>
      <c r="E47" s="72"/>
      <c r="F47" s="72"/>
      <c r="G47" s="72"/>
      <c r="H47" s="72"/>
      <c r="I47" s="72"/>
      <c r="J47" s="72"/>
      <c r="K47" s="72"/>
      <c r="L47" s="72"/>
      <c r="M47" s="72"/>
      <c r="N47" s="103" t="str">
        <f ca="1">IF(O45&lt;6,"Se puede continuar con el estudio","No se puede continuar con el estudio")</f>
        <v>Se puede continuar con el estudio</v>
      </c>
      <c r="O47" s="103"/>
      <c r="P47" s="72"/>
      <c r="Q47" s="72"/>
      <c r="R47" s="72"/>
    </row>
    <row r="48" spans="1:18" ht="15.6" x14ac:dyDescent="0.3">
      <c r="A48" s="72"/>
      <c r="B48" s="87">
        <f ca="1">+'N° de Obs.'!M15</f>
        <v>100</v>
      </c>
      <c r="C48" s="87">
        <f ca="1">+'N° de Obs.'!N15</f>
        <v>54767</v>
      </c>
      <c r="D48" s="87">
        <f ca="1">+'N° de Obs.'!O15</f>
        <v>54767</v>
      </c>
      <c r="E48" s="72"/>
      <c r="F48" s="72"/>
      <c r="G48" s="72"/>
      <c r="H48" s="72"/>
      <c r="I48" s="72"/>
      <c r="J48" s="72"/>
      <c r="K48" s="72"/>
      <c r="L48" s="72"/>
      <c r="M48" s="72"/>
      <c r="N48" s="103"/>
      <c r="O48" s="103"/>
      <c r="P48" s="72"/>
      <c r="Q48" s="72"/>
      <c r="R48" s="72"/>
    </row>
    <row r="49" spans="1:20" ht="15.6" x14ac:dyDescent="0.3">
      <c r="A49" s="72"/>
      <c r="B49" s="87">
        <f ca="1">+'N° de Obs.'!M16</f>
        <v>90</v>
      </c>
      <c r="C49" s="87">
        <f ca="1">+'N° de Obs.'!N16</f>
        <v>53202</v>
      </c>
      <c r="D49" s="87">
        <f ca="1">+'N° de Obs.'!O16</f>
        <v>47881.8</v>
      </c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</row>
    <row r="50" spans="1:20" ht="15.6" x14ac:dyDescent="0.3">
      <c r="A50" s="72"/>
      <c r="B50" s="87">
        <f ca="1">+'N° de Obs.'!M17</f>
        <v>95</v>
      </c>
      <c r="C50" s="87">
        <f ca="1">+'N° de Obs.'!N17</f>
        <v>53747</v>
      </c>
      <c r="D50" s="87">
        <f ca="1">+'N° de Obs.'!O17</f>
        <v>51059.65</v>
      </c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</row>
    <row r="51" spans="1:20" ht="15.6" x14ac:dyDescent="0.3">
      <c r="A51" s="72"/>
      <c r="B51" s="87">
        <f ca="1">+'N° de Obs.'!M18</f>
        <v>105</v>
      </c>
      <c r="C51" s="87">
        <f ca="1">+'N° de Obs.'!N18</f>
        <v>53663</v>
      </c>
      <c r="D51" s="87">
        <f ca="1">+'N° de Obs.'!O18</f>
        <v>56346.15</v>
      </c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</row>
    <row r="52" spans="1:20" ht="15.6" x14ac:dyDescent="0.3">
      <c r="A52" s="72"/>
      <c r="B52" s="87">
        <f ca="1">+'N° de Obs.'!M19</f>
        <v>105</v>
      </c>
      <c r="C52" s="87">
        <f ca="1">+'N° de Obs.'!N19</f>
        <v>54130</v>
      </c>
      <c r="D52" s="87">
        <f ca="1">+'N° de Obs.'!O19</f>
        <v>56836.5</v>
      </c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</row>
    <row r="53" spans="1:20" ht="15.6" x14ac:dyDescent="0.3">
      <c r="A53" s="72"/>
      <c r="B53" s="87">
        <f ca="1">+'N° de Obs.'!M20</f>
        <v>85</v>
      </c>
      <c r="C53" s="87">
        <f ca="1">+'N° de Obs.'!N20</f>
        <v>54105</v>
      </c>
      <c r="D53" s="87">
        <f ca="1">+'N° de Obs.'!O20</f>
        <v>45989.25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</row>
    <row r="54" spans="1:20" ht="15.6" x14ac:dyDescent="0.3">
      <c r="A54" s="72"/>
      <c r="B54" s="87">
        <f ca="1">+'N° de Obs.'!M21</f>
        <v>100</v>
      </c>
      <c r="C54" s="87">
        <f ca="1">+'N° de Obs.'!N21</f>
        <v>54668</v>
      </c>
      <c r="D54" s="87">
        <f ca="1">+'N° de Obs.'!O21</f>
        <v>54668</v>
      </c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</row>
    <row r="55" spans="1:20" ht="15.6" x14ac:dyDescent="0.3">
      <c r="A55" s="72"/>
      <c r="B55" s="87">
        <f ca="1">+'N° de Obs.'!M22</f>
        <v>100</v>
      </c>
      <c r="C55" s="87">
        <f ca="1">+'N° de Obs.'!N22</f>
        <v>53199</v>
      </c>
      <c r="D55" s="87">
        <f ca="1">+'N° de Obs.'!O22</f>
        <v>53199</v>
      </c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</row>
    <row r="56" spans="1:20" ht="15.6" x14ac:dyDescent="0.3">
      <c r="A56" s="72"/>
      <c r="B56" s="87">
        <f ca="1">+'N° de Obs.'!M23</f>
        <v>95</v>
      </c>
      <c r="C56" s="87">
        <f ca="1">+'N° de Obs.'!N23</f>
        <v>54459</v>
      </c>
      <c r="D56" s="87">
        <f ca="1">+'N° de Obs.'!O23</f>
        <v>51736.05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</row>
    <row r="57" spans="1:20" ht="15.6" x14ac:dyDescent="0.3">
      <c r="A57" s="72"/>
      <c r="B57" s="87">
        <f ca="1">+'N° de Obs.'!M24</f>
        <v>100</v>
      </c>
      <c r="C57" s="87">
        <f ca="1">+'N° de Obs.'!N24</f>
        <v>53675</v>
      </c>
      <c r="D57" s="87">
        <f ca="1">+'N° de Obs.'!O24</f>
        <v>53675</v>
      </c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</row>
    <row r="58" spans="1:20" ht="15.6" x14ac:dyDescent="0.3">
      <c r="A58" s="72"/>
      <c r="B58" s="87">
        <f ca="1">+'N° de Obs.'!M25</f>
        <v>95</v>
      </c>
      <c r="C58" s="87">
        <f ca="1">+'N° de Obs.'!N25</f>
        <v>53108</v>
      </c>
      <c r="D58" s="87">
        <f ca="1">+'N° de Obs.'!O25</f>
        <v>50452.6</v>
      </c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</row>
    <row r="59" spans="1:20" ht="15.6" x14ac:dyDescent="0.3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</row>
    <row r="60" spans="1:20" ht="15.6" x14ac:dyDescent="0.3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</row>
    <row r="61" spans="1:20" ht="15.6" x14ac:dyDescent="0.3">
      <c r="A61" s="72"/>
      <c r="B61" s="72"/>
      <c r="C61" s="72"/>
      <c r="D61" s="87" t="s">
        <v>23</v>
      </c>
      <c r="E61" s="87">
        <f ca="1">COUNTA(C39:C58)</f>
        <v>20</v>
      </c>
      <c r="F61" s="72"/>
      <c r="G61" s="72"/>
      <c r="H61" s="87">
        <f ca="1">MIN(D39:D58)</f>
        <v>45989.25</v>
      </c>
      <c r="I61" s="77">
        <v>100</v>
      </c>
      <c r="J61" s="78" t="s">
        <v>8</v>
      </c>
      <c r="K61" s="72"/>
      <c r="L61" s="87" t="s">
        <v>143</v>
      </c>
      <c r="M61" s="87">
        <f ca="1">ROUND(MIN(D39:D58),0)</f>
        <v>45989</v>
      </c>
      <c r="N61" s="72"/>
      <c r="O61" s="72"/>
      <c r="P61" s="72"/>
      <c r="Q61" s="72"/>
      <c r="R61" s="72"/>
    </row>
    <row r="62" spans="1:20" ht="15.6" x14ac:dyDescent="0.3">
      <c r="A62" s="72"/>
      <c r="B62" s="72"/>
      <c r="C62" s="72"/>
      <c r="D62" s="72"/>
      <c r="E62" s="72"/>
      <c r="F62" s="72"/>
      <c r="G62" s="72"/>
      <c r="H62" s="89">
        <f ca="1">(I62*H61)/I61</f>
        <v>2299.4625000000001</v>
      </c>
      <c r="I62" s="82">
        <v>5</v>
      </c>
      <c r="J62" s="83" t="s">
        <v>8</v>
      </c>
      <c r="K62" s="72"/>
      <c r="L62" s="87" t="s">
        <v>144</v>
      </c>
      <c r="M62" s="87">
        <f ca="1">ROUND(MAX(D39:D58),0)</f>
        <v>56837</v>
      </c>
      <c r="N62" s="72"/>
      <c r="O62" s="72"/>
      <c r="P62" s="72"/>
      <c r="Q62" s="72"/>
      <c r="R62" s="72"/>
    </row>
    <row r="63" spans="1:20" ht="15.6" x14ac:dyDescent="0.3">
      <c r="A63" s="72"/>
      <c r="B63" s="110" t="s">
        <v>24</v>
      </c>
      <c r="C63" s="110"/>
      <c r="D63" s="110"/>
      <c r="E63" s="87">
        <f ca="1">ROUND(SUM(D39:D58)/E61,0)</f>
        <v>52721</v>
      </c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</row>
    <row r="64" spans="1:20" ht="15.6" x14ac:dyDescent="0.3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</row>
    <row r="65" spans="1:18" ht="15.6" x14ac:dyDescent="0.3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</row>
    <row r="66" spans="1:18" ht="15.6" x14ac:dyDescent="0.3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</row>
    <row r="67" spans="1:18" ht="15.6" x14ac:dyDescent="0.3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</row>
    <row r="68" spans="1:18" x14ac:dyDescent="0.3">
      <c r="Q68" s="40"/>
      <c r="R68" s="40"/>
    </row>
    <row r="69" spans="1:18" x14ac:dyDescent="0.3">
      <c r="Q69" s="40"/>
      <c r="R69" s="40"/>
    </row>
    <row r="70" spans="1:18" x14ac:dyDescent="0.3">
      <c r="D70" s="52" t="str">
        <f>+'N° de Obs.'!G30</f>
        <v>Elemento Q</v>
      </c>
      <c r="E70" s="53"/>
      <c r="Q70" s="40"/>
      <c r="R70" s="40"/>
    </row>
    <row r="71" spans="1:18" s="72" customFormat="1" ht="15.6" x14ac:dyDescent="0.3"/>
    <row r="72" spans="1:18" ht="15.6" x14ac:dyDescent="0.3">
      <c r="A72" s="72"/>
      <c r="B72" s="36" t="s">
        <v>18</v>
      </c>
      <c r="C72" s="36" t="s">
        <v>19</v>
      </c>
      <c r="D72" s="36" t="s">
        <v>20</v>
      </c>
      <c r="E72" s="37" t="s">
        <v>133</v>
      </c>
      <c r="F72" s="37" t="s">
        <v>134</v>
      </c>
      <c r="G72" s="37" t="s">
        <v>135</v>
      </c>
      <c r="H72" s="37" t="s">
        <v>136</v>
      </c>
      <c r="I72" s="38" t="s">
        <v>97</v>
      </c>
      <c r="J72" s="38" t="s">
        <v>137</v>
      </c>
      <c r="K72" s="39">
        <f ca="1">ROUNDDOWN(H96,0)</f>
        <v>1065</v>
      </c>
      <c r="L72" s="72"/>
      <c r="M72" s="72"/>
      <c r="N72" s="72"/>
      <c r="O72" s="72"/>
      <c r="P72" s="72"/>
      <c r="Q72" s="72"/>
      <c r="R72" s="72"/>
    </row>
    <row r="73" spans="1:18" ht="15.6" x14ac:dyDescent="0.3">
      <c r="A73" s="72"/>
      <c r="B73" s="87">
        <f ca="1">+'N° de Obs.'!D34</f>
        <v>100</v>
      </c>
      <c r="C73" s="87">
        <f ca="1">+'N° de Obs.'!E34</f>
        <v>25507</v>
      </c>
      <c r="D73" s="87">
        <f ca="1">+'N° de Obs.'!F34</f>
        <v>25507</v>
      </c>
      <c r="E73" s="87">
        <f ca="1">IF(I73="","",IFERROR(F73*G73,""))</f>
        <v>0</v>
      </c>
      <c r="F73" s="87">
        <f ca="1">IF(I73="","",IFERROR(G73*H73,""))</f>
        <v>0</v>
      </c>
      <c r="G73" s="87">
        <v>0</v>
      </c>
      <c r="H73" s="87">
        <f ca="1">IF(I73="","",COUNTIF($D$73:$D$92,"&lt;="&amp;$J74))</f>
        <v>1</v>
      </c>
      <c r="I73" s="87">
        <f ca="1">ROUND(H95,0)</f>
        <v>21304</v>
      </c>
      <c r="J73" s="82"/>
      <c r="K73" s="78" t="s">
        <v>29</v>
      </c>
      <c r="L73" s="72"/>
      <c r="M73" s="72"/>
      <c r="N73" s="87" t="s">
        <v>138</v>
      </c>
      <c r="O73" s="87">
        <f ca="1">F79/H79</f>
        <v>3.45</v>
      </c>
      <c r="P73" s="72"/>
      <c r="Q73" s="72"/>
      <c r="R73" s="72"/>
    </row>
    <row r="74" spans="1:18" ht="15.6" x14ac:dyDescent="0.3">
      <c r="A74" s="72"/>
      <c r="B74" s="87">
        <f ca="1">+'N° de Obs.'!D35</f>
        <v>100</v>
      </c>
      <c r="C74" s="87">
        <f ca="1">+'N° de Obs.'!E35</f>
        <v>25626</v>
      </c>
      <c r="D74" s="87">
        <f ca="1">+'N° de Obs.'!F35</f>
        <v>25626</v>
      </c>
      <c r="E74" s="87">
        <f t="shared" ref="E74:E78" ca="1" si="11">IF(I74="","",IFERROR(F74*G74,""))</f>
        <v>1</v>
      </c>
      <c r="F74" s="87">
        <f t="shared" ref="F74:F78" ca="1" si="12">IF(I74="","",IFERROR(G74*H74,""))</f>
        <v>1</v>
      </c>
      <c r="G74" s="87">
        <v>1</v>
      </c>
      <c r="H74" s="87">
        <f ca="1">IF(I74="","",COUNTIFS($D$73:$D$92,"&lt;="&amp;$J75,$D$73:$D$92,"&gt;"&amp;$J74))</f>
        <v>1</v>
      </c>
      <c r="I74" s="87">
        <f t="shared" ref="I74:I79" ca="1" si="13">IFERROR(IF($I73+$K$72&lt;=$M$96,$I73+$K$72,""),"")</f>
        <v>22369</v>
      </c>
      <c r="J74" s="106">
        <f ca="1">IF(I73="","",IFERROR(($I73+$I74)/2,MAX($D$73:$D$92)))</f>
        <v>21836.5</v>
      </c>
      <c r="K74" s="78" t="s">
        <v>29</v>
      </c>
      <c r="L74" s="72"/>
      <c r="M74" s="72"/>
      <c r="N74" s="87" t="s">
        <v>139</v>
      </c>
      <c r="O74" s="87">
        <f ca="1">E79/H79</f>
        <v>13.85</v>
      </c>
      <c r="P74" s="72"/>
      <c r="Q74" s="72"/>
      <c r="R74" s="40"/>
    </row>
    <row r="75" spans="1:18" ht="15.6" x14ac:dyDescent="0.3">
      <c r="A75" s="72"/>
      <c r="B75" s="87">
        <f ca="1">+'N° de Obs.'!D36</f>
        <v>90</v>
      </c>
      <c r="C75" s="87">
        <f ca="1">+'N° de Obs.'!E36</f>
        <v>25371</v>
      </c>
      <c r="D75" s="87">
        <f ca="1">+'N° de Obs.'!F36</f>
        <v>22833.9</v>
      </c>
      <c r="E75" s="87">
        <f t="shared" ca="1" si="11"/>
        <v>12</v>
      </c>
      <c r="F75" s="87">
        <f t="shared" ca="1" si="12"/>
        <v>6</v>
      </c>
      <c r="G75" s="87">
        <v>2</v>
      </c>
      <c r="H75" s="87">
        <f t="shared" ref="H75:H78" ca="1" si="14">IF(I75="","",COUNTIFS($D$73:$D$92,"&lt;="&amp;$J76,$D$73:$D$92,"&gt;"&amp;$J75))</f>
        <v>3</v>
      </c>
      <c r="I75" s="87">
        <f t="shared" ca="1" si="13"/>
        <v>23434</v>
      </c>
      <c r="J75" s="106">
        <f t="shared" ref="J75:J79" ca="1" si="15">IF(I74="","",IFERROR(($I74+$I75)/2,MAX($D$73:$D$92)))</f>
        <v>22901.5</v>
      </c>
      <c r="K75" s="78" t="s">
        <v>150</v>
      </c>
      <c r="L75" s="72"/>
      <c r="M75" s="72"/>
      <c r="N75" s="72"/>
      <c r="O75" s="72"/>
      <c r="P75" s="72"/>
      <c r="Q75" s="72"/>
      <c r="R75" s="40"/>
    </row>
    <row r="76" spans="1:18" ht="15.6" x14ac:dyDescent="0.3">
      <c r="A76" s="72"/>
      <c r="B76" s="87">
        <f ca="1">+'N° de Obs.'!D37</f>
        <v>95</v>
      </c>
      <c r="C76" s="87">
        <f ca="1">+'N° de Obs.'!E37</f>
        <v>25139</v>
      </c>
      <c r="D76" s="87">
        <f ca="1">+'N° de Obs.'!F37</f>
        <v>23882.05</v>
      </c>
      <c r="E76" s="87">
        <f t="shared" ca="1" si="11"/>
        <v>27</v>
      </c>
      <c r="F76" s="87">
        <f t="shared" ca="1" si="12"/>
        <v>9</v>
      </c>
      <c r="G76" s="87">
        <v>3</v>
      </c>
      <c r="H76" s="87">
        <f t="shared" ca="1" si="14"/>
        <v>3</v>
      </c>
      <c r="I76" s="87">
        <f t="shared" ca="1" si="13"/>
        <v>24499</v>
      </c>
      <c r="J76" s="106">
        <f t="shared" ca="1" si="15"/>
        <v>23966.5</v>
      </c>
      <c r="K76" s="78" t="s">
        <v>150</v>
      </c>
      <c r="L76" s="72"/>
      <c r="M76" s="72"/>
      <c r="N76" s="87" t="s">
        <v>140</v>
      </c>
      <c r="O76" s="87">
        <f ca="1">H95+(K72*O73)</f>
        <v>24978.65</v>
      </c>
      <c r="P76" s="72"/>
      <c r="Q76" s="72"/>
      <c r="R76" s="40"/>
    </row>
    <row r="77" spans="1:18" ht="15.6" x14ac:dyDescent="0.3">
      <c r="A77" s="72"/>
      <c r="B77" s="87">
        <f ca="1">+'N° de Obs.'!D38</f>
        <v>100</v>
      </c>
      <c r="C77" s="87">
        <f ca="1">+'N° de Obs.'!E38</f>
        <v>25542</v>
      </c>
      <c r="D77" s="87">
        <f ca="1">+'N° de Obs.'!F38</f>
        <v>25542</v>
      </c>
      <c r="E77" s="87">
        <f t="shared" ca="1" si="11"/>
        <v>112</v>
      </c>
      <c r="F77" s="87">
        <f t="shared" ca="1" si="12"/>
        <v>28</v>
      </c>
      <c r="G77" s="87">
        <v>4</v>
      </c>
      <c r="H77" s="87">
        <f t="shared" ca="1" si="14"/>
        <v>7</v>
      </c>
      <c r="I77" s="87">
        <f t="shared" ca="1" si="13"/>
        <v>25564</v>
      </c>
      <c r="J77" s="106">
        <f t="shared" ca="1" si="15"/>
        <v>25031.5</v>
      </c>
      <c r="K77" s="78" t="s">
        <v>152</v>
      </c>
      <c r="L77" s="72"/>
      <c r="M77" s="72"/>
      <c r="N77" s="87" t="s">
        <v>141</v>
      </c>
      <c r="O77" s="109">
        <f ca="1">K72*(SQRT(O74-POWER(O73,2)))</f>
        <v>1486.2379309854791</v>
      </c>
      <c r="P77" s="72"/>
      <c r="Q77" s="72"/>
      <c r="R77" s="40"/>
    </row>
    <row r="78" spans="1:18" ht="16.2" thickBot="1" x14ac:dyDescent="0.35">
      <c r="A78" s="72"/>
      <c r="B78" s="87">
        <f ca="1">+'N° de Obs.'!D39</f>
        <v>100</v>
      </c>
      <c r="C78" s="87">
        <f ca="1">+'N° de Obs.'!E39</f>
        <v>25771</v>
      </c>
      <c r="D78" s="87">
        <f ca="1">+'N° de Obs.'!F39</f>
        <v>25771</v>
      </c>
      <c r="E78" s="87">
        <f t="shared" ca="1" si="11"/>
        <v>125</v>
      </c>
      <c r="F78" s="87">
        <f t="shared" ca="1" si="12"/>
        <v>25</v>
      </c>
      <c r="G78" s="87">
        <v>5</v>
      </c>
      <c r="H78" s="87">
        <f t="shared" ca="1" si="14"/>
        <v>5</v>
      </c>
      <c r="I78" s="87">
        <f t="shared" ca="1" si="13"/>
        <v>26629</v>
      </c>
      <c r="J78" s="106">
        <f t="shared" ca="1" si="15"/>
        <v>26096.5</v>
      </c>
      <c r="K78" s="78" t="s">
        <v>147</v>
      </c>
      <c r="L78" s="72"/>
      <c r="M78" s="72"/>
      <c r="N78" s="72"/>
      <c r="O78" s="72"/>
      <c r="P78" s="72"/>
      <c r="Q78" s="72"/>
      <c r="R78" s="40"/>
    </row>
    <row r="79" spans="1:18" ht="16.2" thickBot="1" x14ac:dyDescent="0.35">
      <c r="A79" s="72"/>
      <c r="B79" s="87">
        <f ca="1">+'N° de Obs.'!D40</f>
        <v>95</v>
      </c>
      <c r="C79" s="87">
        <f ca="1">+'N° de Obs.'!E40</f>
        <v>25353</v>
      </c>
      <c r="D79" s="87">
        <f ca="1">+'N° de Obs.'!F40</f>
        <v>24085.35</v>
      </c>
      <c r="E79" s="104">
        <f ca="1">SUM(E73:E85)</f>
        <v>277</v>
      </c>
      <c r="F79" s="105">
        <f ca="1">SUM(F73:F85)</f>
        <v>69</v>
      </c>
      <c r="G79" s="72"/>
      <c r="H79" s="105">
        <f ca="1">SUM(H73:H85)</f>
        <v>20</v>
      </c>
      <c r="I79" s="107" t="str">
        <f t="shared" ca="1" si="13"/>
        <v/>
      </c>
      <c r="J79" s="108">
        <f t="shared" ca="1" si="15"/>
        <v>26888.400000000001</v>
      </c>
      <c r="K79" s="72"/>
      <c r="L79" s="72"/>
      <c r="M79" s="72"/>
      <c r="N79" s="87" t="s">
        <v>142</v>
      </c>
      <c r="O79" s="87">
        <f ca="1">(O77*100)/O76</f>
        <v>5.9500330521684672</v>
      </c>
      <c r="P79" s="87" t="s">
        <v>8</v>
      </c>
      <c r="Q79" s="72"/>
      <c r="R79" s="40"/>
    </row>
    <row r="80" spans="1:18" ht="15.6" x14ac:dyDescent="0.3">
      <c r="A80" s="72"/>
      <c r="B80" s="87">
        <f ca="1">+'N° de Obs.'!D41</f>
        <v>100</v>
      </c>
      <c r="C80" s="87">
        <f ca="1">+'N° de Obs.'!E41</f>
        <v>25470</v>
      </c>
      <c r="D80" s="87">
        <f ca="1">+'N° de Obs.'!F41</f>
        <v>25470</v>
      </c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40"/>
    </row>
    <row r="81" spans="1:18" ht="15.6" x14ac:dyDescent="0.3">
      <c r="A81" s="72"/>
      <c r="B81" s="87">
        <f ca="1">+'N° de Obs.'!D42</f>
        <v>100</v>
      </c>
      <c r="C81" s="87">
        <f ca="1">+'N° de Obs.'!E42</f>
        <v>25673</v>
      </c>
      <c r="D81" s="87">
        <f ca="1">+'N° de Obs.'!F42</f>
        <v>25673</v>
      </c>
      <c r="E81" s="72"/>
      <c r="F81" s="72"/>
      <c r="G81" s="72"/>
      <c r="H81" s="72"/>
      <c r="I81" s="72"/>
      <c r="J81" s="72"/>
      <c r="K81" s="72"/>
      <c r="L81" s="72"/>
      <c r="M81" s="72"/>
      <c r="N81" s="103" t="str">
        <f ca="1">IF(O79&lt;6,"Se puede continuar con el estudio","No se puede continuar con el estudio")</f>
        <v>Se puede continuar con el estudio</v>
      </c>
      <c r="O81" s="103"/>
      <c r="P81" s="72"/>
      <c r="Q81" s="72"/>
      <c r="R81" s="40"/>
    </row>
    <row r="82" spans="1:18" ht="15.6" x14ac:dyDescent="0.3">
      <c r="A82" s="72"/>
      <c r="B82" s="87">
        <f ca="1">+'N° de Obs.'!D43</f>
        <v>105</v>
      </c>
      <c r="C82" s="87">
        <f ca="1">+'N° de Obs.'!E43</f>
        <v>25052</v>
      </c>
      <c r="D82" s="87">
        <f ca="1">+'N° de Obs.'!F43</f>
        <v>26304.6</v>
      </c>
      <c r="E82" s="72"/>
      <c r="F82" s="72"/>
      <c r="G82" s="72"/>
      <c r="H82" s="72"/>
      <c r="I82" s="72"/>
      <c r="J82" s="72"/>
      <c r="K82" s="72"/>
      <c r="L82" s="72"/>
      <c r="M82" s="72"/>
      <c r="N82" s="103"/>
      <c r="O82" s="103"/>
      <c r="P82" s="72"/>
      <c r="Q82" s="72"/>
      <c r="R82" s="40"/>
    </row>
    <row r="83" spans="1:18" ht="15.6" x14ac:dyDescent="0.3">
      <c r="A83" s="72"/>
      <c r="B83" s="87">
        <f ca="1">+'N° de Obs.'!D44</f>
        <v>105</v>
      </c>
      <c r="C83" s="87">
        <f ca="1">+'N° de Obs.'!E44</f>
        <v>25558</v>
      </c>
      <c r="D83" s="87">
        <f ca="1">+'N° de Obs.'!F44</f>
        <v>26835.9</v>
      </c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40"/>
    </row>
    <row r="84" spans="1:18" ht="15.6" x14ac:dyDescent="0.3">
      <c r="A84" s="72"/>
      <c r="B84" s="87">
        <f ca="1">+'N° de Obs.'!D45</f>
        <v>105</v>
      </c>
      <c r="C84" s="87">
        <f ca="1">+'N° de Obs.'!E45</f>
        <v>25296</v>
      </c>
      <c r="D84" s="87">
        <f ca="1">+'N° de Obs.'!F45</f>
        <v>26560.799999999999</v>
      </c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40"/>
    </row>
    <row r="85" spans="1:18" ht="15.6" x14ac:dyDescent="0.3">
      <c r="A85" s="72"/>
      <c r="B85" s="87">
        <f ca="1">+'N° de Obs.'!D46</f>
        <v>95</v>
      </c>
      <c r="C85" s="87">
        <f ca="1">+'N° de Obs.'!E46</f>
        <v>25407</v>
      </c>
      <c r="D85" s="87">
        <f ca="1">+'N° de Obs.'!F46</f>
        <v>24136.65</v>
      </c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40"/>
    </row>
    <row r="86" spans="1:18" ht="15.6" x14ac:dyDescent="0.3">
      <c r="A86" s="72"/>
      <c r="B86" s="87">
        <f ca="1">+'N° de Obs.'!D47</f>
        <v>90</v>
      </c>
      <c r="C86" s="87">
        <f ca="1">+'N° de Obs.'!E47</f>
        <v>25468</v>
      </c>
      <c r="D86" s="87">
        <f ca="1">+'N° de Obs.'!F47</f>
        <v>22921.200000000001</v>
      </c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40"/>
    </row>
    <row r="87" spans="1:18" ht="15.6" x14ac:dyDescent="0.3">
      <c r="A87" s="72"/>
      <c r="B87" s="87">
        <f ca="1">+'N° de Obs.'!D48</f>
        <v>85</v>
      </c>
      <c r="C87" s="87">
        <f ca="1">+'N° de Obs.'!E48</f>
        <v>25064</v>
      </c>
      <c r="D87" s="87">
        <f ca="1">+'N° de Obs.'!F48</f>
        <v>21304.400000000001</v>
      </c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40"/>
    </row>
    <row r="88" spans="1:18" ht="15.6" x14ac:dyDescent="0.3">
      <c r="A88" s="72"/>
      <c r="B88" s="87">
        <f ca="1">+'N° de Obs.'!D49</f>
        <v>105</v>
      </c>
      <c r="C88" s="87">
        <f ca="1">+'N° de Obs.'!E49</f>
        <v>25299</v>
      </c>
      <c r="D88" s="87">
        <f ca="1">+'N° de Obs.'!F49</f>
        <v>26563.95</v>
      </c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40"/>
    </row>
    <row r="89" spans="1:18" ht="15.6" x14ac:dyDescent="0.3">
      <c r="A89" s="72"/>
      <c r="B89" s="87">
        <f ca="1">+'N° de Obs.'!D50</f>
        <v>90</v>
      </c>
      <c r="C89" s="87">
        <f ca="1">+'N° de Obs.'!E50</f>
        <v>25915</v>
      </c>
      <c r="D89" s="87">
        <f ca="1">+'N° de Obs.'!F50</f>
        <v>23323.5</v>
      </c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40"/>
    </row>
    <row r="90" spans="1:18" ht="15.6" x14ac:dyDescent="0.3">
      <c r="A90" s="72"/>
      <c r="B90" s="87">
        <f ca="1">+'N° de Obs.'!D51</f>
        <v>95</v>
      </c>
      <c r="C90" s="87">
        <f ca="1">+'N° de Obs.'!E51</f>
        <v>25397</v>
      </c>
      <c r="D90" s="87">
        <f ca="1">+'N° de Obs.'!F51</f>
        <v>24127.15</v>
      </c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40"/>
    </row>
    <row r="91" spans="1:18" ht="15.6" x14ac:dyDescent="0.3">
      <c r="A91" s="72"/>
      <c r="B91" s="87">
        <f ca="1">+'N° de Obs.'!D52</f>
        <v>100</v>
      </c>
      <c r="C91" s="87">
        <f ca="1">+'N° de Obs.'!E52</f>
        <v>25759</v>
      </c>
      <c r="D91" s="87">
        <f ca="1">+'N° de Obs.'!F52</f>
        <v>25759</v>
      </c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40"/>
    </row>
    <row r="92" spans="1:18" ht="15.6" x14ac:dyDescent="0.3">
      <c r="A92" s="72"/>
      <c r="B92" s="87">
        <f ca="1">+'N° de Obs.'!D53</f>
        <v>105</v>
      </c>
      <c r="C92" s="87">
        <f ca="1">+'N° de Obs.'!E53</f>
        <v>25608</v>
      </c>
      <c r="D92" s="87">
        <f ca="1">+'N° de Obs.'!F53</f>
        <v>26888.400000000001</v>
      </c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40"/>
    </row>
    <row r="93" spans="1:18" ht="15.6" x14ac:dyDescent="0.3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40"/>
    </row>
    <row r="94" spans="1:18" ht="15.6" x14ac:dyDescent="0.3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40"/>
    </row>
    <row r="95" spans="1:18" ht="15.6" x14ac:dyDescent="0.3">
      <c r="A95" s="72"/>
      <c r="B95" s="72"/>
      <c r="C95" s="72"/>
      <c r="D95" s="87" t="s">
        <v>23</v>
      </c>
      <c r="E95" s="87">
        <f ca="1">COUNTA(C73:C92)</f>
        <v>20</v>
      </c>
      <c r="F95" s="72"/>
      <c r="G95" s="72"/>
      <c r="H95" s="87">
        <f ca="1">MIN(D73:D92)</f>
        <v>21304.400000000001</v>
      </c>
      <c r="I95" s="77">
        <v>100</v>
      </c>
      <c r="J95" s="78" t="s">
        <v>8</v>
      </c>
      <c r="K95" s="72"/>
      <c r="L95" s="87" t="s">
        <v>143</v>
      </c>
      <c r="M95" s="87">
        <f ca="1">ROUND(MIN(D73:D92),0)</f>
        <v>21304</v>
      </c>
      <c r="N95" s="72"/>
      <c r="O95" s="72"/>
      <c r="P95" s="72"/>
      <c r="Q95" s="72"/>
      <c r="R95" s="40"/>
    </row>
    <row r="96" spans="1:18" ht="15.6" x14ac:dyDescent="0.3">
      <c r="A96" s="72"/>
      <c r="B96" s="72"/>
      <c r="C96" s="72"/>
      <c r="D96" s="72"/>
      <c r="E96" s="72"/>
      <c r="F96" s="72"/>
      <c r="G96" s="72"/>
      <c r="H96" s="89">
        <f ca="1">(I96*H95)/I95</f>
        <v>1065.22</v>
      </c>
      <c r="I96" s="82">
        <v>5</v>
      </c>
      <c r="J96" s="83" t="s">
        <v>8</v>
      </c>
      <c r="K96" s="72"/>
      <c r="L96" s="87" t="s">
        <v>144</v>
      </c>
      <c r="M96" s="87">
        <f ca="1">ROUND(MAX(D73:D92),0)</f>
        <v>26888</v>
      </c>
      <c r="N96" s="72"/>
      <c r="O96" s="72"/>
      <c r="P96" s="72"/>
      <c r="Q96" s="72"/>
      <c r="R96" s="40"/>
    </row>
    <row r="97" spans="1:18" ht="15.6" x14ac:dyDescent="0.3">
      <c r="A97" s="72"/>
      <c r="B97" s="110" t="s">
        <v>24</v>
      </c>
      <c r="C97" s="110"/>
      <c r="D97" s="110"/>
      <c r="E97" s="87">
        <f ca="1">ROUND(SUM(D73:D92)/E95,0)</f>
        <v>24956</v>
      </c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40"/>
    </row>
    <row r="98" spans="1:18" ht="15.6" x14ac:dyDescent="0.3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40"/>
    </row>
    <row r="99" spans="1:18" ht="15.6" x14ac:dyDescent="0.3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40"/>
    </row>
    <row r="100" spans="1:18" x14ac:dyDescent="0.3">
      <c r="Q100" s="40"/>
      <c r="R100" s="40"/>
    </row>
    <row r="101" spans="1:18" x14ac:dyDescent="0.3">
      <c r="Q101" s="40"/>
      <c r="R101" s="40"/>
    </row>
    <row r="102" spans="1:18" x14ac:dyDescent="0.3">
      <c r="Q102" s="40"/>
      <c r="R102" s="40"/>
    </row>
    <row r="103" spans="1:18" x14ac:dyDescent="0.3">
      <c r="Q103" s="40"/>
      <c r="R103" s="40"/>
    </row>
    <row r="104" spans="1:18" x14ac:dyDescent="0.3">
      <c r="Q104" s="40"/>
      <c r="R104" s="40"/>
    </row>
    <row r="105" spans="1:18" x14ac:dyDescent="0.3">
      <c r="Q105" s="40"/>
      <c r="R105" s="40"/>
    </row>
    <row r="106" spans="1:18" x14ac:dyDescent="0.3">
      <c r="Q106" s="40"/>
      <c r="R106" s="40"/>
    </row>
    <row r="107" spans="1:18" x14ac:dyDescent="0.3">
      <c r="Q107" s="40"/>
      <c r="R107" s="40"/>
    </row>
    <row r="108" spans="1:18" x14ac:dyDescent="0.3">
      <c r="Q108" s="40"/>
      <c r="R108" s="40"/>
    </row>
    <row r="109" spans="1:18" x14ac:dyDescent="0.3">
      <c r="Q109" s="40"/>
      <c r="R109" s="40"/>
    </row>
    <row r="110" spans="1:18" x14ac:dyDescent="0.3">
      <c r="Q110" s="40"/>
      <c r="R110" s="40"/>
    </row>
    <row r="111" spans="1:18" x14ac:dyDescent="0.3">
      <c r="Q111" s="40"/>
      <c r="R111" s="40"/>
    </row>
    <row r="112" spans="1:18" x14ac:dyDescent="0.3">
      <c r="Q112" s="40"/>
      <c r="R112" s="40"/>
    </row>
    <row r="113" spans="17:18" x14ac:dyDescent="0.3">
      <c r="Q113" s="40"/>
      <c r="R113" s="40"/>
    </row>
    <row r="114" spans="17:18" x14ac:dyDescent="0.3">
      <c r="Q114" s="40"/>
      <c r="R114" s="40"/>
    </row>
    <row r="115" spans="17:18" x14ac:dyDescent="0.3">
      <c r="Q115" s="40"/>
      <c r="R115" s="40"/>
    </row>
    <row r="116" spans="17:18" x14ac:dyDescent="0.3">
      <c r="Q116" s="40"/>
      <c r="R116" s="40"/>
    </row>
    <row r="117" spans="17:18" x14ac:dyDescent="0.3">
      <c r="Q117" s="40"/>
      <c r="R117" s="40"/>
    </row>
    <row r="118" spans="17:18" x14ac:dyDescent="0.3">
      <c r="Q118" s="40"/>
      <c r="R118" s="40"/>
    </row>
    <row r="119" spans="17:18" x14ac:dyDescent="0.3">
      <c r="Q119" s="40"/>
      <c r="R119" s="40"/>
    </row>
    <row r="120" spans="17:18" x14ac:dyDescent="0.3">
      <c r="Q120" s="40"/>
      <c r="R120" s="40"/>
    </row>
    <row r="121" spans="17:18" x14ac:dyDescent="0.3">
      <c r="Q121" s="40"/>
      <c r="R121" s="40"/>
    </row>
    <row r="122" spans="17:18" x14ac:dyDescent="0.3">
      <c r="Q122" s="40"/>
      <c r="R122" s="40"/>
    </row>
    <row r="123" spans="17:18" x14ac:dyDescent="0.3">
      <c r="Q123" s="40"/>
      <c r="R123" s="40"/>
    </row>
    <row r="124" spans="17:18" x14ac:dyDescent="0.3">
      <c r="Q124" s="40"/>
      <c r="R124" s="40"/>
    </row>
    <row r="125" spans="17:18" x14ac:dyDescent="0.3">
      <c r="Q125" s="40"/>
      <c r="R125" s="40"/>
    </row>
    <row r="126" spans="17:18" x14ac:dyDescent="0.3">
      <c r="Q126" s="40"/>
      <c r="R126" s="40"/>
    </row>
    <row r="127" spans="17:18" x14ac:dyDescent="0.3">
      <c r="Q127" s="40"/>
      <c r="R127" s="40"/>
    </row>
    <row r="128" spans="17:18" x14ac:dyDescent="0.3">
      <c r="Q128" s="40"/>
      <c r="R128" s="40"/>
    </row>
    <row r="129" spans="17:18" x14ac:dyDescent="0.3">
      <c r="Q129" s="40"/>
      <c r="R129" s="40"/>
    </row>
    <row r="130" spans="17:18" x14ac:dyDescent="0.3">
      <c r="Q130" s="40"/>
      <c r="R130" s="40"/>
    </row>
    <row r="131" spans="17:18" x14ac:dyDescent="0.3">
      <c r="Q131" s="40"/>
      <c r="R131" s="40"/>
    </row>
    <row r="132" spans="17:18" x14ac:dyDescent="0.3">
      <c r="Q132" s="40"/>
      <c r="R132" s="40"/>
    </row>
    <row r="133" spans="17:18" x14ac:dyDescent="0.3">
      <c r="Q133" s="40"/>
      <c r="R133" s="40"/>
    </row>
    <row r="134" spans="17:18" x14ac:dyDescent="0.3">
      <c r="Q134" s="40"/>
      <c r="R134" s="40"/>
    </row>
    <row r="135" spans="17:18" x14ac:dyDescent="0.3">
      <c r="Q135" s="40"/>
      <c r="R135" s="40"/>
    </row>
    <row r="136" spans="17:18" x14ac:dyDescent="0.3">
      <c r="Q136" s="40"/>
      <c r="R136" s="40"/>
    </row>
    <row r="137" spans="17:18" x14ac:dyDescent="0.3">
      <c r="Q137" s="40"/>
      <c r="R137" s="40"/>
    </row>
    <row r="138" spans="17:18" x14ac:dyDescent="0.3">
      <c r="Q138" s="40"/>
      <c r="R138" s="40"/>
    </row>
    <row r="139" spans="17:18" x14ac:dyDescent="0.3">
      <c r="Q139" s="40"/>
      <c r="R139" s="40"/>
    </row>
    <row r="140" spans="17:18" x14ac:dyDescent="0.3">
      <c r="Q140" s="40"/>
      <c r="R140" s="40"/>
    </row>
    <row r="141" spans="17:18" x14ac:dyDescent="0.3">
      <c r="Q141" s="40"/>
      <c r="R141" s="40"/>
    </row>
    <row r="142" spans="17:18" x14ac:dyDescent="0.3">
      <c r="Q142" s="40"/>
      <c r="R142" s="40"/>
    </row>
    <row r="143" spans="17:18" x14ac:dyDescent="0.3">
      <c r="Q143" s="40"/>
      <c r="R143" s="40"/>
    </row>
    <row r="144" spans="17:18" x14ac:dyDescent="0.3">
      <c r="Q144" s="40"/>
      <c r="R144" s="40"/>
    </row>
    <row r="145" spans="17:18" x14ac:dyDescent="0.3">
      <c r="Q145" s="40"/>
      <c r="R145" s="40"/>
    </row>
    <row r="146" spans="17:18" x14ac:dyDescent="0.3">
      <c r="Q146" s="40"/>
      <c r="R146" s="40"/>
    </row>
    <row r="147" spans="17:18" x14ac:dyDescent="0.3">
      <c r="Q147" s="40"/>
      <c r="R147" s="40"/>
    </row>
    <row r="148" spans="17:18" x14ac:dyDescent="0.3">
      <c r="Q148" s="40"/>
      <c r="R148" s="40"/>
    </row>
    <row r="149" spans="17:18" x14ac:dyDescent="0.3">
      <c r="Q149" s="40"/>
      <c r="R149" s="40"/>
    </row>
    <row r="150" spans="17:18" x14ac:dyDescent="0.3">
      <c r="Q150" s="40"/>
      <c r="R150" s="40"/>
    </row>
    <row r="151" spans="17:18" x14ac:dyDescent="0.3">
      <c r="Q151" s="40"/>
      <c r="R151" s="40"/>
    </row>
    <row r="152" spans="17:18" x14ac:dyDescent="0.3">
      <c r="Q152" s="40"/>
      <c r="R152" s="40"/>
    </row>
    <row r="153" spans="17:18" x14ac:dyDescent="0.3">
      <c r="Q153" s="40"/>
      <c r="R153" s="40"/>
    </row>
    <row r="154" spans="17:18" x14ac:dyDescent="0.3">
      <c r="Q154" s="40"/>
      <c r="R154" s="40"/>
    </row>
    <row r="155" spans="17:18" x14ac:dyDescent="0.3">
      <c r="Q155" s="40"/>
      <c r="R155" s="40"/>
    </row>
    <row r="156" spans="17:18" x14ac:dyDescent="0.3">
      <c r="Q156" s="40"/>
      <c r="R156" s="40"/>
    </row>
    <row r="157" spans="17:18" x14ac:dyDescent="0.3">
      <c r="Q157" s="40"/>
      <c r="R157" s="40"/>
    </row>
    <row r="158" spans="17:18" x14ac:dyDescent="0.3">
      <c r="Q158" s="40"/>
      <c r="R158" s="40"/>
    </row>
    <row r="159" spans="17:18" x14ac:dyDescent="0.3">
      <c r="Q159" s="40"/>
      <c r="R159" s="40"/>
    </row>
    <row r="160" spans="17:18" x14ac:dyDescent="0.3">
      <c r="Q160" s="40"/>
      <c r="R160" s="40"/>
    </row>
    <row r="161" spans="17:18" x14ac:dyDescent="0.3">
      <c r="Q161" s="40"/>
      <c r="R161" s="40"/>
    </row>
    <row r="162" spans="17:18" x14ac:dyDescent="0.3">
      <c r="Q162" s="40"/>
      <c r="R162" s="40"/>
    </row>
    <row r="163" spans="17:18" x14ac:dyDescent="0.3">
      <c r="Q163" s="40"/>
      <c r="R163" s="40"/>
    </row>
    <row r="164" spans="17:18" x14ac:dyDescent="0.3">
      <c r="Q164" s="40"/>
      <c r="R164" s="40"/>
    </row>
    <row r="165" spans="17:18" x14ac:dyDescent="0.3">
      <c r="Q165" s="40"/>
      <c r="R165" s="40"/>
    </row>
    <row r="166" spans="17:18" x14ac:dyDescent="0.3">
      <c r="Q166" s="40"/>
      <c r="R166" s="40"/>
    </row>
    <row r="167" spans="17:18" x14ac:dyDescent="0.3">
      <c r="Q167" s="40"/>
      <c r="R167" s="40"/>
    </row>
    <row r="168" spans="17:18" x14ac:dyDescent="0.3">
      <c r="Q168" s="40"/>
      <c r="R168" s="40"/>
    </row>
    <row r="169" spans="17:18" x14ac:dyDescent="0.3">
      <c r="Q169" s="40"/>
      <c r="R169" s="40"/>
    </row>
    <row r="170" spans="17:18" x14ac:dyDescent="0.3">
      <c r="Q170" s="40"/>
      <c r="R170" s="40"/>
    </row>
    <row r="171" spans="17:18" x14ac:dyDescent="0.3">
      <c r="Q171" s="40"/>
      <c r="R171" s="40"/>
    </row>
    <row r="172" spans="17:18" x14ac:dyDescent="0.3">
      <c r="Q172" s="40"/>
      <c r="R172" s="40"/>
    </row>
    <row r="173" spans="17:18" x14ac:dyDescent="0.3">
      <c r="Q173" s="40"/>
      <c r="R173" s="40"/>
    </row>
    <row r="174" spans="17:18" x14ac:dyDescent="0.3">
      <c r="Q174" s="40"/>
      <c r="R174" s="40"/>
    </row>
    <row r="175" spans="17:18" x14ac:dyDescent="0.3">
      <c r="Q175" s="40"/>
      <c r="R175" s="40"/>
    </row>
    <row r="176" spans="17:18" x14ac:dyDescent="0.3">
      <c r="Q176" s="40"/>
      <c r="R176" s="40"/>
    </row>
    <row r="177" spans="17:18" x14ac:dyDescent="0.3">
      <c r="Q177" s="40"/>
      <c r="R177" s="40"/>
    </row>
    <row r="178" spans="17:18" x14ac:dyDescent="0.3">
      <c r="Q178" s="40"/>
      <c r="R178" s="40"/>
    </row>
    <row r="179" spans="17:18" x14ac:dyDescent="0.3">
      <c r="Q179" s="40"/>
      <c r="R179" s="40"/>
    </row>
    <row r="180" spans="17:18" x14ac:dyDescent="0.3">
      <c r="Q180" s="40"/>
      <c r="R180" s="40"/>
    </row>
    <row r="181" spans="17:18" x14ac:dyDescent="0.3">
      <c r="Q181" s="40"/>
      <c r="R181" s="40"/>
    </row>
    <row r="182" spans="17:18" x14ac:dyDescent="0.3">
      <c r="Q182" s="40"/>
      <c r="R182" s="40"/>
    </row>
    <row r="183" spans="17:18" x14ac:dyDescent="0.3">
      <c r="Q183" s="40"/>
      <c r="R183" s="40"/>
    </row>
    <row r="184" spans="17:18" x14ac:dyDescent="0.3">
      <c r="Q184" s="40"/>
      <c r="R184" s="40"/>
    </row>
    <row r="185" spans="17:18" x14ac:dyDescent="0.3">
      <c r="Q185" s="40"/>
      <c r="R185" s="40"/>
    </row>
    <row r="186" spans="17:18" x14ac:dyDescent="0.3">
      <c r="Q186" s="40"/>
      <c r="R186" s="40"/>
    </row>
    <row r="187" spans="17:18" x14ac:dyDescent="0.3">
      <c r="Q187" s="40"/>
      <c r="R187" s="40"/>
    </row>
    <row r="188" spans="17:18" x14ac:dyDescent="0.3">
      <c r="Q188" s="40"/>
      <c r="R188" s="40"/>
    </row>
    <row r="189" spans="17:18" x14ac:dyDescent="0.3">
      <c r="Q189" s="40"/>
      <c r="R189" s="40"/>
    </row>
    <row r="190" spans="17:18" x14ac:dyDescent="0.3">
      <c r="Q190" s="40"/>
      <c r="R190" s="40"/>
    </row>
    <row r="191" spans="17:18" x14ac:dyDescent="0.3">
      <c r="Q191" s="40"/>
      <c r="R191" s="40"/>
    </row>
    <row r="192" spans="17:18" x14ac:dyDescent="0.3">
      <c r="Q192" s="40"/>
      <c r="R192" s="40"/>
    </row>
    <row r="193" spans="17:18" x14ac:dyDescent="0.3">
      <c r="Q193" s="40"/>
      <c r="R193" s="40"/>
    </row>
    <row r="194" spans="17:18" x14ac:dyDescent="0.3">
      <c r="Q194" s="40"/>
      <c r="R194" s="40"/>
    </row>
    <row r="195" spans="17:18" x14ac:dyDescent="0.3">
      <c r="Q195" s="40"/>
      <c r="R195" s="40"/>
    </row>
    <row r="196" spans="17:18" x14ac:dyDescent="0.3">
      <c r="Q196" s="40"/>
      <c r="R196" s="40"/>
    </row>
    <row r="197" spans="17:18" x14ac:dyDescent="0.3">
      <c r="Q197" s="40"/>
      <c r="R197" s="40"/>
    </row>
    <row r="198" spans="17:18" x14ac:dyDescent="0.3">
      <c r="Q198" s="40"/>
      <c r="R198" s="40"/>
    </row>
    <row r="199" spans="17:18" x14ac:dyDescent="0.3">
      <c r="Q199" s="40"/>
      <c r="R199" s="40"/>
    </row>
    <row r="200" spans="17:18" x14ac:dyDescent="0.3">
      <c r="Q200" s="40"/>
      <c r="R200" s="40"/>
    </row>
    <row r="201" spans="17:18" x14ac:dyDescent="0.3">
      <c r="Q201" s="40"/>
      <c r="R201" s="40"/>
    </row>
    <row r="202" spans="17:18" x14ac:dyDescent="0.3">
      <c r="Q202" s="40"/>
      <c r="R202" s="40"/>
    </row>
    <row r="203" spans="17:18" x14ac:dyDescent="0.3">
      <c r="Q203" s="40"/>
      <c r="R203" s="40"/>
    </row>
    <row r="204" spans="17:18" x14ac:dyDescent="0.3">
      <c r="Q204" s="40"/>
      <c r="R204" s="40"/>
    </row>
    <row r="205" spans="17:18" x14ac:dyDescent="0.3">
      <c r="Q205" s="40"/>
      <c r="R205" s="40"/>
    </row>
    <row r="206" spans="17:18" x14ac:dyDescent="0.3">
      <c r="Q206" s="40"/>
      <c r="R206" s="40"/>
    </row>
    <row r="207" spans="17:18" x14ac:dyDescent="0.3">
      <c r="Q207" s="40"/>
      <c r="R207" s="40"/>
    </row>
    <row r="208" spans="17:18" x14ac:dyDescent="0.3">
      <c r="Q208" s="40"/>
      <c r="R208" s="40"/>
    </row>
    <row r="209" spans="17:18" x14ac:dyDescent="0.3">
      <c r="Q209" s="40"/>
      <c r="R209" s="40"/>
    </row>
    <row r="210" spans="17:18" x14ac:dyDescent="0.3">
      <c r="Q210" s="40"/>
      <c r="R210" s="40"/>
    </row>
    <row r="211" spans="17:18" x14ac:dyDescent="0.3">
      <c r="Q211" s="40"/>
      <c r="R211" s="40"/>
    </row>
    <row r="212" spans="17:18" x14ac:dyDescent="0.3">
      <c r="Q212" s="40"/>
      <c r="R212" s="40"/>
    </row>
    <row r="213" spans="17:18" x14ac:dyDescent="0.3">
      <c r="Q213" s="40"/>
      <c r="R213" s="40"/>
    </row>
    <row r="214" spans="17:18" x14ac:dyDescent="0.3">
      <c r="Q214" s="40"/>
      <c r="R214" s="40"/>
    </row>
    <row r="215" spans="17:18" x14ac:dyDescent="0.3">
      <c r="Q215" s="40"/>
      <c r="R215" s="40"/>
    </row>
    <row r="216" spans="17:18" x14ac:dyDescent="0.3">
      <c r="Q216" s="40"/>
      <c r="R216" s="40"/>
    </row>
    <row r="217" spans="17:18" x14ac:dyDescent="0.3">
      <c r="Q217" s="40"/>
      <c r="R217" s="40"/>
    </row>
    <row r="218" spans="17:18" x14ac:dyDescent="0.3">
      <c r="Q218" s="40"/>
      <c r="R218" s="40"/>
    </row>
    <row r="219" spans="17:18" x14ac:dyDescent="0.3">
      <c r="Q219" s="40"/>
      <c r="R219" s="40"/>
    </row>
    <row r="220" spans="17:18" x14ac:dyDescent="0.3">
      <c r="Q220" s="40"/>
      <c r="R220" s="40"/>
    </row>
    <row r="221" spans="17:18" x14ac:dyDescent="0.3">
      <c r="Q221" s="40"/>
      <c r="R221" s="40"/>
    </row>
    <row r="222" spans="17:18" x14ac:dyDescent="0.3">
      <c r="Q222" s="40"/>
      <c r="R222" s="40"/>
    </row>
    <row r="223" spans="17:18" x14ac:dyDescent="0.3">
      <c r="Q223" s="40"/>
      <c r="R223" s="40"/>
    </row>
    <row r="224" spans="17:18" x14ac:dyDescent="0.3">
      <c r="Q224" s="40"/>
      <c r="R224" s="40"/>
    </row>
    <row r="225" spans="17:18" x14ac:dyDescent="0.3">
      <c r="Q225" s="40"/>
      <c r="R225" s="40"/>
    </row>
    <row r="226" spans="17:18" x14ac:dyDescent="0.3">
      <c r="Q226" s="40"/>
      <c r="R226" s="40"/>
    </row>
    <row r="227" spans="17:18" x14ac:dyDescent="0.3">
      <c r="Q227" s="40"/>
      <c r="R227" s="40"/>
    </row>
    <row r="228" spans="17:18" x14ac:dyDescent="0.3">
      <c r="Q228" s="40"/>
      <c r="R228" s="40"/>
    </row>
    <row r="229" spans="17:18" x14ac:dyDescent="0.3">
      <c r="Q229" s="40"/>
      <c r="R229" s="40"/>
    </row>
    <row r="230" spans="17:18" x14ac:dyDescent="0.3">
      <c r="Q230" s="40"/>
      <c r="R230" s="40"/>
    </row>
    <row r="231" spans="17:18" x14ac:dyDescent="0.3">
      <c r="Q231" s="40"/>
      <c r="R231" s="40"/>
    </row>
    <row r="232" spans="17:18" x14ac:dyDescent="0.3">
      <c r="Q232" s="40"/>
      <c r="R232" s="40"/>
    </row>
    <row r="233" spans="17:18" x14ac:dyDescent="0.3">
      <c r="Q233" s="40"/>
      <c r="R233" s="40"/>
    </row>
    <row r="234" spans="17:18" x14ac:dyDescent="0.3">
      <c r="Q234" s="40"/>
      <c r="R234" s="40"/>
    </row>
    <row r="235" spans="17:18" x14ac:dyDescent="0.3">
      <c r="Q235" s="40"/>
      <c r="R235" s="40"/>
    </row>
    <row r="236" spans="17:18" x14ac:dyDescent="0.3">
      <c r="Q236" s="40"/>
      <c r="R236" s="40"/>
    </row>
    <row r="237" spans="17:18" x14ac:dyDescent="0.3">
      <c r="Q237" s="40"/>
      <c r="R237" s="40"/>
    </row>
    <row r="238" spans="17:18" x14ac:dyDescent="0.3">
      <c r="Q238" s="40"/>
      <c r="R238" s="40"/>
    </row>
    <row r="239" spans="17:18" x14ac:dyDescent="0.3">
      <c r="Q239" s="40"/>
      <c r="R239" s="40"/>
    </row>
    <row r="240" spans="17:18" x14ac:dyDescent="0.3">
      <c r="Q240" s="40"/>
      <c r="R240" s="40"/>
    </row>
    <row r="241" spans="17:18" x14ac:dyDescent="0.3">
      <c r="Q241" s="40"/>
      <c r="R241" s="40"/>
    </row>
    <row r="242" spans="17:18" x14ac:dyDescent="0.3">
      <c r="Q242" s="40"/>
      <c r="R242" s="40"/>
    </row>
    <row r="243" spans="17:18" x14ac:dyDescent="0.3">
      <c r="Q243" s="40"/>
      <c r="R243" s="40"/>
    </row>
    <row r="244" spans="17:18" x14ac:dyDescent="0.3">
      <c r="Q244" s="40"/>
      <c r="R244" s="40"/>
    </row>
    <row r="245" spans="17:18" x14ac:dyDescent="0.3">
      <c r="Q245" s="40"/>
      <c r="R245" s="40"/>
    </row>
    <row r="246" spans="17:18" x14ac:dyDescent="0.3">
      <c r="Q246" s="40"/>
      <c r="R246" s="40"/>
    </row>
    <row r="247" spans="17:18" x14ac:dyDescent="0.3">
      <c r="Q247" s="40"/>
      <c r="R247" s="40"/>
    </row>
    <row r="248" spans="17:18" x14ac:dyDescent="0.3">
      <c r="Q248" s="40"/>
      <c r="R248" s="40"/>
    </row>
    <row r="249" spans="17:18" x14ac:dyDescent="0.3">
      <c r="Q249" s="40"/>
      <c r="R249" s="40"/>
    </row>
    <row r="250" spans="17:18" x14ac:dyDescent="0.3">
      <c r="Q250" s="40"/>
      <c r="R250" s="40"/>
    </row>
    <row r="251" spans="17:18" x14ac:dyDescent="0.3">
      <c r="Q251" s="40"/>
      <c r="R251" s="40"/>
    </row>
    <row r="252" spans="17:18" x14ac:dyDescent="0.3">
      <c r="Q252" s="40"/>
      <c r="R252" s="40"/>
    </row>
    <row r="253" spans="17:18" x14ac:dyDescent="0.3">
      <c r="Q253" s="40"/>
      <c r="R253" s="40"/>
    </row>
    <row r="254" spans="17:18" x14ac:dyDescent="0.3">
      <c r="Q254" s="40"/>
      <c r="R254" s="40"/>
    </row>
    <row r="255" spans="17:18" x14ac:dyDescent="0.3">
      <c r="Q255" s="40"/>
      <c r="R255" s="40"/>
    </row>
    <row r="256" spans="17:18" x14ac:dyDescent="0.3">
      <c r="Q256" s="40"/>
      <c r="R256" s="40"/>
    </row>
    <row r="257" spans="17:18" x14ac:dyDescent="0.3">
      <c r="Q257" s="40"/>
      <c r="R257" s="40"/>
    </row>
    <row r="258" spans="17:18" x14ac:dyDescent="0.3">
      <c r="Q258" s="40"/>
      <c r="R258" s="40"/>
    </row>
    <row r="259" spans="17:18" x14ac:dyDescent="0.3">
      <c r="Q259" s="40"/>
      <c r="R259" s="40"/>
    </row>
    <row r="260" spans="17:18" x14ac:dyDescent="0.3">
      <c r="Q260" s="40"/>
      <c r="R260" s="40"/>
    </row>
    <row r="261" spans="17:18" x14ac:dyDescent="0.3">
      <c r="Q261" s="40"/>
      <c r="R261" s="40"/>
    </row>
    <row r="262" spans="17:18" x14ac:dyDescent="0.3">
      <c r="Q262" s="40"/>
      <c r="R262" s="40"/>
    </row>
    <row r="263" spans="17:18" x14ac:dyDescent="0.3">
      <c r="Q263" s="40"/>
      <c r="R263" s="40"/>
    </row>
    <row r="264" spans="17:18" x14ac:dyDescent="0.3">
      <c r="Q264" s="40"/>
      <c r="R264" s="40"/>
    </row>
    <row r="265" spans="17:18" x14ac:dyDescent="0.3">
      <c r="Q265" s="40"/>
      <c r="R265" s="40"/>
    </row>
    <row r="266" spans="17:18" x14ac:dyDescent="0.3">
      <c r="Q266" s="40"/>
      <c r="R266" s="40"/>
    </row>
    <row r="267" spans="17:18" x14ac:dyDescent="0.3">
      <c r="Q267" s="40"/>
      <c r="R267" s="40"/>
    </row>
    <row r="268" spans="17:18" x14ac:dyDescent="0.3">
      <c r="Q268" s="40"/>
      <c r="R268" s="40"/>
    </row>
    <row r="269" spans="17:18" x14ac:dyDescent="0.3">
      <c r="Q269" s="40"/>
      <c r="R269" s="40"/>
    </row>
    <row r="270" spans="17:18" x14ac:dyDescent="0.3">
      <c r="Q270" s="40"/>
      <c r="R270" s="40"/>
    </row>
    <row r="271" spans="17:18" x14ac:dyDescent="0.3">
      <c r="Q271" s="40"/>
      <c r="R271" s="40"/>
    </row>
    <row r="272" spans="17:18" x14ac:dyDescent="0.3">
      <c r="Q272" s="40"/>
      <c r="R272" s="40"/>
    </row>
    <row r="273" spans="17:18" x14ac:dyDescent="0.3">
      <c r="Q273" s="40"/>
      <c r="R273" s="40"/>
    </row>
    <row r="274" spans="17:18" x14ac:dyDescent="0.3">
      <c r="Q274" s="40"/>
      <c r="R274" s="40"/>
    </row>
    <row r="275" spans="17:18" x14ac:dyDescent="0.3">
      <c r="Q275" s="40"/>
      <c r="R275" s="40"/>
    </row>
    <row r="276" spans="17:18" x14ac:dyDescent="0.3">
      <c r="Q276" s="40"/>
      <c r="R276" s="40"/>
    </row>
    <row r="277" spans="17:18" x14ac:dyDescent="0.3">
      <c r="Q277" s="40"/>
      <c r="R277" s="40"/>
    </row>
    <row r="278" spans="17:18" x14ac:dyDescent="0.3">
      <c r="Q278" s="40"/>
      <c r="R278" s="40"/>
    </row>
    <row r="279" spans="17:18" x14ac:dyDescent="0.3">
      <c r="Q279" s="40"/>
      <c r="R279" s="40"/>
    </row>
    <row r="280" spans="17:18" x14ac:dyDescent="0.3">
      <c r="Q280" s="40"/>
      <c r="R280" s="40"/>
    </row>
    <row r="281" spans="17:18" x14ac:dyDescent="0.3">
      <c r="Q281" s="40"/>
      <c r="R281" s="40"/>
    </row>
    <row r="282" spans="17:18" x14ac:dyDescent="0.3">
      <c r="Q282" s="40"/>
      <c r="R282" s="40"/>
    </row>
    <row r="283" spans="17:18" x14ac:dyDescent="0.3">
      <c r="Q283" s="40"/>
      <c r="R283" s="40"/>
    </row>
    <row r="284" spans="17:18" x14ac:dyDescent="0.3">
      <c r="Q284" s="40"/>
      <c r="R284" s="40"/>
    </row>
    <row r="285" spans="17:18" x14ac:dyDescent="0.3">
      <c r="Q285" s="40"/>
      <c r="R285" s="40"/>
    </row>
    <row r="286" spans="17:18" x14ac:dyDescent="0.3">
      <c r="Q286" s="40"/>
      <c r="R286" s="40"/>
    </row>
    <row r="287" spans="17:18" x14ac:dyDescent="0.3">
      <c r="Q287" s="40"/>
      <c r="R287" s="40"/>
    </row>
    <row r="288" spans="17:18" x14ac:dyDescent="0.3">
      <c r="Q288" s="40"/>
      <c r="R288" s="40"/>
    </row>
    <row r="289" spans="17:18" x14ac:dyDescent="0.3">
      <c r="Q289" s="40"/>
      <c r="R289" s="40"/>
    </row>
    <row r="290" spans="17:18" x14ac:dyDescent="0.3">
      <c r="Q290" s="40"/>
      <c r="R290" s="40"/>
    </row>
    <row r="291" spans="17:18" x14ac:dyDescent="0.3">
      <c r="Q291" s="40"/>
      <c r="R291" s="40"/>
    </row>
    <row r="292" spans="17:18" x14ac:dyDescent="0.3">
      <c r="Q292" s="40"/>
      <c r="R292" s="40"/>
    </row>
    <row r="293" spans="17:18" x14ac:dyDescent="0.3">
      <c r="Q293" s="40"/>
      <c r="R293" s="40"/>
    </row>
    <row r="294" spans="17:18" x14ac:dyDescent="0.3">
      <c r="Q294" s="40"/>
      <c r="R294" s="40"/>
    </row>
    <row r="295" spans="17:18" x14ac:dyDescent="0.3">
      <c r="Q295" s="40"/>
      <c r="R295" s="40"/>
    </row>
    <row r="296" spans="17:18" x14ac:dyDescent="0.3">
      <c r="Q296" s="40"/>
      <c r="R296" s="40"/>
    </row>
    <row r="297" spans="17:18" x14ac:dyDescent="0.3">
      <c r="Q297" s="40"/>
      <c r="R297" s="40"/>
    </row>
    <row r="298" spans="17:18" x14ac:dyDescent="0.3">
      <c r="Q298" s="40"/>
      <c r="R298" s="40"/>
    </row>
    <row r="299" spans="17:18" x14ac:dyDescent="0.3">
      <c r="Q299" s="40"/>
      <c r="R299" s="40"/>
    </row>
    <row r="300" spans="17:18" x14ac:dyDescent="0.3">
      <c r="Q300" s="40"/>
      <c r="R300" s="40"/>
    </row>
    <row r="301" spans="17:18" x14ac:dyDescent="0.3">
      <c r="Q301" s="40"/>
      <c r="R301" s="40"/>
    </row>
    <row r="302" spans="17:18" x14ac:dyDescent="0.3">
      <c r="Q302" s="40"/>
      <c r="R302" s="40"/>
    </row>
    <row r="303" spans="17:18" x14ac:dyDescent="0.3">
      <c r="Q303" s="40"/>
      <c r="R303" s="40"/>
    </row>
    <row r="304" spans="17:18" x14ac:dyDescent="0.3">
      <c r="Q304" s="40"/>
      <c r="R304" s="40"/>
    </row>
    <row r="305" spans="17:18" x14ac:dyDescent="0.3">
      <c r="Q305" s="40"/>
      <c r="R305" s="40"/>
    </row>
    <row r="306" spans="17:18" x14ac:dyDescent="0.3">
      <c r="Q306" s="40"/>
      <c r="R306" s="40"/>
    </row>
    <row r="307" spans="17:18" x14ac:dyDescent="0.3">
      <c r="Q307" s="40"/>
      <c r="R307" s="40"/>
    </row>
    <row r="308" spans="17:18" x14ac:dyDescent="0.3">
      <c r="Q308" s="40"/>
      <c r="R308" s="40"/>
    </row>
    <row r="309" spans="17:18" x14ac:dyDescent="0.3">
      <c r="Q309" s="40"/>
      <c r="R309" s="40"/>
    </row>
    <row r="310" spans="17:18" x14ac:dyDescent="0.3">
      <c r="Q310" s="40"/>
      <c r="R310" s="40"/>
    </row>
    <row r="311" spans="17:18" x14ac:dyDescent="0.3">
      <c r="Q311" s="40"/>
      <c r="R311" s="40"/>
    </row>
    <row r="312" spans="17:18" x14ac:dyDescent="0.3">
      <c r="Q312" s="40"/>
      <c r="R312" s="40"/>
    </row>
    <row r="313" spans="17:18" x14ac:dyDescent="0.3">
      <c r="Q313" s="40"/>
      <c r="R313" s="40"/>
    </row>
    <row r="314" spans="17:18" x14ac:dyDescent="0.3">
      <c r="Q314" s="40"/>
      <c r="R314" s="40"/>
    </row>
    <row r="315" spans="17:18" x14ac:dyDescent="0.3">
      <c r="Q315" s="40"/>
      <c r="R315" s="40"/>
    </row>
    <row r="316" spans="17:18" x14ac:dyDescent="0.3">
      <c r="Q316" s="40"/>
      <c r="R316" s="40"/>
    </row>
    <row r="317" spans="17:18" x14ac:dyDescent="0.3">
      <c r="Q317" s="40"/>
      <c r="R317" s="40"/>
    </row>
    <row r="318" spans="17:18" x14ac:dyDescent="0.3">
      <c r="Q318" s="40"/>
      <c r="R318" s="40"/>
    </row>
    <row r="319" spans="17:18" x14ac:dyDescent="0.3">
      <c r="Q319" s="40"/>
      <c r="R319" s="40"/>
    </row>
    <row r="320" spans="17:18" x14ac:dyDescent="0.3">
      <c r="Q320" s="40"/>
      <c r="R320" s="40"/>
    </row>
    <row r="321" spans="17:18" x14ac:dyDescent="0.3">
      <c r="Q321" s="40"/>
      <c r="R321" s="40"/>
    </row>
    <row r="322" spans="17:18" x14ac:dyDescent="0.3">
      <c r="Q322" s="40"/>
      <c r="R322" s="40"/>
    </row>
    <row r="323" spans="17:18" x14ac:dyDescent="0.3">
      <c r="Q323" s="40"/>
      <c r="R323" s="40"/>
    </row>
    <row r="324" spans="17:18" x14ac:dyDescent="0.3">
      <c r="Q324" s="40"/>
      <c r="R324" s="40"/>
    </row>
    <row r="325" spans="17:18" x14ac:dyDescent="0.3">
      <c r="Q325" s="40"/>
      <c r="R325" s="40"/>
    </row>
    <row r="326" spans="17:18" x14ac:dyDescent="0.3">
      <c r="Q326" s="40"/>
      <c r="R326" s="40"/>
    </row>
    <row r="327" spans="17:18" x14ac:dyDescent="0.3">
      <c r="Q327" s="40"/>
      <c r="R327" s="40"/>
    </row>
    <row r="328" spans="17:18" x14ac:dyDescent="0.3">
      <c r="Q328" s="40"/>
      <c r="R328" s="40"/>
    </row>
    <row r="329" spans="17:18" x14ac:dyDescent="0.3">
      <c r="Q329" s="40"/>
      <c r="R329" s="40"/>
    </row>
    <row r="330" spans="17:18" x14ac:dyDescent="0.3">
      <c r="Q330" s="40"/>
      <c r="R330" s="40"/>
    </row>
    <row r="331" spans="17:18" x14ac:dyDescent="0.3">
      <c r="Q331" s="40"/>
      <c r="R331" s="40"/>
    </row>
    <row r="332" spans="17:18" x14ac:dyDescent="0.3">
      <c r="Q332" s="40"/>
      <c r="R332" s="40"/>
    </row>
    <row r="333" spans="17:18" x14ac:dyDescent="0.3">
      <c r="Q333" s="40"/>
      <c r="R333" s="40"/>
    </row>
    <row r="334" spans="17:18" x14ac:dyDescent="0.3">
      <c r="Q334" s="40"/>
      <c r="R334" s="40"/>
    </row>
    <row r="335" spans="17:18" x14ac:dyDescent="0.3">
      <c r="Q335" s="40"/>
      <c r="R335" s="40"/>
    </row>
    <row r="336" spans="17:18" x14ac:dyDescent="0.3">
      <c r="Q336" s="40"/>
      <c r="R336" s="40"/>
    </row>
    <row r="337" spans="17:18" x14ac:dyDescent="0.3">
      <c r="Q337" s="40"/>
      <c r="R337" s="40"/>
    </row>
    <row r="338" spans="17:18" x14ac:dyDescent="0.3">
      <c r="Q338" s="40"/>
      <c r="R338" s="40"/>
    </row>
    <row r="339" spans="17:18" x14ac:dyDescent="0.3">
      <c r="Q339" s="40"/>
      <c r="R339" s="40"/>
    </row>
    <row r="340" spans="17:18" x14ac:dyDescent="0.3">
      <c r="Q340" s="40"/>
      <c r="R340" s="40"/>
    </row>
    <row r="341" spans="17:18" x14ac:dyDescent="0.3">
      <c r="Q341" s="40"/>
      <c r="R341" s="40"/>
    </row>
    <row r="342" spans="17:18" x14ac:dyDescent="0.3">
      <c r="Q342" s="40"/>
      <c r="R342" s="40"/>
    </row>
    <row r="343" spans="17:18" x14ac:dyDescent="0.3">
      <c r="Q343" s="40"/>
      <c r="R343" s="40"/>
    </row>
    <row r="344" spans="17:18" x14ac:dyDescent="0.3">
      <c r="Q344" s="40"/>
      <c r="R344" s="40"/>
    </row>
    <row r="345" spans="17:18" x14ac:dyDescent="0.3">
      <c r="Q345" s="40"/>
      <c r="R345" s="40"/>
    </row>
    <row r="346" spans="17:18" x14ac:dyDescent="0.3">
      <c r="Q346" s="40"/>
      <c r="R346" s="40"/>
    </row>
    <row r="347" spans="17:18" x14ac:dyDescent="0.3">
      <c r="Q347" s="40"/>
      <c r="R347" s="40"/>
    </row>
    <row r="348" spans="17:18" x14ac:dyDescent="0.3">
      <c r="Q348" s="40"/>
      <c r="R348" s="40"/>
    </row>
    <row r="349" spans="17:18" x14ac:dyDescent="0.3">
      <c r="Q349" s="40"/>
      <c r="R349" s="40"/>
    </row>
    <row r="350" spans="17:18" x14ac:dyDescent="0.3">
      <c r="Q350" s="40"/>
      <c r="R350" s="40"/>
    </row>
    <row r="351" spans="17:18" x14ac:dyDescent="0.3">
      <c r="Q351" s="40"/>
      <c r="R351" s="40"/>
    </row>
    <row r="352" spans="17:18" x14ac:dyDescent="0.3">
      <c r="Q352" s="40"/>
      <c r="R352" s="40"/>
    </row>
    <row r="353" spans="17:18" x14ac:dyDescent="0.3">
      <c r="Q353" s="40"/>
      <c r="R353" s="40"/>
    </row>
    <row r="354" spans="17:18" x14ac:dyDescent="0.3">
      <c r="Q354" s="40"/>
      <c r="R354" s="40"/>
    </row>
    <row r="355" spans="17:18" x14ac:dyDescent="0.3">
      <c r="Q355" s="40"/>
      <c r="R355" s="40"/>
    </row>
    <row r="356" spans="17:18" x14ac:dyDescent="0.3">
      <c r="Q356" s="40"/>
      <c r="R356" s="40"/>
    </row>
    <row r="357" spans="17:18" x14ac:dyDescent="0.3">
      <c r="Q357" s="40"/>
      <c r="R357" s="40"/>
    </row>
  </sheetData>
  <mergeCells count="9">
    <mergeCell ref="N13:O14"/>
    <mergeCell ref="D2:E2"/>
    <mergeCell ref="N81:O82"/>
    <mergeCell ref="B97:D97"/>
    <mergeCell ref="N47:O48"/>
    <mergeCell ref="B63:D63"/>
    <mergeCell ref="D70:E70"/>
    <mergeCell ref="B29:D29"/>
    <mergeCell ref="D36:E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4:AG13"/>
  <sheetViews>
    <sheetView showGridLines="0" zoomScaleNormal="100" workbookViewId="0">
      <selection activeCell="Q20" sqref="Q20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4" spans="4:33" ht="62.4" x14ac:dyDescent="0.3">
      <c r="T4" s="30" t="s">
        <v>30</v>
      </c>
      <c r="U4" s="30" t="s">
        <v>31</v>
      </c>
      <c r="V4" s="30" t="s">
        <v>32</v>
      </c>
      <c r="W4" s="30" t="s">
        <v>33</v>
      </c>
      <c r="X4" s="30" t="s">
        <v>34</v>
      </c>
      <c r="Y4" s="30" t="s">
        <v>35</v>
      </c>
      <c r="Z4" s="30" t="s">
        <v>36</v>
      </c>
      <c r="AA4" s="30" t="s">
        <v>37</v>
      </c>
      <c r="AB4" s="30" t="s">
        <v>38</v>
      </c>
      <c r="AC4" s="30" t="s">
        <v>39</v>
      </c>
      <c r="AD4" s="30" t="s">
        <v>40</v>
      </c>
      <c r="AE4" s="30" t="s">
        <v>41</v>
      </c>
      <c r="AF4" s="30" t="s">
        <v>42</v>
      </c>
      <c r="AG4" s="30" t="s">
        <v>43</v>
      </c>
    </row>
    <row r="7" spans="4:33" ht="31.2" x14ac:dyDescent="0.3">
      <c r="D7" s="117" t="s">
        <v>28</v>
      </c>
      <c r="E7" s="120" t="s">
        <v>30</v>
      </c>
      <c r="F7" s="118" t="s">
        <v>156</v>
      </c>
      <c r="G7" s="118" t="s">
        <v>32</v>
      </c>
      <c r="H7" s="118" t="s">
        <v>130</v>
      </c>
      <c r="I7" s="118" t="s">
        <v>157</v>
      </c>
      <c r="J7" s="118" t="s">
        <v>29</v>
      </c>
      <c r="K7" s="118" t="s">
        <v>158</v>
      </c>
      <c r="L7" s="118" t="s">
        <v>159</v>
      </c>
      <c r="M7" s="118" t="s">
        <v>160</v>
      </c>
      <c r="N7" s="118" t="s">
        <v>161</v>
      </c>
      <c r="O7" s="118" t="s">
        <v>162</v>
      </c>
      <c r="P7" s="118" t="s">
        <v>97</v>
      </c>
      <c r="Q7" s="120" t="s">
        <v>42</v>
      </c>
      <c r="R7" s="119" t="s">
        <v>43</v>
      </c>
    </row>
    <row r="8" spans="4:33" ht="30" customHeight="1" x14ac:dyDescent="0.3">
      <c r="D8" s="111" t="str">
        <f>+'Elementos de la operación'!D3</f>
        <v>Prepara cortadora vertical</v>
      </c>
      <c r="E8" s="121">
        <v>0.05</v>
      </c>
      <c r="F8" s="112">
        <v>0.05</v>
      </c>
      <c r="G8" s="112">
        <v>0.02</v>
      </c>
      <c r="H8" s="112">
        <v>0.02</v>
      </c>
      <c r="I8" s="112">
        <v>0.02</v>
      </c>
      <c r="J8" s="112">
        <v>0.02</v>
      </c>
      <c r="K8" s="112">
        <v>0</v>
      </c>
      <c r="L8" s="112">
        <v>0</v>
      </c>
      <c r="M8" s="112">
        <v>0</v>
      </c>
      <c r="N8" s="112">
        <v>0</v>
      </c>
      <c r="O8" s="112">
        <v>0.02</v>
      </c>
      <c r="P8" s="112">
        <v>0</v>
      </c>
      <c r="Q8" s="123">
        <f>(SUM(E8:P8))</f>
        <v>0.19999999999999998</v>
      </c>
      <c r="R8" s="113">
        <f>Q8+1</f>
        <v>1.2</v>
      </c>
    </row>
    <row r="9" spans="4:33" ht="30" customHeight="1" x14ac:dyDescent="0.3">
      <c r="D9" s="111" t="str">
        <f>+'Elementos de la operación'!D4</f>
        <v>Trozado de piezas</v>
      </c>
      <c r="E9" s="121">
        <v>0.05</v>
      </c>
      <c r="F9" s="112">
        <v>0.05</v>
      </c>
      <c r="G9" s="112">
        <v>0.02</v>
      </c>
      <c r="H9" s="112">
        <v>0.02</v>
      </c>
      <c r="I9" s="112">
        <v>0.02</v>
      </c>
      <c r="J9" s="112">
        <v>0.02</v>
      </c>
      <c r="K9" s="112">
        <v>0</v>
      </c>
      <c r="L9" s="112">
        <v>0</v>
      </c>
      <c r="M9" s="112">
        <v>0</v>
      </c>
      <c r="N9" s="112">
        <v>0</v>
      </c>
      <c r="O9" s="112">
        <v>0.02</v>
      </c>
      <c r="P9" s="112">
        <v>0</v>
      </c>
      <c r="Q9" s="123">
        <f t="shared" ref="Q9:Q11" si="0">(SUM(E9:P9))</f>
        <v>0.19999999999999998</v>
      </c>
      <c r="R9" s="113">
        <f t="shared" ref="R9:R12" si="1">Q9+1</f>
        <v>1.2</v>
      </c>
    </row>
    <row r="10" spans="4:33" ht="30" customHeight="1" x14ac:dyDescent="0.3">
      <c r="D10" s="111" t="str">
        <f>+'Elementos de la operación'!D5</f>
        <v>Corte de piezas</v>
      </c>
      <c r="E10" s="121">
        <v>0.05</v>
      </c>
      <c r="F10" s="112">
        <v>0.05</v>
      </c>
      <c r="G10" s="112">
        <v>0.02</v>
      </c>
      <c r="H10" s="112">
        <v>0.02</v>
      </c>
      <c r="I10" s="112">
        <v>0.02</v>
      </c>
      <c r="J10" s="112">
        <v>0.02</v>
      </c>
      <c r="K10" s="112">
        <v>0</v>
      </c>
      <c r="L10" s="112">
        <v>0</v>
      </c>
      <c r="M10" s="112">
        <v>0</v>
      </c>
      <c r="N10" s="112">
        <v>0</v>
      </c>
      <c r="O10" s="112">
        <v>0.02</v>
      </c>
      <c r="P10" s="112">
        <v>0</v>
      </c>
      <c r="Q10" s="123">
        <f t="shared" si="0"/>
        <v>0.19999999999999998</v>
      </c>
      <c r="R10" s="113">
        <f t="shared" si="1"/>
        <v>1.2</v>
      </c>
    </row>
    <row r="11" spans="4:33" ht="30" customHeight="1" x14ac:dyDescent="0.3">
      <c r="D11" s="111" t="str">
        <f>+'Elementos de la operación'!D6</f>
        <v>Enumerar piezas</v>
      </c>
      <c r="E11" s="121">
        <v>0.05</v>
      </c>
      <c r="F11" s="112">
        <v>0.05</v>
      </c>
      <c r="G11" s="112">
        <v>0.02</v>
      </c>
      <c r="H11" s="112">
        <v>0.02</v>
      </c>
      <c r="I11" s="112">
        <v>0.02</v>
      </c>
      <c r="J11" s="112">
        <v>0.02</v>
      </c>
      <c r="K11" s="112">
        <v>0</v>
      </c>
      <c r="L11" s="112">
        <v>0</v>
      </c>
      <c r="M11" s="112">
        <v>0</v>
      </c>
      <c r="N11" s="112">
        <v>0</v>
      </c>
      <c r="O11" s="112">
        <v>0.02</v>
      </c>
      <c r="P11" s="112">
        <v>0</v>
      </c>
      <c r="Q11" s="123">
        <f t="shared" si="0"/>
        <v>0.19999999999999998</v>
      </c>
      <c r="R11" s="113">
        <f t="shared" si="1"/>
        <v>1.2</v>
      </c>
    </row>
    <row r="12" spans="4:33" ht="30" customHeight="1" x14ac:dyDescent="0.3">
      <c r="D12" s="114" t="str">
        <f>+'Elementos de la operación'!D7</f>
        <v>Empaqueta piezas</v>
      </c>
      <c r="E12" s="122">
        <v>0.05</v>
      </c>
      <c r="F12" s="115">
        <v>0.05</v>
      </c>
      <c r="G12" s="115">
        <v>0.02</v>
      </c>
      <c r="H12" s="115">
        <v>0.02</v>
      </c>
      <c r="I12" s="115">
        <v>0.02</v>
      </c>
      <c r="J12" s="115">
        <v>0.02</v>
      </c>
      <c r="K12" s="115">
        <v>0</v>
      </c>
      <c r="L12" s="115">
        <v>0</v>
      </c>
      <c r="M12" s="115">
        <v>0</v>
      </c>
      <c r="N12" s="115">
        <v>0</v>
      </c>
      <c r="O12" s="115">
        <v>0.02</v>
      </c>
      <c r="P12" s="115">
        <v>0</v>
      </c>
      <c r="Q12" s="124">
        <f t="shared" ref="Q12" si="2">(SUM(E12:P12))</f>
        <v>0.19999999999999998</v>
      </c>
      <c r="R12" s="116">
        <f t="shared" si="1"/>
        <v>1.2</v>
      </c>
    </row>
    <row r="13" spans="4:33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N52"/>
  <sheetViews>
    <sheetView tabSelected="1" topLeftCell="A22" workbookViewId="0">
      <selection activeCell="K26" sqref="K26"/>
    </sheetView>
  </sheetViews>
  <sheetFormatPr baseColWidth="10" defaultRowHeight="14.4" x14ac:dyDescent="0.3"/>
  <cols>
    <col min="1" max="2" width="15.5546875" customWidth="1"/>
    <col min="3" max="3" width="18.44140625" customWidth="1"/>
    <col min="5" max="5" width="20.77734375" customWidth="1"/>
    <col min="6" max="6" width="15.5546875" customWidth="1"/>
    <col min="7" max="7" width="19.88671875" customWidth="1"/>
    <col min="8" max="8" width="15.777343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2" spans="1:14" ht="15.6" x14ac:dyDescent="0.3">
      <c r="E2" s="26"/>
      <c r="F2" s="27"/>
      <c r="G2" s="26"/>
      <c r="H2" s="26"/>
    </row>
    <row r="3" spans="1:14" ht="15.6" x14ac:dyDescent="0.3">
      <c r="E3" s="26"/>
      <c r="F3" s="27"/>
      <c r="G3" s="26"/>
      <c r="H3" s="26"/>
    </row>
    <row r="4" spans="1:14" ht="15.6" customHeight="1" x14ac:dyDescent="0.3">
      <c r="C4" s="25" t="s">
        <v>110</v>
      </c>
      <c r="E4" s="26"/>
      <c r="F4" t="s">
        <v>112</v>
      </c>
      <c r="G4" s="26"/>
      <c r="H4" s="41" t="s">
        <v>113</v>
      </c>
      <c r="I4" s="41"/>
      <c r="J4" s="41"/>
    </row>
    <row r="5" spans="1:14" ht="15.6" x14ac:dyDescent="0.3">
      <c r="C5" t="str">
        <f>+'Elementos de la operación'!B3</f>
        <v>Corte</v>
      </c>
      <c r="E5" s="26"/>
      <c r="F5" t="s">
        <v>114</v>
      </c>
      <c r="G5" s="26"/>
      <c r="H5" s="26"/>
    </row>
    <row r="6" spans="1:14" ht="15.6" x14ac:dyDescent="0.3">
      <c r="E6" s="26"/>
      <c r="F6" s="27"/>
      <c r="G6" s="26"/>
      <c r="H6" s="26"/>
    </row>
    <row r="7" spans="1:14" ht="15.6" x14ac:dyDescent="0.3"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</row>
    <row r="8" spans="1:14" ht="15.6" x14ac:dyDescent="0.3">
      <c r="B8" s="72"/>
      <c r="C8" s="130" t="s">
        <v>28</v>
      </c>
      <c r="D8" s="138" t="s">
        <v>50</v>
      </c>
      <c r="E8" s="131" t="s">
        <v>115</v>
      </c>
      <c r="F8" s="138" t="s">
        <v>43</v>
      </c>
      <c r="G8" s="138" t="s">
        <v>44</v>
      </c>
      <c r="H8" s="120" t="s">
        <v>45</v>
      </c>
      <c r="I8" s="132" t="s">
        <v>46</v>
      </c>
      <c r="J8" s="120" t="s">
        <v>47</v>
      </c>
      <c r="K8" s="138" t="s">
        <v>48</v>
      </c>
      <c r="L8" s="138" t="s">
        <v>49</v>
      </c>
      <c r="M8" s="133" t="s">
        <v>52</v>
      </c>
      <c r="N8" s="72"/>
    </row>
    <row r="9" spans="1:14" ht="15.6" x14ac:dyDescent="0.3">
      <c r="B9" s="72"/>
      <c r="C9" s="134"/>
      <c r="D9" s="139"/>
      <c r="E9" s="135"/>
      <c r="F9" s="139"/>
      <c r="G9" s="139"/>
      <c r="H9" s="136" t="str">
        <f>+CONCATENATE("POR ",UPPER(C5))</f>
        <v>POR CORTE</v>
      </c>
      <c r="I9" s="136"/>
      <c r="J9" s="136"/>
      <c r="K9" s="139"/>
      <c r="L9" s="139"/>
      <c r="M9" s="137"/>
      <c r="N9" s="72"/>
    </row>
    <row r="10" spans="1:14" ht="28.95" customHeight="1" x14ac:dyDescent="0.3">
      <c r="B10" s="72"/>
      <c r="C10" s="98" t="str">
        <f>+'Elementos de la operación'!D3</f>
        <v>Prepara cortadora vertical</v>
      </c>
      <c r="D10" s="140" t="s">
        <v>46</v>
      </c>
      <c r="E10" s="126">
        <f ca="1">+MAI!E29</f>
        <v>25004</v>
      </c>
      <c r="F10" s="142">
        <f>+Suplementos!R8</f>
        <v>1.2</v>
      </c>
      <c r="G10" s="140">
        <f ca="1">E10*F10</f>
        <v>30004.799999999999</v>
      </c>
      <c r="H10" s="144">
        <v>6.2500000000000003E-3</v>
      </c>
      <c r="I10" s="147">
        <f t="shared" ref="I10:I14" ca="1" si="0">+IFERROR(IF(VLOOKUP("tmp",D10,1)="tmp",G10,"")*H10,"")</f>
        <v>187.53</v>
      </c>
      <c r="J10" s="147" t="str">
        <f t="shared" ref="J10:J14" si="1">+IFERROR(IF(VLOOKUP("ttm",D10,1)="ttm",G10,"")*H10,"")</f>
        <v/>
      </c>
      <c r="K10" s="148">
        <f ca="1">+SUM(I10:J10)</f>
        <v>187.53</v>
      </c>
      <c r="L10" s="148">
        <f ca="1">K10*0.75</f>
        <v>140.64750000000001</v>
      </c>
      <c r="M10" s="127">
        <f ca="1">K10*0.8</f>
        <v>150.024</v>
      </c>
      <c r="N10" s="72"/>
    </row>
    <row r="11" spans="1:14" ht="28.95" customHeight="1" x14ac:dyDescent="0.3">
      <c r="B11" s="72"/>
      <c r="C11" s="98" t="str">
        <f>+'Elementos de la operación'!D4</f>
        <v>Trozado de piezas</v>
      </c>
      <c r="D11" s="140" t="s">
        <v>47</v>
      </c>
      <c r="E11" s="126">
        <f ca="1">+MAI!E63</f>
        <v>52721</v>
      </c>
      <c r="F11" s="142">
        <f>+Suplementos!R9</f>
        <v>1.2</v>
      </c>
      <c r="G11" s="140">
        <f t="shared" ref="G11:G14" ca="1" si="2">E11*F11</f>
        <v>63265.2</v>
      </c>
      <c r="H11" s="145">
        <v>6.2500000000000003E-3</v>
      </c>
      <c r="I11" s="148" t="str">
        <f t="shared" si="0"/>
        <v/>
      </c>
      <c r="J11" s="148">
        <f t="shared" ca="1" si="1"/>
        <v>395.40750000000003</v>
      </c>
      <c r="K11" s="148">
        <f t="shared" ref="K11:K14" ca="1" si="3">+SUM(I11:J11)</f>
        <v>395.40750000000003</v>
      </c>
      <c r="L11" s="148">
        <f t="shared" ref="L11:L14" ca="1" si="4">K11*0.75</f>
        <v>296.55562500000002</v>
      </c>
      <c r="M11" s="127">
        <f t="shared" ref="M11:M14" ca="1" si="5">K11*0.8</f>
        <v>316.32600000000002</v>
      </c>
      <c r="N11" s="72"/>
    </row>
    <row r="12" spans="1:14" ht="28.8" customHeight="1" x14ac:dyDescent="0.3">
      <c r="A12" s="28" t="s">
        <v>153</v>
      </c>
      <c r="B12" s="94"/>
      <c r="C12" s="98" t="str">
        <f>+'Elementos de la operación'!D5</f>
        <v>Corte de piezas</v>
      </c>
      <c r="D12" s="140" t="s">
        <v>47</v>
      </c>
      <c r="E12" s="126">
        <v>167521</v>
      </c>
      <c r="F12" s="142">
        <f>+Suplementos!R10</f>
        <v>1.2</v>
      </c>
      <c r="G12" s="140">
        <f t="shared" si="2"/>
        <v>201025.19999999998</v>
      </c>
      <c r="H12" s="145">
        <v>6.2500000000000003E-3</v>
      </c>
      <c r="I12" s="148" t="str">
        <f t="shared" si="0"/>
        <v/>
      </c>
      <c r="J12" s="148">
        <f t="shared" si="1"/>
        <v>1256.4075</v>
      </c>
      <c r="K12" s="148">
        <f t="shared" si="3"/>
        <v>1256.4075</v>
      </c>
      <c r="L12" s="148">
        <f t="shared" si="4"/>
        <v>942.30562499999996</v>
      </c>
      <c r="M12" s="127">
        <f t="shared" si="5"/>
        <v>1005.1260000000001</v>
      </c>
      <c r="N12" s="72"/>
    </row>
    <row r="13" spans="1:14" ht="28.95" customHeight="1" x14ac:dyDescent="0.3">
      <c r="A13" s="28" t="s">
        <v>153</v>
      </c>
      <c r="B13" s="94"/>
      <c r="C13" s="98" t="str">
        <f>+'Elementos de la operación'!D6</f>
        <v>Enumerar piezas</v>
      </c>
      <c r="D13" s="140" t="s">
        <v>46</v>
      </c>
      <c r="E13" s="126">
        <v>117038</v>
      </c>
      <c r="F13" s="142">
        <f>+Suplementos!R11</f>
        <v>1.2</v>
      </c>
      <c r="G13" s="140">
        <f t="shared" si="2"/>
        <v>140445.6</v>
      </c>
      <c r="H13" s="145">
        <v>6.2500000000000003E-3</v>
      </c>
      <c r="I13" s="148">
        <f t="shared" si="0"/>
        <v>877.78500000000008</v>
      </c>
      <c r="J13" s="148" t="str">
        <f t="shared" si="1"/>
        <v/>
      </c>
      <c r="K13" s="148">
        <f t="shared" si="3"/>
        <v>877.78500000000008</v>
      </c>
      <c r="L13" s="148">
        <f t="shared" si="4"/>
        <v>658.33875000000012</v>
      </c>
      <c r="M13" s="127">
        <f t="shared" si="5"/>
        <v>702.22800000000007</v>
      </c>
      <c r="N13" s="72"/>
    </row>
    <row r="14" spans="1:14" ht="28.95" customHeight="1" x14ac:dyDescent="0.3">
      <c r="B14" s="72"/>
      <c r="C14" s="98" t="str">
        <f>+'Elementos de la operación'!D7</f>
        <v>Empaqueta piezas</v>
      </c>
      <c r="D14" s="141" t="s">
        <v>46</v>
      </c>
      <c r="E14" s="126">
        <f ca="1">+MAI!E97</f>
        <v>24956</v>
      </c>
      <c r="F14" s="143">
        <f>+Suplementos!R12</f>
        <v>1.2</v>
      </c>
      <c r="G14" s="141">
        <f t="shared" ca="1" si="2"/>
        <v>29947.199999999997</v>
      </c>
      <c r="H14" s="146">
        <v>6.2500000000000003E-3</v>
      </c>
      <c r="I14" s="149">
        <f t="shared" ca="1" si="0"/>
        <v>187.17</v>
      </c>
      <c r="J14" s="149" t="str">
        <f t="shared" si="1"/>
        <v/>
      </c>
      <c r="K14" s="149">
        <f t="shared" ca="1" si="3"/>
        <v>187.17</v>
      </c>
      <c r="L14" s="149">
        <f t="shared" ca="1" si="4"/>
        <v>140.3775</v>
      </c>
      <c r="M14" s="127">
        <f t="shared" ca="1" si="5"/>
        <v>149.73599999999999</v>
      </c>
      <c r="N14" s="72"/>
    </row>
    <row r="15" spans="1:14" ht="15.6" customHeight="1" x14ac:dyDescent="0.3">
      <c r="B15" s="72"/>
      <c r="C15" s="128" t="s">
        <v>116</v>
      </c>
      <c r="D15" s="125"/>
      <c r="E15" s="125"/>
      <c r="F15" s="125"/>
      <c r="G15" s="125"/>
      <c r="H15" s="125"/>
      <c r="I15" s="147">
        <f ca="1">SUM(I10:I14)</f>
        <v>1252.4850000000001</v>
      </c>
      <c r="J15" s="147">
        <f ca="1">SUM(J10:J14)</f>
        <v>1651.8150000000001</v>
      </c>
      <c r="K15" s="147">
        <f ca="1">SUM(K10:K13)</f>
        <v>2717.13</v>
      </c>
      <c r="L15" s="147"/>
      <c r="M15" s="129"/>
      <c r="N15" s="72"/>
    </row>
    <row r="16" spans="1:14" ht="15.6" customHeight="1" x14ac:dyDescent="0.3">
      <c r="B16" s="72"/>
      <c r="C16" s="128" t="s">
        <v>117</v>
      </c>
      <c r="D16" s="125"/>
      <c r="E16" s="125"/>
      <c r="F16" s="125"/>
      <c r="G16" s="125"/>
      <c r="H16" s="125"/>
      <c r="I16" s="147">
        <f ca="1">I15*0.75</f>
        <v>939.3637500000001</v>
      </c>
      <c r="J16" s="147">
        <f ca="1">J15*0.75</f>
        <v>1238.8612499999999</v>
      </c>
      <c r="K16" s="147"/>
      <c r="L16" s="147">
        <f ca="1">SUM(L10:L13)</f>
        <v>2037.8475000000001</v>
      </c>
      <c r="M16" s="129"/>
      <c r="N16" s="72"/>
    </row>
    <row r="17" spans="2:14" ht="15.6" customHeight="1" x14ac:dyDescent="0.3">
      <c r="B17" s="72"/>
      <c r="C17" s="128" t="s">
        <v>51</v>
      </c>
      <c r="D17" s="125"/>
      <c r="E17" s="125"/>
      <c r="F17" s="125"/>
      <c r="G17" s="125"/>
      <c r="H17" s="125"/>
      <c r="I17" s="150">
        <f ca="1">I15*0.8</f>
        <v>1001.9880000000002</v>
      </c>
      <c r="J17" s="150">
        <f ca="1">J15*0.8</f>
        <v>1321.4520000000002</v>
      </c>
      <c r="K17" s="150"/>
      <c r="L17" s="150"/>
      <c r="M17" s="162">
        <f ca="1">SUM(I17:J17)</f>
        <v>2323.4400000000005</v>
      </c>
      <c r="N17" s="72"/>
    </row>
    <row r="18" spans="2:14" ht="14.4" customHeight="1" x14ac:dyDescent="0.3">
      <c r="B18" s="72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72"/>
    </row>
    <row r="19" spans="2:14" ht="14.4" customHeight="1" x14ac:dyDescent="0.3"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</row>
    <row r="20" spans="2:14" ht="15.6" x14ac:dyDescent="0.3"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</row>
    <row r="21" spans="2:14" ht="15.6" x14ac:dyDescent="0.3">
      <c r="B21" s="72"/>
      <c r="C21" s="72"/>
      <c r="D21" s="72"/>
      <c r="E21" s="72"/>
      <c r="F21" s="130" t="s">
        <v>53</v>
      </c>
      <c r="G21" s="154" t="s">
        <v>55</v>
      </c>
      <c r="H21" s="151">
        <f ca="1">SUM(I15:J15)</f>
        <v>2904.3</v>
      </c>
      <c r="I21" s="72"/>
      <c r="J21" s="72"/>
      <c r="K21" s="72"/>
      <c r="L21" s="72"/>
      <c r="M21" s="72"/>
      <c r="N21" s="72"/>
    </row>
    <row r="22" spans="2:14" ht="15.6" x14ac:dyDescent="0.3">
      <c r="B22" s="72"/>
      <c r="C22" s="72"/>
      <c r="D22" s="72"/>
      <c r="E22" s="72"/>
      <c r="F22" s="155"/>
      <c r="G22" s="88" t="s">
        <v>56</v>
      </c>
      <c r="H22" s="152">
        <f ca="1">SUM(I16:J16)</f>
        <v>2178.2249999999999</v>
      </c>
      <c r="I22" s="72"/>
      <c r="J22" s="72"/>
      <c r="K22" s="72"/>
      <c r="L22" s="72"/>
      <c r="M22" s="72"/>
      <c r="N22" s="72"/>
    </row>
    <row r="23" spans="2:14" ht="15.6" x14ac:dyDescent="0.3">
      <c r="B23" s="72"/>
      <c r="C23" s="72"/>
      <c r="D23" s="72"/>
      <c r="E23" s="72"/>
      <c r="F23" s="134"/>
      <c r="G23" s="89" t="s">
        <v>29</v>
      </c>
      <c r="H23" s="153">
        <f ca="1">SUM(I17:J17)</f>
        <v>2323.4400000000005</v>
      </c>
      <c r="I23" s="72"/>
      <c r="J23" s="72"/>
      <c r="K23" s="72"/>
      <c r="L23" s="72"/>
      <c r="M23" s="72"/>
      <c r="N23" s="72"/>
    </row>
    <row r="24" spans="2:14" ht="15.6" x14ac:dyDescent="0.3">
      <c r="B24" s="72"/>
      <c r="C24" s="72"/>
      <c r="D24" s="72"/>
      <c r="E24" s="72"/>
      <c r="F24" s="130" t="s">
        <v>54</v>
      </c>
      <c r="G24" s="154" t="s">
        <v>55</v>
      </c>
      <c r="H24" s="151">
        <f ca="1">J15</f>
        <v>1651.8150000000001</v>
      </c>
      <c r="I24" s="72"/>
      <c r="J24" s="72"/>
      <c r="K24" s="72"/>
      <c r="L24" s="72"/>
      <c r="M24" s="72"/>
      <c r="N24" s="72"/>
    </row>
    <row r="25" spans="2:14" ht="15.6" x14ac:dyDescent="0.3">
      <c r="B25" s="72"/>
      <c r="C25" s="72"/>
      <c r="D25" s="72"/>
      <c r="E25" s="72"/>
      <c r="F25" s="155"/>
      <c r="G25" s="88" t="s">
        <v>56</v>
      </c>
      <c r="H25" s="152">
        <f ca="1">J16</f>
        <v>1238.8612499999999</v>
      </c>
      <c r="I25" s="72"/>
      <c r="J25" s="72"/>
      <c r="K25" s="72"/>
      <c r="L25" s="72"/>
      <c r="M25" s="72"/>
      <c r="N25" s="72"/>
    </row>
    <row r="26" spans="2:14" ht="15.6" x14ac:dyDescent="0.3">
      <c r="B26" s="72"/>
      <c r="C26" s="72"/>
      <c r="D26" s="72"/>
      <c r="E26" s="72"/>
      <c r="F26" s="134"/>
      <c r="G26" s="89" t="s">
        <v>29</v>
      </c>
      <c r="H26" s="153">
        <f ca="1">J17</f>
        <v>1321.4520000000002</v>
      </c>
      <c r="I26" s="72"/>
      <c r="J26" s="72"/>
      <c r="K26" s="72"/>
      <c r="L26" s="72"/>
      <c r="M26" s="72"/>
      <c r="N26" s="72"/>
    </row>
    <row r="27" spans="2:14" ht="15.6" x14ac:dyDescent="0.3">
      <c r="B27" s="72"/>
      <c r="C27" s="72"/>
      <c r="D27" s="72"/>
      <c r="E27" s="72"/>
      <c r="F27" s="155" t="s">
        <v>118</v>
      </c>
      <c r="G27" s="88" t="s">
        <v>55</v>
      </c>
      <c r="H27" s="152">
        <f ca="1">SUM(I15:J15)</f>
        <v>2904.3</v>
      </c>
      <c r="I27" s="72"/>
      <c r="J27" s="72"/>
      <c r="K27" s="72"/>
      <c r="L27" s="72"/>
      <c r="M27" s="72"/>
      <c r="N27" s="72"/>
    </row>
    <row r="28" spans="2:14" ht="15.6" x14ac:dyDescent="0.3">
      <c r="B28" s="72"/>
      <c r="C28" s="72"/>
      <c r="D28" s="72"/>
      <c r="E28" s="72"/>
      <c r="F28" s="155"/>
      <c r="G28" s="88" t="s">
        <v>56</v>
      </c>
      <c r="H28" s="152">
        <f ca="1">SUM(I16:J16)</f>
        <v>2178.2249999999999</v>
      </c>
      <c r="I28" s="72"/>
      <c r="J28" s="72"/>
      <c r="K28" s="72"/>
      <c r="L28" s="72"/>
      <c r="M28" s="72"/>
      <c r="N28" s="72"/>
    </row>
    <row r="29" spans="2:14" ht="15.6" x14ac:dyDescent="0.3">
      <c r="B29" s="72"/>
      <c r="C29" s="72"/>
      <c r="D29" s="72"/>
      <c r="E29" s="72"/>
      <c r="F29" s="134"/>
      <c r="G29" s="89" t="s">
        <v>29</v>
      </c>
      <c r="H29" s="153">
        <f ca="1">SUM(I17:J17)</f>
        <v>2323.4400000000005</v>
      </c>
      <c r="I29" s="72"/>
      <c r="J29" s="72"/>
      <c r="K29" s="72"/>
      <c r="L29" s="72"/>
      <c r="M29" s="72"/>
      <c r="N29" s="72"/>
    </row>
    <row r="30" spans="2:14" ht="15.6" x14ac:dyDescent="0.3"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</row>
    <row r="31" spans="2:14" ht="15.6" x14ac:dyDescent="0.3"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</row>
    <row r="32" spans="2:14" ht="15.6" x14ac:dyDescent="0.3"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</row>
    <row r="33" spans="2:14" ht="15.6" x14ac:dyDescent="0.3"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</row>
    <row r="34" spans="2:14" ht="19.95" customHeight="1" x14ac:dyDescent="0.3">
      <c r="B34" s="72"/>
      <c r="C34" s="72"/>
      <c r="D34" s="72"/>
      <c r="E34" s="117" t="s">
        <v>163</v>
      </c>
      <c r="F34" s="120" t="s">
        <v>57</v>
      </c>
      <c r="G34" s="120" t="s">
        <v>58</v>
      </c>
      <c r="H34" s="119" t="s">
        <v>164</v>
      </c>
      <c r="I34" s="72"/>
      <c r="J34" s="72"/>
      <c r="K34" s="72"/>
      <c r="L34" s="72"/>
      <c r="M34" s="72"/>
      <c r="N34" s="72"/>
    </row>
    <row r="35" spans="2:14" ht="16.95" customHeight="1" x14ac:dyDescent="0.3">
      <c r="B35" s="72"/>
      <c r="C35" s="72"/>
      <c r="D35" s="72"/>
      <c r="E35" s="156" t="s">
        <v>59</v>
      </c>
      <c r="F35" s="160">
        <f ca="1">360000/H27</f>
        <v>123.95413696932134</v>
      </c>
      <c r="G35" s="160">
        <f ca="1">360000/H28</f>
        <v>165.27218262576181</v>
      </c>
      <c r="H35" s="157">
        <f ca="1">360000/H29</f>
        <v>154.94267121165166</v>
      </c>
      <c r="I35" s="72"/>
      <c r="J35" s="72"/>
      <c r="K35" s="72"/>
      <c r="L35" s="72"/>
      <c r="M35" s="72"/>
      <c r="N35" s="72"/>
    </row>
    <row r="36" spans="2:14" ht="16.95" customHeight="1" x14ac:dyDescent="0.3">
      <c r="B36" s="72"/>
      <c r="C36" s="72"/>
      <c r="D36" s="72"/>
      <c r="E36" s="156"/>
      <c r="F36" s="160"/>
      <c r="G36" s="160"/>
      <c r="H36" s="157"/>
      <c r="I36" s="72"/>
      <c r="J36" s="72"/>
      <c r="K36" s="72"/>
      <c r="L36" s="72"/>
      <c r="M36" s="72"/>
      <c r="N36" s="72"/>
    </row>
    <row r="37" spans="2:14" ht="16.95" customHeight="1" x14ac:dyDescent="0.3">
      <c r="B37" s="72"/>
      <c r="C37" s="72"/>
      <c r="D37" s="72"/>
      <c r="E37" s="156" t="s">
        <v>60</v>
      </c>
      <c r="F37" s="160">
        <f ca="1">((H21*100)/H27)</f>
        <v>100</v>
      </c>
      <c r="G37" s="160">
        <f ca="1">((H22*100)/H28)</f>
        <v>100</v>
      </c>
      <c r="H37" s="157">
        <f ca="1">((H23*100)/H29)</f>
        <v>100</v>
      </c>
      <c r="I37" s="72"/>
      <c r="J37" s="72"/>
      <c r="K37" s="72"/>
      <c r="L37" s="72"/>
      <c r="M37" s="72"/>
      <c r="N37" s="72"/>
    </row>
    <row r="38" spans="2:14" ht="16.95" customHeight="1" x14ac:dyDescent="0.3">
      <c r="B38" s="72"/>
      <c r="C38" s="72"/>
      <c r="D38" s="72"/>
      <c r="E38" s="156"/>
      <c r="F38" s="160"/>
      <c r="G38" s="160"/>
      <c r="H38" s="157"/>
      <c r="I38" s="72"/>
      <c r="J38" s="72"/>
      <c r="K38" s="72"/>
      <c r="L38" s="72"/>
      <c r="M38" s="72"/>
      <c r="N38" s="72"/>
    </row>
    <row r="39" spans="2:14" ht="16.95" customHeight="1" x14ac:dyDescent="0.3">
      <c r="B39" s="72"/>
      <c r="C39" s="72"/>
      <c r="D39" s="72"/>
      <c r="E39" s="156" t="s">
        <v>61</v>
      </c>
      <c r="F39" s="160">
        <f ca="1">100/F37</f>
        <v>1</v>
      </c>
      <c r="G39" s="160">
        <f ca="1">100/G37</f>
        <v>1</v>
      </c>
      <c r="H39" s="157">
        <f ca="1">100/H37</f>
        <v>1</v>
      </c>
      <c r="I39" s="72"/>
      <c r="J39" s="72"/>
      <c r="K39" s="72"/>
      <c r="L39" s="72"/>
      <c r="M39" s="72"/>
      <c r="N39" s="72"/>
    </row>
    <row r="40" spans="2:14" ht="16.95" customHeight="1" x14ac:dyDescent="0.3">
      <c r="B40" s="72"/>
      <c r="C40" s="72"/>
      <c r="D40" s="72"/>
      <c r="E40" s="156"/>
      <c r="F40" s="160"/>
      <c r="G40" s="160"/>
      <c r="H40" s="157"/>
      <c r="I40" s="72"/>
      <c r="J40" s="72"/>
      <c r="K40" s="72"/>
      <c r="L40" s="72"/>
      <c r="M40" s="72"/>
      <c r="N40" s="72"/>
    </row>
    <row r="41" spans="2:14" ht="16.95" customHeight="1" x14ac:dyDescent="0.3">
      <c r="B41" s="72"/>
      <c r="C41" s="72"/>
      <c r="D41" s="72"/>
      <c r="E41" s="156" t="s">
        <v>62</v>
      </c>
      <c r="F41" s="160">
        <f ca="1">((H24*100)/H27)</f>
        <v>56.874806321660984</v>
      </c>
      <c r="G41" s="160">
        <f ca="1">((H25*100)/H28)</f>
        <v>56.874806321660991</v>
      </c>
      <c r="H41" s="157">
        <f ca="1">((H26*100)/H29)</f>
        <v>56.874806321660976</v>
      </c>
      <c r="I41" s="72"/>
      <c r="J41" s="72"/>
      <c r="K41" s="72"/>
      <c r="L41" s="72"/>
      <c r="M41" s="72"/>
      <c r="N41" s="72"/>
    </row>
    <row r="42" spans="2:14" ht="16.95" customHeight="1" x14ac:dyDescent="0.3">
      <c r="B42" s="72"/>
      <c r="C42" s="72"/>
      <c r="D42" s="72"/>
      <c r="E42" s="156"/>
      <c r="F42" s="160"/>
      <c r="G42" s="160"/>
      <c r="H42" s="157"/>
      <c r="I42" s="72"/>
      <c r="J42" s="72"/>
      <c r="K42" s="72"/>
      <c r="L42" s="72"/>
      <c r="M42" s="72"/>
      <c r="N42" s="72"/>
    </row>
    <row r="43" spans="2:14" ht="16.95" customHeight="1" x14ac:dyDescent="0.3">
      <c r="B43" s="72"/>
      <c r="C43" s="72"/>
      <c r="D43" s="72"/>
      <c r="E43" s="156" t="s">
        <v>64</v>
      </c>
      <c r="F43" s="160" t="s">
        <v>63</v>
      </c>
      <c r="G43" s="160">
        <f ca="1">360000/H25</f>
        <v>290.5894425223164</v>
      </c>
      <c r="H43" s="157" t="s">
        <v>63</v>
      </c>
      <c r="I43" s="72"/>
      <c r="J43" s="72"/>
      <c r="K43" s="72"/>
      <c r="L43" s="72"/>
      <c r="M43" s="72"/>
      <c r="N43" s="72"/>
    </row>
    <row r="44" spans="2:14" ht="16.95" customHeight="1" x14ac:dyDescent="0.3">
      <c r="B44" s="72"/>
      <c r="C44" s="72"/>
      <c r="D44" s="72"/>
      <c r="E44" s="156"/>
      <c r="F44" s="160"/>
      <c r="G44" s="160"/>
      <c r="H44" s="157"/>
      <c r="I44" s="72"/>
      <c r="J44" s="72"/>
      <c r="K44" s="72"/>
      <c r="L44" s="72"/>
      <c r="M44" s="72"/>
      <c r="N44" s="72"/>
    </row>
    <row r="45" spans="2:14" ht="16.95" customHeight="1" x14ac:dyDescent="0.3">
      <c r="B45" s="72"/>
      <c r="C45" s="72"/>
      <c r="D45" s="72"/>
      <c r="E45" s="156" t="s">
        <v>67</v>
      </c>
      <c r="F45" s="160" t="s">
        <v>63</v>
      </c>
      <c r="G45" s="160">
        <f ca="1">(12*H28*100)/'Error de vuelta a 0'!L9</f>
        <v>1.2394089043677821</v>
      </c>
      <c r="H45" s="157" t="s">
        <v>63</v>
      </c>
      <c r="I45" s="72"/>
      <c r="J45" s="72"/>
      <c r="K45" s="72"/>
      <c r="L45" s="72"/>
      <c r="M45" s="72"/>
      <c r="N45" s="72"/>
    </row>
    <row r="46" spans="2:14" ht="16.95" customHeight="1" x14ac:dyDescent="0.3">
      <c r="B46" s="72"/>
      <c r="C46" s="72"/>
      <c r="D46" s="72"/>
      <c r="E46" s="156"/>
      <c r="F46" s="160"/>
      <c r="G46" s="160"/>
      <c r="H46" s="157"/>
      <c r="I46" s="72"/>
      <c r="J46" s="72"/>
      <c r="K46" s="72"/>
      <c r="L46" s="72"/>
      <c r="M46" s="72"/>
      <c r="N46" s="72"/>
    </row>
    <row r="47" spans="2:14" ht="16.95" customHeight="1" x14ac:dyDescent="0.3">
      <c r="B47" s="72"/>
      <c r="C47" s="72"/>
      <c r="D47" s="72"/>
      <c r="E47" s="156" t="s">
        <v>66</v>
      </c>
      <c r="F47" s="160" t="s">
        <v>63</v>
      </c>
      <c r="G47" s="160">
        <f ca="1">(12*H28*100)/'Error de vuelta a 0'!L8</f>
        <v>1.2394089043677821</v>
      </c>
      <c r="H47" s="157" t="s">
        <v>63</v>
      </c>
      <c r="I47" s="72"/>
      <c r="J47" s="72"/>
      <c r="K47" s="72"/>
      <c r="L47" s="72"/>
      <c r="M47" s="72"/>
      <c r="N47" s="72"/>
    </row>
    <row r="48" spans="2:14" ht="16.95" customHeight="1" x14ac:dyDescent="0.3">
      <c r="B48" s="72"/>
      <c r="C48" s="72"/>
      <c r="D48" s="72"/>
      <c r="E48" s="156"/>
      <c r="F48" s="160"/>
      <c r="G48" s="160"/>
      <c r="H48" s="157"/>
      <c r="I48" s="72"/>
      <c r="J48" s="72"/>
      <c r="K48" s="72"/>
      <c r="L48" s="72"/>
      <c r="M48" s="72"/>
      <c r="N48" s="72"/>
    </row>
    <row r="49" spans="2:14" ht="16.95" customHeight="1" x14ac:dyDescent="0.3">
      <c r="B49" s="72"/>
      <c r="C49" s="72"/>
      <c r="D49" s="72"/>
      <c r="E49" s="156" t="s">
        <v>65</v>
      </c>
      <c r="F49" s="160" t="s">
        <v>63</v>
      </c>
      <c r="G49" s="160">
        <f ca="1">(F35*100)/G35</f>
        <v>74.999999999999986</v>
      </c>
      <c r="H49" s="157" t="s">
        <v>63</v>
      </c>
      <c r="I49" s="72"/>
      <c r="J49" s="72"/>
      <c r="K49" s="72"/>
      <c r="L49" s="72"/>
      <c r="M49" s="72"/>
      <c r="N49" s="72"/>
    </row>
    <row r="50" spans="2:14" ht="16.95" customHeight="1" x14ac:dyDescent="0.3">
      <c r="B50" s="72"/>
      <c r="C50" s="72"/>
      <c r="D50" s="72"/>
      <c r="E50" s="158"/>
      <c r="F50" s="161"/>
      <c r="G50" s="161"/>
      <c r="H50" s="159"/>
      <c r="I50" s="72"/>
      <c r="J50" s="72"/>
      <c r="K50" s="72"/>
      <c r="L50" s="72"/>
      <c r="M50" s="72"/>
      <c r="N50" s="72"/>
    </row>
    <row r="51" spans="2:14" ht="15.6" x14ac:dyDescent="0.3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</row>
    <row r="52" spans="2:14" ht="15.6" x14ac:dyDescent="0.3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</row>
  </sheetData>
  <mergeCells count="48">
    <mergeCell ref="C15:H15"/>
    <mergeCell ref="K8:K9"/>
    <mergeCell ref="L8:L9"/>
    <mergeCell ref="M8:M9"/>
    <mergeCell ref="H4:J4"/>
    <mergeCell ref="C8:C9"/>
    <mergeCell ref="D8:D9"/>
    <mergeCell ref="E8:E9"/>
    <mergeCell ref="F8:F9"/>
    <mergeCell ref="G8:G9"/>
    <mergeCell ref="H9:J9"/>
    <mergeCell ref="C17:H17"/>
    <mergeCell ref="F21:F23"/>
    <mergeCell ref="F24:F26"/>
    <mergeCell ref="F27:F29"/>
    <mergeCell ref="C16:H16"/>
    <mergeCell ref="E35:E36"/>
    <mergeCell ref="F35:F36"/>
    <mergeCell ref="G35:G36"/>
    <mergeCell ref="H35:H36"/>
    <mergeCell ref="E37:E38"/>
    <mergeCell ref="F37:F38"/>
    <mergeCell ref="G37:G38"/>
    <mergeCell ref="H37:H38"/>
    <mergeCell ref="E39:E40"/>
    <mergeCell ref="F39:F40"/>
    <mergeCell ref="G39:G40"/>
    <mergeCell ref="H39:H40"/>
    <mergeCell ref="E41:E42"/>
    <mergeCell ref="F41:F42"/>
    <mergeCell ref="G41:G42"/>
    <mergeCell ref="H41:H42"/>
    <mergeCell ref="E43:E44"/>
    <mergeCell ref="F43:F44"/>
    <mergeCell ref="G43:G44"/>
    <mergeCell ref="H43:H44"/>
    <mergeCell ref="E49:E50"/>
    <mergeCell ref="F49:F50"/>
    <mergeCell ref="G49:G50"/>
    <mergeCell ref="H49:H50"/>
    <mergeCell ref="E45:E46"/>
    <mergeCell ref="F45:F46"/>
    <mergeCell ref="G45:G46"/>
    <mergeCell ref="H45:H46"/>
    <mergeCell ref="E47:E48"/>
    <mergeCell ref="F47:F48"/>
    <mergeCell ref="G47:G48"/>
    <mergeCell ref="H47:H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MAI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2022-09-13T01:31:11Z</dcterms:modified>
</cp:coreProperties>
</file>