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B5FA33AD-3EE0-4CEE-81FD-282E7CFEE53A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K29" i="6"/>
  <c r="K4" i="6"/>
  <c r="F12" i="10"/>
  <c r="F11" i="10"/>
  <c r="Q8" i="7" l="1"/>
  <c r="Q9" i="7"/>
  <c r="Q10" i="7"/>
  <c r="D8" i="7"/>
  <c r="D9" i="7"/>
  <c r="D10" i="7"/>
  <c r="C5" i="12" l="1"/>
  <c r="H9" i="12" s="1"/>
  <c r="C12" i="12"/>
  <c r="C11" i="12"/>
  <c r="C10" i="12"/>
  <c r="J12" i="12"/>
  <c r="F10" i="10" l="1"/>
  <c r="F9" i="10"/>
  <c r="F8" i="10"/>
  <c r="Q11" i="1" l="1"/>
  <c r="E45" i="8"/>
  <c r="E3" i="8"/>
  <c r="D2" i="13" l="1"/>
  <c r="D36" i="13"/>
  <c r="G30" i="2"/>
  <c r="G2" i="2"/>
  <c r="L3" i="1"/>
  <c r="Q8" i="1" s="1"/>
  <c r="H16" i="6"/>
  <c r="K8" i="6" l="1"/>
  <c r="L33" i="6"/>
  <c r="K33" i="6"/>
  <c r="D35" i="2" s="1"/>
  <c r="L8" i="6"/>
  <c r="H17" i="6"/>
  <c r="B20" i="6"/>
  <c r="D5" i="1"/>
  <c r="E5" i="1"/>
  <c r="C5" i="1"/>
  <c r="K34" i="6" l="1"/>
  <c r="D36" i="2" s="1"/>
  <c r="L34" i="6"/>
  <c r="K9" i="6"/>
  <c r="D8" i="2" s="1"/>
  <c r="L9" i="6"/>
  <c r="B50" i="8"/>
  <c r="B40" i="13"/>
  <c r="H18" i="6"/>
  <c r="L7" i="6"/>
  <c r="E6" i="2" s="1"/>
  <c r="Q5" i="1"/>
  <c r="L32" i="6"/>
  <c r="E34" i="2" s="1"/>
  <c r="K32" i="6"/>
  <c r="D34" i="2" s="1"/>
  <c r="K7" i="6"/>
  <c r="D6" i="2" s="1"/>
  <c r="D7" i="2"/>
  <c r="R10" i="7"/>
  <c r="F12" i="12" s="1"/>
  <c r="R9" i="7"/>
  <c r="F11" i="12" s="1"/>
  <c r="R8" i="7"/>
  <c r="F10" i="12" s="1"/>
  <c r="K10" i="6" l="1"/>
  <c r="D9" i="2" s="1"/>
  <c r="K35" i="6"/>
  <c r="L10" i="6"/>
  <c r="L35" i="6"/>
  <c r="B39" i="13"/>
  <c r="C49" i="8"/>
  <c r="C39" i="13"/>
  <c r="B51" i="8"/>
  <c r="B41" i="13"/>
  <c r="C7" i="8"/>
  <c r="C5" i="13"/>
  <c r="B9" i="8"/>
  <c r="B7" i="13"/>
  <c r="B8" i="8"/>
  <c r="B6" i="13"/>
  <c r="B7" i="8"/>
  <c r="B5" i="13"/>
  <c r="H19" i="6"/>
  <c r="E7" i="2"/>
  <c r="B49" i="8"/>
  <c r="K36" i="6" l="1"/>
  <c r="D38" i="2" s="1"/>
  <c r="K11" i="6"/>
  <c r="D10" i="2" s="1"/>
  <c r="L11" i="6"/>
  <c r="L36" i="6"/>
  <c r="D37" i="2"/>
  <c r="C8" i="8"/>
  <c r="C6" i="13"/>
  <c r="B10" i="8"/>
  <c r="B8" i="13"/>
  <c r="H20" i="6"/>
  <c r="F7" i="2"/>
  <c r="E8" i="2"/>
  <c r="E35" i="2"/>
  <c r="E33" i="8"/>
  <c r="F34" i="2"/>
  <c r="F6" i="2"/>
  <c r="K12" i="6" l="1"/>
  <c r="D11" i="2" s="1"/>
  <c r="K37" i="6"/>
  <c r="D39" i="2" s="1"/>
  <c r="L12" i="6"/>
  <c r="L37" i="6"/>
  <c r="B43" i="13"/>
  <c r="B42" i="13"/>
  <c r="D39" i="13"/>
  <c r="D5" i="13"/>
  <c r="C40" i="13"/>
  <c r="B52" i="8"/>
  <c r="B53" i="8"/>
  <c r="G7" i="2"/>
  <c r="D6" i="13"/>
  <c r="C7" i="13"/>
  <c r="B11" i="8"/>
  <c r="B9" i="13"/>
  <c r="E9" i="2"/>
  <c r="H21" i="6"/>
  <c r="F8" i="2"/>
  <c r="C9" i="8"/>
  <c r="F35" i="2"/>
  <c r="C50" i="8"/>
  <c r="E36" i="2"/>
  <c r="G34" i="2"/>
  <c r="G6" i="2"/>
  <c r="K38" i="6" l="1"/>
  <c r="D40" i="2" s="1"/>
  <c r="K13" i="6"/>
  <c r="D12" i="2" s="1"/>
  <c r="L13" i="6"/>
  <c r="L38" i="6"/>
  <c r="B44" i="13"/>
  <c r="C8" i="13"/>
  <c r="B10" i="13"/>
  <c r="G35" i="2"/>
  <c r="D40" i="13"/>
  <c r="C41" i="13"/>
  <c r="B54" i="8"/>
  <c r="G8" i="2"/>
  <c r="D7" i="13"/>
  <c r="E37" i="2"/>
  <c r="B12" i="8"/>
  <c r="H22" i="6"/>
  <c r="C51" i="8"/>
  <c r="F36" i="2"/>
  <c r="E10" i="2"/>
  <c r="C10" i="8"/>
  <c r="F9" i="2"/>
  <c r="G5" i="1"/>
  <c r="K14" i="6" l="1"/>
  <c r="D13" i="2" s="1"/>
  <c r="K39" i="6"/>
  <c r="D41" i="2" s="1"/>
  <c r="L14" i="6"/>
  <c r="L39" i="6"/>
  <c r="D41" i="13"/>
  <c r="B45" i="13"/>
  <c r="C9" i="13"/>
  <c r="D8" i="13"/>
  <c r="C42" i="13"/>
  <c r="B55" i="8"/>
  <c r="B13" i="8"/>
  <c r="B11" i="13"/>
  <c r="F37" i="2"/>
  <c r="C52" i="8"/>
  <c r="E38" i="2"/>
  <c r="E11" i="2"/>
  <c r="H23" i="6"/>
  <c r="G36" i="2"/>
  <c r="G9" i="2"/>
  <c r="C11" i="8"/>
  <c r="F10" i="2"/>
  <c r="K15" i="6" l="1"/>
  <c r="D14" i="2" s="1"/>
  <c r="K40" i="6"/>
  <c r="D42" i="2" s="1"/>
  <c r="L15" i="6"/>
  <c r="L40" i="6"/>
  <c r="B46" i="13"/>
  <c r="D42" i="13"/>
  <c r="C43" i="13"/>
  <c r="C10" i="13"/>
  <c r="B56" i="8"/>
  <c r="F38" i="2"/>
  <c r="G37" i="2"/>
  <c r="G10" i="2"/>
  <c r="D9" i="13"/>
  <c r="B14" i="8"/>
  <c r="B12" i="13"/>
  <c r="C53" i="8"/>
  <c r="E39" i="2"/>
  <c r="E12" i="2"/>
  <c r="C12" i="8"/>
  <c r="F11" i="2"/>
  <c r="H24" i="6"/>
  <c r="K16" i="6" l="1"/>
  <c r="D15" i="2" s="1"/>
  <c r="K41" i="6"/>
  <c r="D43" i="2" s="1"/>
  <c r="L16" i="6"/>
  <c r="L41" i="6"/>
  <c r="C44" i="13"/>
  <c r="D43" i="13"/>
  <c r="B47" i="13"/>
  <c r="B57" i="8"/>
  <c r="C54" i="8"/>
  <c r="G38" i="2"/>
  <c r="C13" i="8"/>
  <c r="C11" i="13"/>
  <c r="G11" i="2"/>
  <c r="D10" i="13"/>
  <c r="B15" i="8"/>
  <c r="B13" i="13"/>
  <c r="F39" i="2"/>
  <c r="F12" i="2"/>
  <c r="E13" i="2"/>
  <c r="H25" i="6"/>
  <c r="E40" i="2"/>
  <c r="K17" i="6" l="1"/>
  <c r="D16" i="2" s="1"/>
  <c r="K42" i="6"/>
  <c r="D44" i="2" s="1"/>
  <c r="L17" i="6"/>
  <c r="L42" i="6"/>
  <c r="B48" i="13"/>
  <c r="D44" i="13"/>
  <c r="C45" i="13"/>
  <c r="B58" i="8"/>
  <c r="G39" i="2"/>
  <c r="F13" i="2"/>
  <c r="C12" i="13"/>
  <c r="G12" i="2"/>
  <c r="D11" i="13"/>
  <c r="B16" i="8"/>
  <c r="B14" i="13"/>
  <c r="E41" i="2"/>
  <c r="C14" i="8"/>
  <c r="E14" i="2"/>
  <c r="H26" i="6"/>
  <c r="F40" i="2"/>
  <c r="C55" i="8"/>
  <c r="E15" i="2"/>
  <c r="K18" i="6" l="1"/>
  <c r="D17" i="2" s="1"/>
  <c r="K43" i="6"/>
  <c r="D45" i="2" s="1"/>
  <c r="L18" i="6"/>
  <c r="L43" i="6"/>
  <c r="D45" i="13"/>
  <c r="B49" i="13"/>
  <c r="B15" i="13"/>
  <c r="C14" i="13"/>
  <c r="C46" i="13"/>
  <c r="B59" i="8"/>
  <c r="G40" i="2"/>
  <c r="C13" i="13"/>
  <c r="G13" i="2"/>
  <c r="D12" i="13"/>
  <c r="F41" i="2"/>
  <c r="C56" i="8"/>
  <c r="E42" i="2"/>
  <c r="F14" i="2"/>
  <c r="C15" i="8"/>
  <c r="B17" i="8"/>
  <c r="H27" i="6"/>
  <c r="C16" i="8"/>
  <c r="F15" i="2"/>
  <c r="K19" i="6" l="1"/>
  <c r="D18" i="2" s="1"/>
  <c r="K44" i="6"/>
  <c r="D46" i="2" s="1"/>
  <c r="L19" i="6"/>
  <c r="L44" i="6"/>
  <c r="B50" i="13"/>
  <c r="D46" i="13"/>
  <c r="C47" i="13"/>
  <c r="G41" i="2"/>
  <c r="B60" i="8"/>
  <c r="G15" i="2"/>
  <c r="D14" i="13"/>
  <c r="G14" i="2"/>
  <c r="D13" i="13"/>
  <c r="B18" i="8"/>
  <c r="B16" i="13"/>
  <c r="F42" i="2"/>
  <c r="C57" i="8"/>
  <c r="E43" i="2"/>
  <c r="E16" i="2"/>
  <c r="H28" i="6"/>
  <c r="K45" i="6" l="1"/>
  <c r="D47" i="2" s="1"/>
  <c r="K20" i="6"/>
  <c r="D19" i="2" s="1"/>
  <c r="L20" i="6"/>
  <c r="L45" i="6"/>
  <c r="D47" i="13"/>
  <c r="B51" i="13"/>
  <c r="C48" i="13"/>
  <c r="G42" i="2"/>
  <c r="B61" i="8"/>
  <c r="C15" i="13"/>
  <c r="B19" i="8"/>
  <c r="B17" i="13"/>
  <c r="F43" i="2"/>
  <c r="C58" i="8"/>
  <c r="C17" i="8"/>
  <c r="E17" i="2"/>
  <c r="F16" i="2"/>
  <c r="H29" i="6"/>
  <c r="E44" i="2"/>
  <c r="K46" i="6" l="1"/>
  <c r="D48" i="2" s="1"/>
  <c r="K21" i="6"/>
  <c r="D20" i="2" s="1"/>
  <c r="L21" i="6"/>
  <c r="E20" i="2" s="1"/>
  <c r="L46" i="6"/>
  <c r="L4" i="1"/>
  <c r="Q9" i="1" s="1"/>
  <c r="D48" i="13"/>
  <c r="C49" i="13"/>
  <c r="B52" i="13"/>
  <c r="G43" i="2"/>
  <c r="B62" i="8"/>
  <c r="G16" i="2"/>
  <c r="D15" i="13"/>
  <c r="C16" i="13"/>
  <c r="B20" i="8"/>
  <c r="B18" i="13"/>
  <c r="E45" i="2"/>
  <c r="E18" i="2"/>
  <c r="F17" i="2"/>
  <c r="C18" i="8"/>
  <c r="H30" i="6"/>
  <c r="C59" i="8"/>
  <c r="F44" i="2"/>
  <c r="K47" i="6" l="1"/>
  <c r="D49" i="2" s="1"/>
  <c r="K22" i="6"/>
  <c r="D21" i="2" s="1"/>
  <c r="L22" i="6"/>
  <c r="L47" i="6"/>
  <c r="D49" i="13"/>
  <c r="B53" i="13"/>
  <c r="C17" i="13"/>
  <c r="C19" i="13"/>
  <c r="C50" i="13"/>
  <c r="B63" i="8"/>
  <c r="G44" i="2"/>
  <c r="G17" i="2"/>
  <c r="D16" i="13"/>
  <c r="B21" i="8"/>
  <c r="B19" i="13"/>
  <c r="F45" i="2"/>
  <c r="C60" i="8"/>
  <c r="E46" i="2"/>
  <c r="F18" i="2"/>
  <c r="C19" i="8"/>
  <c r="E19" i="2"/>
  <c r="H31" i="6"/>
  <c r="C21" i="8"/>
  <c r="F20" i="2"/>
  <c r="K23" i="6" l="1"/>
  <c r="D22" i="2" s="1"/>
  <c r="K48" i="6"/>
  <c r="D50" i="2" s="1"/>
  <c r="L23" i="6"/>
  <c r="L48" i="6"/>
  <c r="D50" i="13"/>
  <c r="B54" i="13"/>
  <c r="B20" i="13"/>
  <c r="C51" i="13"/>
  <c r="B64" i="8"/>
  <c r="G45" i="2"/>
  <c r="G18" i="2"/>
  <c r="D17" i="13"/>
  <c r="C18" i="13"/>
  <c r="G20" i="2"/>
  <c r="D19" i="13"/>
  <c r="C61" i="8"/>
  <c r="F46" i="2"/>
  <c r="E47" i="2"/>
  <c r="F19" i="2"/>
  <c r="C20" i="8"/>
  <c r="H32" i="6"/>
  <c r="B22" i="8"/>
  <c r="K49" i="6" l="1"/>
  <c r="D51" i="2" s="1"/>
  <c r="K24" i="6"/>
  <c r="D23" i="2" s="1"/>
  <c r="L24" i="6"/>
  <c r="L49" i="6"/>
  <c r="E62" i="6"/>
  <c r="E64" i="6" s="1"/>
  <c r="E65" i="6" s="1"/>
  <c r="D51" i="13"/>
  <c r="B55" i="13"/>
  <c r="C52" i="13"/>
  <c r="B65" i="8"/>
  <c r="G46" i="2"/>
  <c r="G19" i="2"/>
  <c r="D18" i="13"/>
  <c r="B23" i="8"/>
  <c r="B21" i="13"/>
  <c r="F47" i="2"/>
  <c r="C62" i="8"/>
  <c r="E21" i="2"/>
  <c r="H33" i="6"/>
  <c r="E48" i="2"/>
  <c r="K50" i="6" l="1"/>
  <c r="D52" i="2" s="1"/>
  <c r="K25" i="6"/>
  <c r="D24" i="2" s="1"/>
  <c r="L25" i="6"/>
  <c r="L50" i="6"/>
  <c r="D52" i="13"/>
  <c r="C53" i="13"/>
  <c r="B56" i="13"/>
  <c r="B66" i="8"/>
  <c r="G47" i="2"/>
  <c r="C20" i="13"/>
  <c r="B24" i="8"/>
  <c r="B22" i="13"/>
  <c r="E49" i="2"/>
  <c r="E22" i="2"/>
  <c r="F21" i="2"/>
  <c r="C22" i="8"/>
  <c r="H34" i="6"/>
  <c r="C63" i="8"/>
  <c r="F48" i="2"/>
  <c r="K26" i="6" l="1"/>
  <c r="D25" i="2" s="1"/>
  <c r="K51" i="6"/>
  <c r="D53" i="2" s="1"/>
  <c r="L26" i="6"/>
  <c r="E25" i="2" s="1"/>
  <c r="L51" i="6"/>
  <c r="B57" i="13"/>
  <c r="D53" i="13"/>
  <c r="C54" i="13"/>
  <c r="B67" i="8"/>
  <c r="G48" i="2"/>
  <c r="G21" i="2"/>
  <c r="D20" i="13"/>
  <c r="C23" i="8"/>
  <c r="C21" i="13"/>
  <c r="B25" i="8"/>
  <c r="B23" i="13"/>
  <c r="F22" i="2"/>
  <c r="C64" i="8"/>
  <c r="F49" i="2"/>
  <c r="E50" i="2"/>
  <c r="E23" i="2"/>
  <c r="B58" i="13" l="1"/>
  <c r="D54" i="13"/>
  <c r="C55" i="13"/>
  <c r="C24" i="13"/>
  <c r="G49" i="2"/>
  <c r="B68" i="8"/>
  <c r="G22" i="2"/>
  <c r="D21" i="13"/>
  <c r="C22" i="13"/>
  <c r="B26" i="8"/>
  <c r="B24" i="13"/>
  <c r="C65" i="8"/>
  <c r="F50" i="2"/>
  <c r="E51" i="2"/>
  <c r="F23" i="2"/>
  <c r="E24" i="2"/>
  <c r="C24" i="8"/>
  <c r="C26" i="8"/>
  <c r="F25" i="2"/>
  <c r="D55" i="13" l="1"/>
  <c r="D24" i="13"/>
  <c r="C56" i="13"/>
  <c r="G50" i="2"/>
  <c r="J7" i="2"/>
  <c r="C23" i="13"/>
  <c r="G23" i="2"/>
  <c r="D22" i="13"/>
  <c r="G25" i="2"/>
  <c r="C66" i="8"/>
  <c r="F51" i="2"/>
  <c r="E52" i="2"/>
  <c r="E53" i="2"/>
  <c r="C25" i="8"/>
  <c r="F24" i="2"/>
  <c r="C29" i="8" s="1"/>
  <c r="J35" i="2" l="1"/>
  <c r="D56" i="13"/>
  <c r="C57" i="13"/>
  <c r="C58" i="13"/>
  <c r="G51" i="2"/>
  <c r="D23" i="13"/>
  <c r="C68" i="8"/>
  <c r="C67" i="8"/>
  <c r="F52" i="2"/>
  <c r="F53" i="2"/>
  <c r="G24" i="2"/>
  <c r="G26" i="2" s="1"/>
  <c r="F26" i="2"/>
  <c r="L12" i="1"/>
  <c r="Q13" i="1" s="1"/>
  <c r="C71" i="8" l="1"/>
  <c r="E61" i="13"/>
  <c r="D57" i="13"/>
  <c r="D58" i="13"/>
  <c r="G53" i="2"/>
  <c r="G52" i="2"/>
  <c r="F54" i="2"/>
  <c r="J12" i="2"/>
  <c r="F27" i="2" s="1"/>
  <c r="F125" i="6"/>
  <c r="E66" i="6" s="1"/>
  <c r="M61" i="13" l="1"/>
  <c r="H61" i="13"/>
  <c r="I39" i="13" s="1"/>
  <c r="E63" i="13"/>
  <c r="E12" i="12" s="1"/>
  <c r="M62" i="13"/>
  <c r="G54" i="2"/>
  <c r="J40" i="2" s="1"/>
  <c r="F55" i="2" s="1"/>
  <c r="D25" i="8"/>
  <c r="H25" i="8" s="1"/>
  <c r="I25" i="8" s="1"/>
  <c r="J25" i="8" s="1" a="1"/>
  <c r="J25" i="8" s="1"/>
  <c r="E25" i="8" s="1"/>
  <c r="F25" i="8" s="1"/>
  <c r="K25" i="8" s="1"/>
  <c r="D13" i="8"/>
  <c r="H13" i="8" s="1"/>
  <c r="I13" i="8" s="1"/>
  <c r="J13" i="8" s="1" a="1"/>
  <c r="J13" i="8" s="1"/>
  <c r="E13" i="8" s="1"/>
  <c r="F13" i="8" s="1"/>
  <c r="K13" i="8" s="1"/>
  <c r="D16" i="8"/>
  <c r="H16" i="8" s="1"/>
  <c r="I16" i="8" s="1"/>
  <c r="J16" i="8" s="1" a="1"/>
  <c r="J16" i="8" s="1"/>
  <c r="E16" i="8" s="1"/>
  <c r="F16" i="8" s="1"/>
  <c r="K16" i="8" s="1"/>
  <c r="D8" i="8"/>
  <c r="H8" i="8" s="1"/>
  <c r="I8" i="8" s="1"/>
  <c r="J8" i="8" s="1" a="1"/>
  <c r="J8" i="8" s="1"/>
  <c r="E8" i="8" s="1"/>
  <c r="F8" i="8" s="1"/>
  <c r="K8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9" i="8"/>
  <c r="H9" i="8" s="1"/>
  <c r="I9" i="8" s="1"/>
  <c r="J9" i="8" s="1" a="1"/>
  <c r="J9" i="8" s="1"/>
  <c r="E9" i="8" s="1"/>
  <c r="F9" i="8" s="1"/>
  <c r="K9" i="8" s="1"/>
  <c r="D12" i="8"/>
  <c r="H12" i="8" s="1"/>
  <c r="I12" i="8" s="1"/>
  <c r="J12" i="8" s="1" a="1"/>
  <c r="J12" i="8" s="1"/>
  <c r="E12" i="8" s="1"/>
  <c r="F12" i="8" s="1"/>
  <c r="K12" i="8" s="1"/>
  <c r="E34" i="8"/>
  <c r="D24" i="8"/>
  <c r="H24" i="8" s="1"/>
  <c r="I24" i="8" s="1"/>
  <c r="J24" i="8" s="1" a="1"/>
  <c r="J24" i="8" s="1"/>
  <c r="E24" i="8" s="1"/>
  <c r="F24" i="8" s="1"/>
  <c r="K24" i="8" s="1"/>
  <c r="D15" i="8"/>
  <c r="H15" i="8" s="1"/>
  <c r="I15" i="8" s="1"/>
  <c r="J15" i="8" s="1" a="1"/>
  <c r="J15" i="8" s="1"/>
  <c r="E15" i="8" s="1"/>
  <c r="F15" i="8" s="1"/>
  <c r="K15" i="8" s="1"/>
  <c r="D23" i="8"/>
  <c r="H23" i="8" s="1"/>
  <c r="I23" i="8" s="1"/>
  <c r="J23" i="8" s="1" a="1"/>
  <c r="J23" i="8" s="1"/>
  <c r="E23" i="8" s="1"/>
  <c r="F23" i="8" s="1"/>
  <c r="K23" i="8" s="1"/>
  <c r="D14" i="8"/>
  <c r="H14" i="8" s="1"/>
  <c r="I14" i="8" s="1"/>
  <c r="J14" i="8" s="1" a="1"/>
  <c r="J14" i="8" s="1"/>
  <c r="E14" i="8" s="1"/>
  <c r="F14" i="8" s="1"/>
  <c r="K14" i="8" s="1"/>
  <c r="D18" i="8"/>
  <c r="H18" i="8" s="1"/>
  <c r="I18" i="8" s="1"/>
  <c r="J18" i="8" s="1" a="1"/>
  <c r="J18" i="8" s="1"/>
  <c r="E18" i="8" s="1"/>
  <c r="F18" i="8" s="1"/>
  <c r="K18" i="8" s="1"/>
  <c r="D11" i="8"/>
  <c r="H11" i="8" s="1"/>
  <c r="I11" i="8" s="1"/>
  <c r="J11" i="8" s="1" a="1"/>
  <c r="J11" i="8" s="1"/>
  <c r="E11" i="8" s="1"/>
  <c r="F11" i="8" s="1"/>
  <c r="K11" i="8" s="1"/>
  <c r="D22" i="8"/>
  <c r="H22" i="8" s="1"/>
  <c r="I22" i="8" s="1"/>
  <c r="J22" i="8" s="1" a="1"/>
  <c r="J22" i="8" s="1"/>
  <c r="E22" i="8" s="1"/>
  <c r="F22" i="8" s="1"/>
  <c r="K22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21" i="8"/>
  <c r="H21" i="8" s="1"/>
  <c r="I21" i="8" s="1"/>
  <c r="J21" i="8" s="1" a="1"/>
  <c r="J21" i="8" s="1"/>
  <c r="E21" i="8" s="1"/>
  <c r="F21" i="8" s="1"/>
  <c r="K21" i="8" s="1"/>
  <c r="D10" i="8"/>
  <c r="H10" i="8" s="1"/>
  <c r="I10" i="8" s="1"/>
  <c r="J10" i="8" s="1" a="1"/>
  <c r="J10" i="8" s="1"/>
  <c r="E10" i="8" s="1"/>
  <c r="F10" i="8" s="1"/>
  <c r="K10" i="8" s="1"/>
  <c r="D20" i="8"/>
  <c r="H20" i="8" s="1"/>
  <c r="I20" i="8" s="1"/>
  <c r="J20" i="8" s="1" a="1"/>
  <c r="J20" i="8" s="1"/>
  <c r="E20" i="8" s="1"/>
  <c r="F20" i="8" s="1"/>
  <c r="K20" i="8" s="1"/>
  <c r="F126" i="6"/>
  <c r="H62" i="13" l="1"/>
  <c r="K38" i="13" s="1"/>
  <c r="I40" i="13" s="1"/>
  <c r="E67" i="6"/>
  <c r="F127" i="6" s="1"/>
  <c r="E3" i="6" s="1"/>
  <c r="D3" i="6" s="1"/>
  <c r="G12" i="12"/>
  <c r="I12" i="12" s="1"/>
  <c r="K12" i="12" s="1"/>
  <c r="M12" i="12" s="1"/>
  <c r="K27" i="8"/>
  <c r="E35" i="8" s="1"/>
  <c r="F27" i="8"/>
  <c r="E37" i="8" l="1"/>
  <c r="I41" i="13"/>
  <c r="J41" i="13" s="1"/>
  <c r="J40" i="13"/>
  <c r="L12" i="12"/>
  <c r="E36" i="8"/>
  <c r="D54" i="8"/>
  <c r="H54" i="8" s="1"/>
  <c r="I54" i="8" s="1"/>
  <c r="J54" i="8" s="1" a="1"/>
  <c r="J54" i="8" s="1"/>
  <c r="E54" i="8" s="1"/>
  <c r="F54" i="8" s="1"/>
  <c r="K54" i="8" s="1"/>
  <c r="D65" i="8"/>
  <c r="H65" i="8" s="1"/>
  <c r="I65" i="8" s="1"/>
  <c r="J65" i="8" s="1" a="1"/>
  <c r="J65" i="8" s="1"/>
  <c r="E65" i="8" s="1"/>
  <c r="F65" i="8" s="1"/>
  <c r="K65" i="8" s="1"/>
  <c r="D57" i="8"/>
  <c r="H57" i="8" s="1"/>
  <c r="I57" i="8" s="1"/>
  <c r="J57" i="8" s="1" a="1"/>
  <c r="J57" i="8" s="1"/>
  <c r="E57" i="8" s="1"/>
  <c r="F57" i="8" s="1"/>
  <c r="K57" i="8" s="1"/>
  <c r="D50" i="8"/>
  <c r="H50" i="8" s="1"/>
  <c r="I50" i="8" s="1"/>
  <c r="J50" i="8" s="1" a="1"/>
  <c r="J50" i="8" s="1"/>
  <c r="E50" i="8" s="1"/>
  <c r="F50" i="8" s="1"/>
  <c r="K50" i="8" s="1"/>
  <c r="D62" i="8"/>
  <c r="H62" i="8" s="1"/>
  <c r="I62" i="8" s="1"/>
  <c r="J62" i="8" s="1" a="1"/>
  <c r="J62" i="8" s="1"/>
  <c r="E62" i="8" s="1"/>
  <c r="F62" i="8" s="1"/>
  <c r="K62" i="8" s="1"/>
  <c r="E76" i="8"/>
  <c r="D49" i="8"/>
  <c r="H49" i="8" s="1"/>
  <c r="I49" i="8" s="1"/>
  <c r="J49" i="8" s="1" a="1"/>
  <c r="J49" i="8" s="1"/>
  <c r="E49" i="8" s="1"/>
  <c r="F49" i="8" s="1"/>
  <c r="K49" i="8" s="1"/>
  <c r="D56" i="8"/>
  <c r="H56" i="8" s="1"/>
  <c r="I56" i="8" s="1"/>
  <c r="J56" i="8" s="1" a="1"/>
  <c r="J56" i="8" s="1"/>
  <c r="E56" i="8" s="1"/>
  <c r="F56" i="8" s="1"/>
  <c r="K56" i="8" s="1"/>
  <c r="D66" i="8"/>
  <c r="H66" i="8" s="1"/>
  <c r="I66" i="8" s="1"/>
  <c r="J66" i="8" s="1" a="1"/>
  <c r="J66" i="8" s="1"/>
  <c r="E66" i="8" s="1"/>
  <c r="F66" i="8" s="1"/>
  <c r="K66" i="8" s="1"/>
  <c r="D59" i="8"/>
  <c r="H59" i="8" s="1"/>
  <c r="I59" i="8" s="1"/>
  <c r="J59" i="8" s="1" a="1"/>
  <c r="J59" i="8" s="1"/>
  <c r="E59" i="8" s="1"/>
  <c r="F59" i="8" s="1"/>
  <c r="K59" i="8" s="1"/>
  <c r="D60" i="8"/>
  <c r="H60" i="8" s="1"/>
  <c r="I60" i="8" s="1"/>
  <c r="J60" i="8" s="1" a="1"/>
  <c r="J60" i="8" s="1"/>
  <c r="E60" i="8" s="1"/>
  <c r="F60" i="8" s="1"/>
  <c r="K60" i="8" s="1"/>
  <c r="D55" i="8"/>
  <c r="H55" i="8" s="1"/>
  <c r="I55" i="8" s="1"/>
  <c r="J55" i="8" s="1" a="1"/>
  <c r="J55" i="8" s="1"/>
  <c r="E55" i="8" s="1"/>
  <c r="F55" i="8" s="1"/>
  <c r="K55" i="8" s="1"/>
  <c r="D61" i="8"/>
  <c r="H61" i="8" s="1"/>
  <c r="I61" i="8" s="1"/>
  <c r="J61" i="8" s="1" a="1"/>
  <c r="J61" i="8" s="1"/>
  <c r="E61" i="8" s="1"/>
  <c r="F61" i="8" s="1"/>
  <c r="K61" i="8" s="1"/>
  <c r="D52" i="8"/>
  <c r="H52" i="8" s="1"/>
  <c r="I52" i="8" s="1"/>
  <c r="J52" i="8" s="1" a="1"/>
  <c r="J52" i="8" s="1"/>
  <c r="E52" i="8" s="1"/>
  <c r="F52" i="8" s="1"/>
  <c r="K52" i="8" s="1"/>
  <c r="D53" i="8"/>
  <c r="H53" i="8" s="1"/>
  <c r="I53" i="8" s="1"/>
  <c r="J53" i="8" s="1" a="1"/>
  <c r="J53" i="8" s="1"/>
  <c r="E53" i="8" s="1"/>
  <c r="F53" i="8" s="1"/>
  <c r="K53" i="8" s="1"/>
  <c r="D64" i="8"/>
  <c r="H64" i="8" s="1"/>
  <c r="I64" i="8" s="1"/>
  <c r="J64" i="8" s="1" a="1"/>
  <c r="J64" i="8" s="1"/>
  <c r="E64" i="8" s="1"/>
  <c r="F64" i="8" s="1"/>
  <c r="K64" i="8" s="1"/>
  <c r="D51" i="8"/>
  <c r="H51" i="8" s="1"/>
  <c r="I51" i="8" s="1"/>
  <c r="J51" i="8" s="1" a="1"/>
  <c r="J51" i="8" s="1"/>
  <c r="E51" i="8" s="1"/>
  <c r="F51" i="8" s="1"/>
  <c r="K51" i="8" s="1"/>
  <c r="D63" i="8"/>
  <c r="H63" i="8" s="1"/>
  <c r="I63" i="8" s="1"/>
  <c r="J63" i="8" s="1" a="1"/>
  <c r="J63" i="8" s="1"/>
  <c r="E63" i="8" s="1"/>
  <c r="F63" i="8" s="1"/>
  <c r="K63" i="8" s="1"/>
  <c r="D68" i="8"/>
  <c r="H68" i="8" s="1"/>
  <c r="I68" i="8" s="1"/>
  <c r="J68" i="8" s="1" a="1"/>
  <c r="J68" i="8" s="1"/>
  <c r="E68" i="8" s="1"/>
  <c r="F68" i="8" s="1"/>
  <c r="K68" i="8" s="1"/>
  <c r="D58" i="8"/>
  <c r="H58" i="8" s="1"/>
  <c r="I58" i="8" s="1"/>
  <c r="J58" i="8" s="1" a="1"/>
  <c r="J58" i="8" s="1"/>
  <c r="E58" i="8" s="1"/>
  <c r="F58" i="8" s="1"/>
  <c r="K58" i="8" s="1"/>
  <c r="D67" i="8"/>
  <c r="H67" i="8" s="1"/>
  <c r="I67" i="8" s="1"/>
  <c r="J67" i="8" s="1" a="1"/>
  <c r="J67" i="8" s="1"/>
  <c r="E67" i="8" s="1"/>
  <c r="F67" i="8" s="1"/>
  <c r="K67" i="8" s="1"/>
  <c r="E4" i="6"/>
  <c r="E9" i="6" s="1"/>
  <c r="E4" i="1" s="1"/>
  <c r="D4" i="6"/>
  <c r="D9" i="6" s="1"/>
  <c r="D4" i="1" s="1"/>
  <c r="C3" i="6"/>
  <c r="C4" i="6" s="1"/>
  <c r="C9" i="6" s="1"/>
  <c r="B61" i="6" l="1"/>
  <c r="I42" i="13"/>
  <c r="J42" i="13" s="1"/>
  <c r="H41" i="13" s="1"/>
  <c r="K69" i="8"/>
  <c r="E77" i="8" s="1"/>
  <c r="F69" i="8"/>
  <c r="C4" i="1"/>
  <c r="E79" i="8" l="1"/>
  <c r="I43" i="13"/>
  <c r="J43" i="13" s="1"/>
  <c r="H42" i="13" s="1"/>
  <c r="E78" i="8"/>
  <c r="G4" i="1"/>
  <c r="G7" i="1" s="1"/>
  <c r="Q4" i="1"/>
  <c r="I44" i="13" l="1"/>
  <c r="Q6" i="1"/>
  <c r="G8" i="1"/>
  <c r="J44" i="13" l="1"/>
  <c r="H43" i="13" s="1"/>
  <c r="Q7" i="1"/>
  <c r="L8" i="1"/>
  <c r="L13" i="1"/>
  <c r="Q14" i="1" l="1"/>
  <c r="L15" i="1"/>
  <c r="L9" i="1"/>
  <c r="Q10" i="1"/>
  <c r="Q12" i="1" l="1"/>
  <c r="I17" i="1"/>
  <c r="E27" i="13" l="1"/>
  <c r="E29" i="13" s="1"/>
  <c r="E10" i="12" s="1"/>
  <c r="G11" i="12" l="1"/>
  <c r="M27" i="13"/>
  <c r="H27" i="13"/>
  <c r="M28" i="13"/>
  <c r="J11" i="12" l="1"/>
  <c r="I11" i="12"/>
  <c r="G10" i="12"/>
  <c r="I5" i="13"/>
  <c r="H28" i="13"/>
  <c r="K4" i="13" s="1"/>
  <c r="K11" i="12" l="1"/>
  <c r="J10" i="12"/>
  <c r="J13" i="12" s="1"/>
  <c r="I10" i="12"/>
  <c r="I13" i="12" s="1"/>
  <c r="G5" i="13"/>
  <c r="I6" i="13"/>
  <c r="L11" i="12" l="1"/>
  <c r="M11" i="12"/>
  <c r="H19" i="12"/>
  <c r="I14" i="12"/>
  <c r="I15" i="12"/>
  <c r="K10" i="12"/>
  <c r="K13" i="12" s="1"/>
  <c r="H25" i="12"/>
  <c r="F40" i="12" s="1"/>
  <c r="J14" i="12"/>
  <c r="H23" i="12" s="1"/>
  <c r="G42" i="12" s="1"/>
  <c r="J15" i="12"/>
  <c r="H22" i="12"/>
  <c r="J6" i="13"/>
  <c r="H5" i="13" s="1"/>
  <c r="F5" i="13" s="1"/>
  <c r="H39" i="13"/>
  <c r="F39" i="13" s="1"/>
  <c r="G6" i="13"/>
  <c r="I7" i="13"/>
  <c r="J7" i="13" s="1"/>
  <c r="F34" i="12" l="1"/>
  <c r="H21" i="12"/>
  <c r="L10" i="12"/>
  <c r="L14" i="12" s="1"/>
  <c r="M10" i="12"/>
  <c r="H20" i="12"/>
  <c r="F36" i="12"/>
  <c r="F38" i="12" s="1"/>
  <c r="H26" i="12"/>
  <c r="G40" i="12" s="1"/>
  <c r="H27" i="12"/>
  <c r="H24" i="12"/>
  <c r="M15" i="12"/>
  <c r="H6" i="13"/>
  <c r="F6" i="13" s="1"/>
  <c r="E6" i="13" s="1"/>
  <c r="H40" i="13"/>
  <c r="E39" i="13"/>
  <c r="I8" i="13"/>
  <c r="G7" i="13"/>
  <c r="E5" i="13"/>
  <c r="H40" i="12" l="1"/>
  <c r="G44" i="12"/>
  <c r="H34" i="12"/>
  <c r="H36" i="12"/>
  <c r="H38" i="12" s="1"/>
  <c r="G46" i="12"/>
  <c r="G34" i="12"/>
  <c r="G48" i="12" s="1"/>
  <c r="G36" i="12"/>
  <c r="G38" i="12" s="1"/>
  <c r="F40" i="13"/>
  <c r="E40" i="13" s="1"/>
  <c r="I9" i="13"/>
  <c r="G8" i="13"/>
  <c r="J8" i="13"/>
  <c r="H7" i="13" s="1"/>
  <c r="F41" i="13" l="1"/>
  <c r="E41" i="13" s="1"/>
  <c r="I10" i="13"/>
  <c r="J10" i="13" s="1"/>
  <c r="G9" i="13"/>
  <c r="J9" i="13"/>
  <c r="H8" i="13" s="1"/>
  <c r="F8" i="13" s="1"/>
  <c r="E8" i="13" s="1"/>
  <c r="F7" i="13"/>
  <c r="F42" i="13" l="1"/>
  <c r="E42" i="13" s="1"/>
  <c r="H9" i="13"/>
  <c r="F9" i="13" s="1"/>
  <c r="E9" i="13" s="1"/>
  <c r="E7" i="13"/>
  <c r="F43" i="13" l="1"/>
  <c r="E43" i="13" s="1"/>
  <c r="H44" i="13"/>
  <c r="E10" i="13"/>
  <c r="O6" i="13"/>
  <c r="O9" i="13"/>
  <c r="O11" i="13"/>
  <c r="N13" i="13"/>
  <c r="H10" i="13"/>
  <c r="E44" i="13"/>
  <c r="O40" i="13"/>
  <c r="O43" i="13"/>
  <c r="O45" i="13"/>
  <c r="N47" i="13"/>
  <c r="O8" i="13"/>
  <c r="O5" i="13"/>
  <c r="F10" i="13"/>
  <c r="F44" i="13"/>
  <c r="O39" i="13"/>
  <c r="O4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<sst xmlns="http://schemas.openxmlformats.org/spreadsheetml/2006/main" count="326" uniqueCount="148">
  <si>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</si>
  <si>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</si>
  <si>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</si>
  <si>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</si>
  <si>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</si>
  <si>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</si>
  <si>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</si>
  <si>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</si>
  <si>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</si>
  <si>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</si>
  <si>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</si>
  <si>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</si>
  <si>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</si>
  <si>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</si>
  <si>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</si>
  <si>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</si>
  <si>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</si>
  <si>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</si>
  <si>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</si>
  <si>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</si>
  <si>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</si>
  <si>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</si>
  <si>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</si>
  <si>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</si>
  <si>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</si>
  <si>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</si>
  <si>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</si>
  <si>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</si>
  <si>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</si>
  <si>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</si>
  <si>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</si>
  <si>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</si>
  <si>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</si>
  <si>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</si>
  <si>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</si>
  <si>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</si>
  <si>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</si>
  <si>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</si>
  <si>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</si>
  <si>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</si>
  <si>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</si>
  <si>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</si>
  <si>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</si>
  <si>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</si>
  <si>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</si>
  <si>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</si>
  <si>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</si>
  <si>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</si>
  <si>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</si>
  <si>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</si>
  <si>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</si>
  <si>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</si>
  <si>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</si>
  <si>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</si>
  <si>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</si>
  <si>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</si>
  <si>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</si>
  <si>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</si>
  <si>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</si>
  <si>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</si>
  <si>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</si>
  <si>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</si>
  <si>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</si>
  <si>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</si>
  <si>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</si>
  <si>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</si>
  <si>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</si>
  <si>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</si>
  <si>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</si>
  <si>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</si>
  <si>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</si>
  <si>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</si>
  <si>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</si>
  <si>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</si>
  <si>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</si>
  <si>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</si>
  <si>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</si>
  <si>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</si>
  <si>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</si>
  <si>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</si>
  <si>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</si>
  <si>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</si>
  <si>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</si>
  <si>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</si>
  <si>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</si>
  <si>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</si>
  <si>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</si>
  <si>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</si>
  <si>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</si>
  <si>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</si>
  <si>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</si>
  <si>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</si>
  <si>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</si>
  <si>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</si>
  <si>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</si>
  <si>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</si>
  <si>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</si>
  <si>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</si>
  <si>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</si>
  <si>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</si>
  <si>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</si>
  <si>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</si>
  <si>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</si>
  <si>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</si>
  <si>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</si>
  <si>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</si>
  <si>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R</t>
  </si>
  <si>
    <t>.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</si>
  <si>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</si>
  <si>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</si>
  <si>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</si>
  <si>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</si>
  <si>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</si>
  <si>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</si>
  <si>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</si>
  <si>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</si>
  <si>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</si>
  <si>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</si>
  <si>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</si>
  <si>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</si>
  <si>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Revisa orden de produccion</t>
  </si>
  <si>
    <t>Revisa lista de avios y cantidades requeridas</t>
  </si>
  <si>
    <t>Organiza la preparacion de avios</t>
  </si>
  <si>
    <t xml:space="preserve">Habilita avios </t>
  </si>
  <si>
    <t>H</t>
  </si>
  <si>
    <t>Embolsado de avios requeridos</t>
  </si>
  <si>
    <t>Entrega avios</t>
  </si>
  <si>
    <t>Recibe avios solicitados</t>
  </si>
  <si>
    <t>Habilitado de avíos</t>
  </si>
  <si>
    <t>TIPO</t>
  </si>
  <si>
    <t>II</t>
  </si>
  <si>
    <t>IIIII</t>
  </si>
  <si>
    <t>IIII</t>
  </si>
  <si>
    <t>IIIIII</t>
  </si>
  <si>
    <t>III</t>
  </si>
  <si>
    <t>Tiempo Largo (reloj de puslo ordinario)</t>
  </si>
  <si>
    <t>N° de Elementos en Operación Abrir Rollo de Tela</t>
  </si>
  <si>
    <t>Observaciones</t>
  </si>
  <si>
    <t>NP</t>
  </si>
  <si>
    <t>P</t>
  </si>
  <si>
    <t>F</t>
  </si>
  <si>
    <t>CA</t>
  </si>
  <si>
    <t>CI</t>
  </si>
  <si>
    <t>TM</t>
  </si>
  <si>
    <t>M</t>
  </si>
  <si>
    <t>Incentivo</t>
  </si>
  <si>
    <t>Ritmo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</si>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</sst>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???/???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" fontId="5" fillId="2" borderId="19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0" fontId="5" fillId="0" borderId="10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0" fontId="5" fillId="0" borderId="0" xfId="0" applyNumberFormat="1" applyFont="1" applyBorder="1" applyAlignment="1">
      <alignment horizontal="center" vertical="center" wrapText="1"/>
    </xf>
    <xf numFmtId="39" fontId="5" fillId="0" borderId="17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9" fontId="5" fillId="0" borderId="5" xfId="0" applyNumberFormat="1" applyFont="1" applyBorder="1" applyAlignment="1">
      <alignment horizontal="center" vertical="center" wrapText="1"/>
    </xf>
    <xf numFmtId="10" fontId="5" fillId="0" borderId="19" xfId="0" applyNumberFormat="1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center" vertical="center" wrapText="1"/>
    </xf>
    <xf numFmtId="9" fontId="5" fillId="0" borderId="19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2" fontId="5" fillId="2" borderId="17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39" fontId="5" fillId="2" borderId="19" xfId="0" applyNumberFormat="1" applyFont="1" applyFill="1" applyBorder="1" applyAlignment="1">
      <alignment horizontal="center" vertical="center" wrapText="1"/>
    </xf>
    <xf numFmtId="39" fontId="5" fillId="2" borderId="11" xfId="0" applyNumberFormat="1" applyFont="1" applyFill="1" applyBorder="1" applyAlignment="1">
      <alignment horizontal="center" vertical="center" wrapText="1"/>
    </xf>
    <xf numFmtId="165" fontId="5" fillId="2" borderId="12" xfId="0" quotePrefix="1" applyNumberFormat="1" applyFont="1" applyFill="1" applyBorder="1" applyAlignment="1">
      <alignment horizontal="center" vertical="center" wrapText="1"/>
    </xf>
    <xf numFmtId="165" fontId="5" fillId="2" borderId="19" xfId="0" quotePrefix="1" applyNumberFormat="1" applyFont="1" applyFill="1" applyBorder="1" applyAlignment="1">
      <alignment horizontal="center" vertical="center" wrapText="1"/>
    </xf>
    <xf numFmtId="165" fontId="5" fillId="2" borderId="11" xfId="0" quotePrefix="1" applyNumberFormat="1" applyFont="1" applyFill="1" applyBorder="1" applyAlignment="1">
      <alignment horizontal="center" vertical="center" wrapText="1"/>
    </xf>
    <xf numFmtId="2" fontId="5" fillId="2" borderId="12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/>
    </xf>
    <xf numFmtId="2" fontId="5" fillId="2" borderId="17" xfId="0" applyNumberFormat="1" applyFont="1" applyFill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2" fontId="5" fillId="2" borderId="17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2" fontId="5" fillId="2" borderId="5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F13" sqref="F13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s="52" customFormat="1" ht="15.6" x14ac:dyDescent="0.3"/>
    <row r="2" spans="1:10" ht="15.6" x14ac:dyDescent="0.3">
      <c r="B2" s="26" t="s">
        <v>97</v>
      </c>
      <c r="C2" s="52"/>
      <c r="D2" s="31" t="s">
        <v>58</v>
      </c>
      <c r="E2" s="31" t="s">
        <v>129</v>
      </c>
      <c r="F2" s="31" t="s">
        <v>59</v>
      </c>
      <c r="G2" s="31" t="s">
        <v>60</v>
      </c>
      <c r="H2" s="31" t="s">
        <v>61</v>
      </c>
      <c r="I2" s="52"/>
    </row>
    <row r="3" spans="1:10" ht="31.2" customHeight="1" x14ac:dyDescent="0.3">
      <c r="B3" s="26" t="s">
        <v>128</v>
      </c>
      <c r="C3" s="52"/>
      <c r="D3" s="53" t="s">
        <v>120</v>
      </c>
      <c r="E3" s="53" t="s">
        <v>36</v>
      </c>
      <c r="F3" s="53" t="s">
        <v>106</v>
      </c>
      <c r="G3" s="53" t="s">
        <v>121</v>
      </c>
      <c r="H3" s="53" t="s">
        <v>122</v>
      </c>
      <c r="I3" s="52"/>
    </row>
    <row r="4" spans="1:10" ht="31.2" customHeight="1" x14ac:dyDescent="0.3">
      <c r="A4" t="s">
        <v>98</v>
      </c>
      <c r="C4" s="52"/>
      <c r="D4" s="53" t="s">
        <v>123</v>
      </c>
      <c r="E4" s="53" t="s">
        <v>36</v>
      </c>
      <c r="F4" s="53" t="s">
        <v>124</v>
      </c>
      <c r="G4" s="53" t="s">
        <v>122</v>
      </c>
      <c r="H4" s="53" t="s">
        <v>125</v>
      </c>
      <c r="I4" s="52"/>
    </row>
    <row r="5" spans="1:10" ht="31.2" customHeight="1" x14ac:dyDescent="0.3">
      <c r="C5" s="52"/>
      <c r="D5" s="53" t="s">
        <v>126</v>
      </c>
      <c r="E5" s="53" t="s">
        <v>36</v>
      </c>
      <c r="F5" s="53" t="s">
        <v>85</v>
      </c>
      <c r="G5" s="53" t="s">
        <v>125</v>
      </c>
      <c r="H5" s="53" t="s">
        <v>127</v>
      </c>
      <c r="I5" s="52"/>
    </row>
    <row r="6" spans="1:10" ht="31.2" customHeight="1" x14ac:dyDescent="0.3">
      <c r="C6" s="52"/>
      <c r="D6" s="54"/>
      <c r="E6" s="54"/>
      <c r="F6" s="54"/>
      <c r="G6" s="54"/>
      <c r="H6" s="54"/>
      <c r="I6" s="52"/>
    </row>
    <row r="7" spans="1:10" ht="31.2" customHeight="1" x14ac:dyDescent="0.3">
      <c r="D7" s="52"/>
      <c r="E7" s="52"/>
      <c r="F7" s="52"/>
      <c r="G7" s="52"/>
      <c r="H7" s="52"/>
      <c r="I7" s="52"/>
    </row>
    <row r="8" spans="1:10" ht="31.2" customHeight="1" x14ac:dyDescent="0.3">
      <c r="D8" s="27"/>
      <c r="E8" s="27"/>
      <c r="F8" s="28" t="str">
        <f t="shared" ref="F8:F10" si="0">+MID(D8,1,1)</f>
        <v/>
      </c>
      <c r="G8" s="27"/>
      <c r="H8" s="27"/>
    </row>
    <row r="9" spans="1:10" ht="31.2" customHeight="1" x14ac:dyDescent="0.3">
      <c r="D9" s="27"/>
      <c r="E9" s="27"/>
      <c r="F9" s="28" t="str">
        <f t="shared" si="0"/>
        <v/>
      </c>
      <c r="G9" s="27"/>
      <c r="H9" s="27"/>
    </row>
    <row r="10" spans="1:10" ht="31.2" customHeight="1" x14ac:dyDescent="0.3">
      <c r="D10" s="27"/>
      <c r="E10" s="27"/>
      <c r="F10" s="28" t="str">
        <f t="shared" si="0"/>
        <v/>
      </c>
      <c r="G10" s="27"/>
      <c r="H10" s="27"/>
    </row>
    <row r="11" spans="1:10" ht="31.2" customHeight="1" x14ac:dyDescent="0.3">
      <c r="D11" s="27"/>
      <c r="E11" s="27"/>
      <c r="F11" s="28" t="str">
        <f t="shared" ref="F11:F12" si="1">+MID(D11,1,1)</f>
        <v/>
      </c>
      <c r="G11" s="27"/>
      <c r="H11" s="27"/>
    </row>
    <row r="12" spans="1:10" ht="15.6" x14ac:dyDescent="0.3">
      <c r="D12" s="27"/>
      <c r="E12" s="27"/>
      <c r="F12" s="28" t="str">
        <f t="shared" si="1"/>
        <v/>
      </c>
      <c r="G12" s="27"/>
      <c r="H12" s="27"/>
    </row>
    <row r="13" spans="1:10" ht="15.6" x14ac:dyDescent="0.3">
      <c r="D13" s="27"/>
      <c r="E13" s="27"/>
      <c r="F13" s="28"/>
      <c r="G13" s="27"/>
      <c r="H13" s="27"/>
    </row>
    <row r="14" spans="1:10" ht="15.6" customHeight="1" x14ac:dyDescent="0.3">
      <c r="D14" s="27"/>
      <c r="E14" s="27"/>
      <c r="G14" s="27"/>
      <c r="H14" s="38"/>
      <c r="I14" s="38"/>
      <c r="J14" s="38"/>
    </row>
    <row r="15" spans="1:10" ht="15.6" x14ac:dyDescent="0.3">
      <c r="D15" s="27"/>
      <c r="E15" s="27"/>
      <c r="G15" s="27"/>
      <c r="H15" s="27"/>
    </row>
    <row r="16" spans="1:10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X187"/>
  <sheetViews>
    <sheetView showGridLines="0" topLeftCell="A18" workbookViewId="0">
      <pane ySplit="2" topLeftCell="A47" activePane="bottomLeft" state="frozen"/>
      <selection activeCell="A18" sqref="A18"/>
      <selection pane="bottomLeft" activeCell="F76" sqref="F76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2" bestFit="1" customWidth="1"/>
    <col min="6" max="6" width="14.33203125" bestFit="1" customWidth="1"/>
  </cols>
  <sheetData>
    <row r="3" spans="2:12" x14ac:dyDescent="0.3">
      <c r="C3" s="1">
        <f>+C10+F125+IF(D3&gt;=60,1,0)</f>
        <v>12</v>
      </c>
      <c r="D3" s="1">
        <f>+D10+F126+IF(E3&gt;=60,1,0)</f>
        <v>81</v>
      </c>
      <c r="E3" s="25">
        <f>+E10+F127</f>
        <v>72</v>
      </c>
    </row>
    <row r="4" spans="2:12" x14ac:dyDescent="0.3">
      <c r="C4" s="23">
        <f>+C3</f>
        <v>12</v>
      </c>
      <c r="D4" s="23">
        <f>+IF(D3&gt;=60,D3-60,D3)</f>
        <v>21</v>
      </c>
      <c r="E4" s="24">
        <f>+IF(E3&gt;=60,E3-60,E3)</f>
        <v>12</v>
      </c>
      <c r="F4" s="16"/>
      <c r="G4" s="16"/>
      <c r="H4" s="16"/>
      <c r="K4" s="39" t="str">
        <f>+CONCATENATE("Elemento ",C21)</f>
        <v>Elemento R</v>
      </c>
      <c r="L4" s="40"/>
    </row>
    <row r="5" spans="2:12" x14ac:dyDescent="0.3">
      <c r="C5" s="16"/>
      <c r="D5" s="16"/>
      <c r="E5" s="22"/>
      <c r="F5" s="16"/>
      <c r="G5" s="16"/>
      <c r="H5" s="16"/>
    </row>
    <row r="6" spans="2:12" x14ac:dyDescent="0.3">
      <c r="C6" s="16"/>
      <c r="D6" s="16"/>
      <c r="E6" s="16"/>
      <c r="F6" s="16"/>
      <c r="G6" s="16"/>
      <c r="H6" s="16"/>
      <c r="K6" s="32" t="s">
        <v>18</v>
      </c>
      <c r="L6" s="32" t="s">
        <v>19</v>
      </c>
    </row>
    <row r="7" spans="2:12" x14ac:dyDescent="0.3">
      <c r="C7" s="18"/>
      <c r="D7" s="16"/>
      <c r="E7" s="16"/>
      <c r="F7" s="16"/>
      <c r="G7" s="16"/>
      <c r="H7" s="16"/>
      <c r="K7" s="3">
        <f ca="1">+OFFSET(D21,H15,0)</f>
        <v>90</v>
      </c>
      <c r="L7" s="3">
        <f ca="1">+OFFSET(E21,H15,0)</f>
        <v>27727</v>
      </c>
    </row>
    <row r="8" spans="2:12" x14ac:dyDescent="0.3">
      <c r="C8" s="32" t="s">
        <v>0</v>
      </c>
      <c r="D8" s="32" t="s">
        <v>1</v>
      </c>
      <c r="E8" s="32" t="s">
        <v>2</v>
      </c>
      <c r="G8" s="16"/>
      <c r="H8" s="16"/>
      <c r="K8" s="3">
        <f t="shared" ref="K8:K26" ca="1" si="0">+OFFSET(D22,H16,0)</f>
        <v>85</v>
      </c>
      <c r="L8" s="3">
        <f t="shared" ref="L8:L26" ca="1" si="1">+OFFSET(E22,H16,0)</f>
        <v>26961</v>
      </c>
    </row>
    <row r="9" spans="2:12" x14ac:dyDescent="0.3">
      <c r="B9" s="33" t="s">
        <v>3</v>
      </c>
      <c r="C9" s="30">
        <f>+C4</f>
        <v>12</v>
      </c>
      <c r="D9" s="30">
        <f>+D4</f>
        <v>21</v>
      </c>
      <c r="E9" s="30">
        <f>+E4</f>
        <v>12</v>
      </c>
      <c r="G9" s="16"/>
      <c r="H9" s="16"/>
      <c r="K9" s="3">
        <f t="shared" ca="1" si="0"/>
        <v>100</v>
      </c>
      <c r="L9" s="3">
        <f t="shared" ca="1" si="1"/>
        <v>26403</v>
      </c>
    </row>
    <row r="10" spans="2:12" x14ac:dyDescent="0.3">
      <c r="B10" s="33" t="s">
        <v>6</v>
      </c>
      <c r="C10" s="30">
        <v>9</v>
      </c>
      <c r="D10" s="30">
        <v>21</v>
      </c>
      <c r="E10" s="30">
        <v>15</v>
      </c>
      <c r="G10" s="16"/>
      <c r="H10" s="16"/>
      <c r="K10" s="3">
        <f t="shared" ca="1" si="0"/>
        <v>90</v>
      </c>
      <c r="L10" s="3">
        <f t="shared" ca="1" si="1"/>
        <v>27961</v>
      </c>
    </row>
    <row r="11" spans="2:12" x14ac:dyDescent="0.3">
      <c r="C11" t="s">
        <v>107</v>
      </c>
      <c r="G11" s="16"/>
      <c r="H11" s="16"/>
      <c r="K11" s="3">
        <f t="shared" ca="1" si="0"/>
        <v>100</v>
      </c>
      <c r="L11" s="3">
        <f t="shared" ca="1" si="1"/>
        <v>27730</v>
      </c>
    </row>
    <row r="12" spans="2:12" x14ac:dyDescent="0.3">
      <c r="B12" s="1"/>
      <c r="G12" s="16"/>
      <c r="H12" s="16"/>
      <c r="K12" s="3">
        <f t="shared" ca="1" si="0"/>
        <v>95</v>
      </c>
      <c r="L12" s="3">
        <f t="shared" ca="1" si="1"/>
        <v>27759</v>
      </c>
    </row>
    <row r="13" spans="2:12" x14ac:dyDescent="0.3">
      <c r="B13" s="1"/>
      <c r="G13" s="16"/>
      <c r="H13" s="16"/>
      <c r="K13" s="3">
        <f t="shared" ca="1" si="0"/>
        <v>100</v>
      </c>
      <c r="L13" s="3">
        <f t="shared" ca="1" si="1"/>
        <v>27197</v>
      </c>
    </row>
    <row r="14" spans="2:12" x14ac:dyDescent="0.3">
      <c r="B14" s="1"/>
      <c r="K14" s="3">
        <f t="shared" ca="1" si="0"/>
        <v>90</v>
      </c>
      <c r="L14" s="3">
        <f t="shared" ca="1" si="1"/>
        <v>26742</v>
      </c>
    </row>
    <row r="15" spans="2:12" x14ac:dyDescent="0.3">
      <c r="B15" s="1"/>
      <c r="C15" s="41" t="s">
        <v>136</v>
      </c>
      <c r="D15" s="41"/>
      <c r="E15" s="41"/>
      <c r="F15" s="42"/>
      <c r="G15" s="19">
        <v>2</v>
      </c>
      <c r="H15" s="14">
        <v>0</v>
      </c>
      <c r="K15" s="3">
        <f t="shared" ca="1" si="0"/>
        <v>100</v>
      </c>
      <c r="L15" s="3">
        <f t="shared" ca="1" si="1"/>
        <v>26753</v>
      </c>
    </row>
    <row r="16" spans="2:12" x14ac:dyDescent="0.3">
      <c r="B16" s="1"/>
      <c r="H16" s="14">
        <f>+H15+$G$15-1</f>
        <v>1</v>
      </c>
      <c r="K16" s="3">
        <f t="shared" ca="1" si="0"/>
        <v>95</v>
      </c>
      <c r="L16" s="3">
        <f t="shared" ca="1" si="1"/>
        <v>27247</v>
      </c>
    </row>
    <row r="17" spans="2:12" x14ac:dyDescent="0.3">
      <c r="C17" s="16"/>
      <c r="H17" s="14">
        <f t="shared" ref="H17:H34" si="2">+H16+$G$15-1</f>
        <v>2</v>
      </c>
      <c r="K17" s="3">
        <f t="shared" ca="1" si="0"/>
        <v>90</v>
      </c>
      <c r="L17" s="3">
        <f t="shared" ca="1" si="1"/>
        <v>27123</v>
      </c>
    </row>
    <row r="18" spans="2:12" x14ac:dyDescent="0.3">
      <c r="C18" s="17"/>
      <c r="H18" s="14">
        <f t="shared" si="2"/>
        <v>3</v>
      </c>
      <c r="K18" s="3">
        <f t="shared" ca="1" si="0"/>
        <v>90</v>
      </c>
      <c r="L18" s="3">
        <f t="shared" ca="1" si="1"/>
        <v>26662</v>
      </c>
    </row>
    <row r="19" spans="2:12" ht="15.6" x14ac:dyDescent="0.3">
      <c r="B19" s="55"/>
      <c r="C19" s="56" t="s">
        <v>28</v>
      </c>
      <c r="D19" s="56" t="s">
        <v>18</v>
      </c>
      <c r="E19" s="56" t="s">
        <v>19</v>
      </c>
      <c r="H19" s="14">
        <f t="shared" si="2"/>
        <v>4</v>
      </c>
      <c r="K19" s="3">
        <f t="shared" ca="1" si="0"/>
        <v>85</v>
      </c>
      <c r="L19" s="3">
        <f t="shared" ca="1" si="1"/>
        <v>26979</v>
      </c>
    </row>
    <row r="20" spans="2:12" ht="15.6" x14ac:dyDescent="0.3">
      <c r="B20" s="57" t="str">
        <f>+CONCATENATE("E = ",C10,"h",D10,"'",E10,"''")</f>
        <v>E = 9h21'15''</v>
      </c>
      <c r="C20" s="55" t="s">
        <v>11</v>
      </c>
      <c r="D20" s="55" t="s">
        <v>53</v>
      </c>
      <c r="E20" s="55">
        <v>2912</v>
      </c>
      <c r="H20" s="14">
        <f t="shared" si="2"/>
        <v>5</v>
      </c>
      <c r="K20" s="3">
        <f t="shared" ca="1" si="0"/>
        <v>95</v>
      </c>
      <c r="L20" s="3">
        <f t="shared" ca="1" si="1"/>
        <v>27245</v>
      </c>
    </row>
    <row r="21" spans="2:12" ht="15.6" x14ac:dyDescent="0.3">
      <c r="B21" s="58" t="s">
        <v>62</v>
      </c>
      <c r="C21" s="55" t="s">
        <v>106</v>
      </c>
      <c r="D21" s="55">
        <v>90</v>
      </c>
      <c r="E21" s="55">
        <v>27727</v>
      </c>
      <c r="H21" s="14">
        <f t="shared" si="2"/>
        <v>6</v>
      </c>
      <c r="K21" s="3">
        <f t="shared" ca="1" si="0"/>
        <v>105</v>
      </c>
      <c r="L21" s="3">
        <f t="shared" ca="1" si="1"/>
        <v>26774</v>
      </c>
    </row>
    <row r="22" spans="2:12" ht="15.6" x14ac:dyDescent="0.3">
      <c r="B22" s="59"/>
      <c r="C22" s="55" t="s">
        <v>85</v>
      </c>
      <c r="D22" s="55">
        <v>90</v>
      </c>
      <c r="E22" s="55">
        <v>27055</v>
      </c>
      <c r="H22" s="14">
        <f t="shared" si="2"/>
        <v>7</v>
      </c>
      <c r="K22" s="3">
        <f t="shared" ca="1" si="0"/>
        <v>90</v>
      </c>
      <c r="L22" s="3">
        <f t="shared" ca="1" si="1"/>
        <v>26138</v>
      </c>
    </row>
    <row r="23" spans="2:12" ht="15.6" x14ac:dyDescent="0.3">
      <c r="B23" s="58" t="s">
        <v>63</v>
      </c>
      <c r="C23" s="55" t="s">
        <v>106</v>
      </c>
      <c r="D23" s="55">
        <v>85</v>
      </c>
      <c r="E23" s="55">
        <v>26961</v>
      </c>
      <c r="H23" s="14">
        <f t="shared" si="2"/>
        <v>8</v>
      </c>
      <c r="K23" s="3">
        <f t="shared" ca="1" si="0"/>
        <v>95</v>
      </c>
      <c r="L23" s="3">
        <f t="shared" ca="1" si="1"/>
        <v>26053</v>
      </c>
    </row>
    <row r="24" spans="2:12" ht="15.6" x14ac:dyDescent="0.3">
      <c r="B24" s="59"/>
      <c r="C24" s="55" t="s">
        <v>85</v>
      </c>
      <c r="D24" s="55">
        <v>85</v>
      </c>
      <c r="E24" s="55">
        <v>27118</v>
      </c>
      <c r="H24" s="14">
        <f t="shared" si="2"/>
        <v>9</v>
      </c>
      <c r="K24" s="3">
        <f t="shared" ca="1" si="0"/>
        <v>90</v>
      </c>
      <c r="L24" s="3">
        <f t="shared" ca="1" si="1"/>
        <v>26556</v>
      </c>
    </row>
    <row r="25" spans="2:12" ht="15.6" x14ac:dyDescent="0.3">
      <c r="B25" s="58" t="s">
        <v>64</v>
      </c>
      <c r="C25" s="55" t="s">
        <v>106</v>
      </c>
      <c r="D25" s="55">
        <v>100</v>
      </c>
      <c r="E25" s="55">
        <v>26403</v>
      </c>
      <c r="H25" s="14">
        <f t="shared" si="2"/>
        <v>10</v>
      </c>
      <c r="K25" s="3">
        <f t="shared" ca="1" si="0"/>
        <v>100</v>
      </c>
      <c r="L25" s="3">
        <f t="shared" ca="1" si="1"/>
        <v>26919</v>
      </c>
    </row>
    <row r="26" spans="2:12" ht="15.6" x14ac:dyDescent="0.3">
      <c r="B26" s="59"/>
      <c r="C26" s="55" t="s">
        <v>85</v>
      </c>
      <c r="D26" s="55">
        <v>95</v>
      </c>
      <c r="E26" s="55">
        <v>26558</v>
      </c>
      <c r="H26" s="14">
        <f t="shared" si="2"/>
        <v>11</v>
      </c>
      <c r="K26" s="3">
        <f t="shared" ca="1" si="0"/>
        <v>90</v>
      </c>
      <c r="L26" s="3">
        <f t="shared" ca="1" si="1"/>
        <v>27415</v>
      </c>
    </row>
    <row r="27" spans="2:12" ht="15.6" x14ac:dyDescent="0.3">
      <c r="B27" s="58" t="s">
        <v>65</v>
      </c>
      <c r="C27" s="55" t="s">
        <v>106</v>
      </c>
      <c r="D27" s="55">
        <v>90</v>
      </c>
      <c r="E27" s="55">
        <v>27961</v>
      </c>
      <c r="H27" s="14">
        <f t="shared" si="2"/>
        <v>12</v>
      </c>
    </row>
    <row r="28" spans="2:12" ht="15.6" x14ac:dyDescent="0.3">
      <c r="B28" s="59"/>
      <c r="C28" s="55" t="s">
        <v>85</v>
      </c>
      <c r="D28" s="55">
        <v>100</v>
      </c>
      <c r="E28" s="55">
        <v>27029</v>
      </c>
      <c r="H28" s="14">
        <f t="shared" si="2"/>
        <v>13</v>
      </c>
    </row>
    <row r="29" spans="2:12" ht="15.6" x14ac:dyDescent="0.3">
      <c r="B29" s="58" t="s">
        <v>66</v>
      </c>
      <c r="C29" s="55" t="s">
        <v>106</v>
      </c>
      <c r="D29" s="55">
        <v>100</v>
      </c>
      <c r="E29" s="55">
        <v>27730</v>
      </c>
      <c r="H29" s="14">
        <f t="shared" si="2"/>
        <v>14</v>
      </c>
      <c r="K29" s="39" t="str">
        <f>+CONCATENATE("Elemento ",C22)</f>
        <v>Elemento E</v>
      </c>
      <c r="L29" s="40"/>
    </row>
    <row r="30" spans="2:12" ht="15.6" x14ac:dyDescent="0.3">
      <c r="B30" s="59"/>
      <c r="C30" s="55" t="s">
        <v>85</v>
      </c>
      <c r="D30" s="55">
        <v>105</v>
      </c>
      <c r="E30" s="55">
        <v>25923</v>
      </c>
      <c r="H30" s="14">
        <f t="shared" si="2"/>
        <v>15</v>
      </c>
    </row>
    <row r="31" spans="2:12" ht="15.6" x14ac:dyDescent="0.3">
      <c r="B31" s="58" t="s">
        <v>67</v>
      </c>
      <c r="C31" s="55" t="s">
        <v>106</v>
      </c>
      <c r="D31" s="55">
        <v>95</v>
      </c>
      <c r="E31" s="55">
        <v>27759</v>
      </c>
      <c r="H31" s="14">
        <f t="shared" si="2"/>
        <v>16</v>
      </c>
      <c r="K31" s="32" t="s">
        <v>18</v>
      </c>
      <c r="L31" s="32" t="s">
        <v>19</v>
      </c>
    </row>
    <row r="32" spans="2:12" ht="15.6" x14ac:dyDescent="0.3">
      <c r="B32" s="59"/>
      <c r="C32" s="55" t="s">
        <v>85</v>
      </c>
      <c r="D32" s="55">
        <v>90</v>
      </c>
      <c r="E32" s="55">
        <v>25886</v>
      </c>
      <c r="H32" s="14">
        <f t="shared" si="2"/>
        <v>17</v>
      </c>
      <c r="K32" s="3">
        <f ca="1">+OFFSET(D22,H15,0)</f>
        <v>90</v>
      </c>
      <c r="L32" s="3">
        <f ca="1">+OFFSET(E22,H15,0)</f>
        <v>27055</v>
      </c>
    </row>
    <row r="33" spans="2:12" ht="15.6" x14ac:dyDescent="0.3">
      <c r="B33" s="58" t="s">
        <v>68</v>
      </c>
      <c r="C33" s="55" t="s">
        <v>106</v>
      </c>
      <c r="D33" s="55">
        <v>100</v>
      </c>
      <c r="E33" s="55">
        <v>27197</v>
      </c>
      <c r="H33" s="14">
        <f t="shared" si="2"/>
        <v>18</v>
      </c>
      <c r="K33" s="3">
        <f t="shared" ref="K33:K51" ca="1" si="3">+OFFSET(D23,H16,0)</f>
        <v>85</v>
      </c>
      <c r="L33" s="3">
        <f t="shared" ref="L33:L51" ca="1" si="4">+OFFSET(E23,H16,0)</f>
        <v>27118</v>
      </c>
    </row>
    <row r="34" spans="2:12" ht="15.6" x14ac:dyDescent="0.3">
      <c r="B34" s="59"/>
      <c r="C34" s="55" t="s">
        <v>85</v>
      </c>
      <c r="D34" s="55">
        <v>95</v>
      </c>
      <c r="E34" s="55">
        <v>27764</v>
      </c>
      <c r="H34" s="14">
        <f t="shared" si="2"/>
        <v>19</v>
      </c>
      <c r="K34" s="3">
        <f t="shared" ca="1" si="3"/>
        <v>95</v>
      </c>
      <c r="L34" s="3">
        <f t="shared" ca="1" si="4"/>
        <v>26558</v>
      </c>
    </row>
    <row r="35" spans="2:12" ht="15.6" x14ac:dyDescent="0.3">
      <c r="B35" s="58" t="s">
        <v>69</v>
      </c>
      <c r="C35" s="55" t="s">
        <v>106</v>
      </c>
      <c r="D35" s="55">
        <v>90</v>
      </c>
      <c r="E35" s="55">
        <v>26742</v>
      </c>
      <c r="K35" s="3">
        <f t="shared" ca="1" si="3"/>
        <v>100</v>
      </c>
      <c r="L35" s="3">
        <f t="shared" ca="1" si="4"/>
        <v>27029</v>
      </c>
    </row>
    <row r="36" spans="2:12" ht="15.6" x14ac:dyDescent="0.3">
      <c r="B36" s="59"/>
      <c r="C36" s="55" t="s">
        <v>85</v>
      </c>
      <c r="D36" s="55">
        <v>90</v>
      </c>
      <c r="E36" s="55">
        <v>26546</v>
      </c>
      <c r="K36" s="3">
        <f t="shared" ca="1" si="3"/>
        <v>105</v>
      </c>
      <c r="L36" s="3">
        <f t="shared" ca="1" si="4"/>
        <v>25923</v>
      </c>
    </row>
    <row r="37" spans="2:12" ht="15.6" x14ac:dyDescent="0.3">
      <c r="B37" s="58" t="s">
        <v>70</v>
      </c>
      <c r="C37" s="55" t="s">
        <v>106</v>
      </c>
      <c r="D37" s="55">
        <v>100</v>
      </c>
      <c r="E37" s="55">
        <v>26753</v>
      </c>
      <c r="K37" s="3">
        <f t="shared" ca="1" si="3"/>
        <v>90</v>
      </c>
      <c r="L37" s="3">
        <f t="shared" ca="1" si="4"/>
        <v>25886</v>
      </c>
    </row>
    <row r="38" spans="2:12" ht="15.6" x14ac:dyDescent="0.3">
      <c r="B38" s="59"/>
      <c r="C38" s="55" t="s">
        <v>85</v>
      </c>
      <c r="D38" s="55">
        <v>95</v>
      </c>
      <c r="E38" s="55">
        <v>26700</v>
      </c>
      <c r="K38" s="3">
        <f t="shared" ca="1" si="3"/>
        <v>95</v>
      </c>
      <c r="L38" s="3">
        <f t="shared" ca="1" si="4"/>
        <v>27764</v>
      </c>
    </row>
    <row r="39" spans="2:12" ht="15.6" x14ac:dyDescent="0.3">
      <c r="B39" s="58" t="s">
        <v>71</v>
      </c>
      <c r="C39" s="55" t="s">
        <v>106</v>
      </c>
      <c r="D39" s="55">
        <v>95</v>
      </c>
      <c r="E39" s="55">
        <v>27247</v>
      </c>
      <c r="K39" s="3">
        <f t="shared" ca="1" si="3"/>
        <v>90</v>
      </c>
      <c r="L39" s="3">
        <f t="shared" ca="1" si="4"/>
        <v>26546</v>
      </c>
    </row>
    <row r="40" spans="2:12" ht="15.6" x14ac:dyDescent="0.3">
      <c r="B40" s="59"/>
      <c r="C40" s="55" t="s">
        <v>85</v>
      </c>
      <c r="D40" s="55">
        <v>90</v>
      </c>
      <c r="E40" s="55">
        <v>27509</v>
      </c>
      <c r="K40" s="3">
        <f t="shared" ca="1" si="3"/>
        <v>95</v>
      </c>
      <c r="L40" s="3">
        <f t="shared" ca="1" si="4"/>
        <v>26700</v>
      </c>
    </row>
    <row r="41" spans="2:12" ht="15.6" x14ac:dyDescent="0.3">
      <c r="B41" s="58" t="s">
        <v>72</v>
      </c>
      <c r="C41" s="55" t="s">
        <v>106</v>
      </c>
      <c r="D41" s="55">
        <v>90</v>
      </c>
      <c r="E41" s="55">
        <v>27123</v>
      </c>
      <c r="K41" s="3">
        <f t="shared" ca="1" si="3"/>
        <v>90</v>
      </c>
      <c r="L41" s="3">
        <f t="shared" ca="1" si="4"/>
        <v>27509</v>
      </c>
    </row>
    <row r="42" spans="2:12" ht="15.6" x14ac:dyDescent="0.3">
      <c r="B42" s="59"/>
      <c r="C42" s="55" t="s">
        <v>85</v>
      </c>
      <c r="D42" s="55">
        <v>85</v>
      </c>
      <c r="E42" s="55">
        <v>26393</v>
      </c>
      <c r="K42" s="3">
        <f t="shared" ca="1" si="3"/>
        <v>85</v>
      </c>
      <c r="L42" s="3">
        <f t="shared" ca="1" si="4"/>
        <v>26393</v>
      </c>
    </row>
    <row r="43" spans="2:12" ht="15.6" x14ac:dyDescent="0.3">
      <c r="B43" s="58" t="s">
        <v>73</v>
      </c>
      <c r="C43" s="55" t="s">
        <v>106</v>
      </c>
      <c r="D43" s="55">
        <v>90</v>
      </c>
      <c r="E43" s="55">
        <v>26662</v>
      </c>
      <c r="K43" s="3">
        <f t="shared" ca="1" si="3"/>
        <v>90</v>
      </c>
      <c r="L43" s="3">
        <f t="shared" ca="1" si="4"/>
        <v>26294</v>
      </c>
    </row>
    <row r="44" spans="2:12" ht="15.6" x14ac:dyDescent="0.3">
      <c r="B44" s="59"/>
      <c r="C44" s="55" t="s">
        <v>85</v>
      </c>
      <c r="D44" s="55">
        <v>90</v>
      </c>
      <c r="E44" s="55">
        <v>26294</v>
      </c>
      <c r="K44" s="3">
        <f t="shared" ca="1" si="3"/>
        <v>90</v>
      </c>
      <c r="L44" s="3">
        <f t="shared" ca="1" si="4"/>
        <v>27580</v>
      </c>
    </row>
    <row r="45" spans="2:12" ht="15.6" x14ac:dyDescent="0.3">
      <c r="B45" s="58" t="s">
        <v>74</v>
      </c>
      <c r="C45" s="55" t="s">
        <v>106</v>
      </c>
      <c r="D45" s="55">
        <v>85</v>
      </c>
      <c r="E45" s="55">
        <v>26979</v>
      </c>
      <c r="K45" s="3">
        <f t="shared" ca="1" si="3"/>
        <v>95</v>
      </c>
      <c r="L45" s="3">
        <f t="shared" ca="1" si="4"/>
        <v>27154</v>
      </c>
    </row>
    <row r="46" spans="2:12" ht="15.6" x14ac:dyDescent="0.3">
      <c r="B46" s="59"/>
      <c r="C46" s="55" t="s">
        <v>85</v>
      </c>
      <c r="D46" s="55">
        <v>90</v>
      </c>
      <c r="E46" s="55">
        <v>27580</v>
      </c>
      <c r="K46" s="3">
        <f t="shared" ca="1" si="3"/>
        <v>105</v>
      </c>
      <c r="L46" s="3">
        <f t="shared" ca="1" si="4"/>
        <v>26341</v>
      </c>
    </row>
    <row r="47" spans="2:12" ht="15.6" x14ac:dyDescent="0.3">
      <c r="B47" s="58" t="s">
        <v>75</v>
      </c>
      <c r="C47" s="55" t="s">
        <v>106</v>
      </c>
      <c r="D47" s="55">
        <v>95</v>
      </c>
      <c r="E47" s="55">
        <v>27245</v>
      </c>
      <c r="K47" s="3">
        <f t="shared" ca="1" si="3"/>
        <v>90</v>
      </c>
      <c r="L47" s="3">
        <f t="shared" ca="1" si="4"/>
        <v>25999</v>
      </c>
    </row>
    <row r="48" spans="2:12" ht="15.6" x14ac:dyDescent="0.3">
      <c r="B48" s="59"/>
      <c r="C48" s="55" t="s">
        <v>85</v>
      </c>
      <c r="D48" s="55">
        <v>95</v>
      </c>
      <c r="E48" s="55">
        <v>27154</v>
      </c>
      <c r="K48" s="3">
        <f t="shared" ca="1" si="3"/>
        <v>95</v>
      </c>
      <c r="L48" s="3">
        <f t="shared" ca="1" si="4"/>
        <v>26062</v>
      </c>
    </row>
    <row r="49" spans="1:12" ht="15.6" x14ac:dyDescent="0.3">
      <c r="B49" s="58" t="s">
        <v>76</v>
      </c>
      <c r="C49" s="55" t="s">
        <v>106</v>
      </c>
      <c r="D49" s="55">
        <v>105</v>
      </c>
      <c r="E49" s="55">
        <v>26774</v>
      </c>
      <c r="K49" s="3">
        <f t="shared" ca="1" si="3"/>
        <v>90</v>
      </c>
      <c r="L49" s="3">
        <f t="shared" ca="1" si="4"/>
        <v>27119</v>
      </c>
    </row>
    <row r="50" spans="1:12" ht="15.6" x14ac:dyDescent="0.3">
      <c r="B50" s="59"/>
      <c r="C50" s="55" t="s">
        <v>85</v>
      </c>
      <c r="D50" s="55">
        <v>105</v>
      </c>
      <c r="E50" s="55">
        <v>26341</v>
      </c>
      <c r="K50" s="3">
        <f t="shared" ca="1" si="3"/>
        <v>100</v>
      </c>
      <c r="L50" s="3">
        <f t="shared" ca="1" si="4"/>
        <v>25975</v>
      </c>
    </row>
    <row r="51" spans="1:12" ht="15.6" x14ac:dyDescent="0.3">
      <c r="B51" s="58" t="s">
        <v>77</v>
      </c>
      <c r="C51" s="55" t="s">
        <v>106</v>
      </c>
      <c r="D51" s="55">
        <v>90</v>
      </c>
      <c r="E51" s="55">
        <v>26138</v>
      </c>
      <c r="K51" s="3">
        <f t="shared" ca="1" si="3"/>
        <v>95</v>
      </c>
      <c r="L51" s="3">
        <f t="shared" ca="1" si="4"/>
        <v>27144</v>
      </c>
    </row>
    <row r="52" spans="1:12" ht="15.6" x14ac:dyDescent="0.3">
      <c r="B52" s="59"/>
      <c r="C52" s="55" t="s">
        <v>85</v>
      </c>
      <c r="D52" s="55">
        <v>90</v>
      </c>
      <c r="E52" s="55">
        <v>25999</v>
      </c>
    </row>
    <row r="53" spans="1:12" ht="15.6" x14ac:dyDescent="0.3">
      <c r="B53" s="58" t="s">
        <v>78</v>
      </c>
      <c r="C53" s="55" t="s">
        <v>106</v>
      </c>
      <c r="D53" s="55">
        <v>95</v>
      </c>
      <c r="E53" s="55">
        <v>26053</v>
      </c>
    </row>
    <row r="54" spans="1:12" ht="15.6" x14ac:dyDescent="0.3">
      <c r="A54" s="17"/>
      <c r="B54" s="59"/>
      <c r="C54" s="55" t="s">
        <v>85</v>
      </c>
      <c r="D54" s="55">
        <v>95</v>
      </c>
      <c r="E54" s="55">
        <v>26062</v>
      </c>
    </row>
    <row r="55" spans="1:12" ht="15.6" x14ac:dyDescent="0.3">
      <c r="A55" s="17"/>
      <c r="B55" s="58" t="s">
        <v>79</v>
      </c>
      <c r="C55" s="55" t="s">
        <v>106</v>
      </c>
      <c r="D55" s="55">
        <v>90</v>
      </c>
      <c r="E55" s="55">
        <v>26556</v>
      </c>
    </row>
    <row r="56" spans="1:12" ht="15.6" x14ac:dyDescent="0.3">
      <c r="A56" s="17"/>
      <c r="B56" s="59"/>
      <c r="C56" s="55" t="s">
        <v>85</v>
      </c>
      <c r="D56" s="55">
        <v>90</v>
      </c>
      <c r="E56" s="55">
        <v>27119</v>
      </c>
    </row>
    <row r="57" spans="1:12" ht="15.6" x14ac:dyDescent="0.3">
      <c r="A57" s="17"/>
      <c r="B57" s="58" t="s">
        <v>80</v>
      </c>
      <c r="C57" s="55" t="s">
        <v>106</v>
      </c>
      <c r="D57" s="55">
        <v>100</v>
      </c>
      <c r="E57" s="55">
        <v>26919</v>
      </c>
    </row>
    <row r="58" spans="1:12" ht="15.6" x14ac:dyDescent="0.3">
      <c r="A58" s="17"/>
      <c r="B58" s="59"/>
      <c r="C58" s="55" t="s">
        <v>85</v>
      </c>
      <c r="D58" s="55">
        <v>100</v>
      </c>
      <c r="E58" s="55">
        <v>25975</v>
      </c>
    </row>
    <row r="59" spans="1:12" ht="15.6" x14ac:dyDescent="0.3">
      <c r="B59" s="58" t="s">
        <v>81</v>
      </c>
      <c r="C59" s="55" t="s">
        <v>106</v>
      </c>
      <c r="D59" s="55">
        <v>90</v>
      </c>
      <c r="E59" s="55">
        <v>27415</v>
      </c>
    </row>
    <row r="60" spans="1:12" ht="15.6" x14ac:dyDescent="0.3">
      <c r="B60" s="59"/>
      <c r="C60" s="55" t="s">
        <v>85</v>
      </c>
      <c r="D60" s="55">
        <v>95</v>
      </c>
      <c r="E60" s="55">
        <v>27144</v>
      </c>
    </row>
    <row r="61" spans="1:12" ht="15.6" x14ac:dyDescent="0.3">
      <c r="B61" s="55" t="str">
        <f>+CONCATENATE("T = ",C9,"h",D9,"'",E9,"''")</f>
        <v>T = 12h21'12''</v>
      </c>
      <c r="C61" s="55" t="s">
        <v>12</v>
      </c>
      <c r="D61" s="55" t="s">
        <v>53</v>
      </c>
      <c r="E61" s="55">
        <v>2332</v>
      </c>
    </row>
    <row r="62" spans="1:12" ht="15.6" x14ac:dyDescent="0.3">
      <c r="B62" s="55"/>
      <c r="C62" s="55"/>
      <c r="D62" s="55" t="s">
        <v>16</v>
      </c>
      <c r="E62" s="55">
        <f>+SUM(E20:E61)</f>
        <v>1079737</v>
      </c>
    </row>
    <row r="64" spans="1:12" x14ac:dyDescent="0.3">
      <c r="E64">
        <f>+E62/100</f>
        <v>10797.37</v>
      </c>
    </row>
    <row r="65" spans="2:5" x14ac:dyDescent="0.3">
      <c r="E65">
        <f>+E64/3600</f>
        <v>2.9992694444444448</v>
      </c>
    </row>
    <row r="66" spans="2:5" x14ac:dyDescent="0.3">
      <c r="B66" s="14"/>
      <c r="C66" s="14"/>
      <c r="D66" s="14"/>
      <c r="E66" s="14">
        <f>+(E65-F125)*60</f>
        <v>59.956166666666689</v>
      </c>
    </row>
    <row r="67" spans="2:5" x14ac:dyDescent="0.3">
      <c r="B67" s="20"/>
      <c r="C67" s="20"/>
      <c r="D67" s="20"/>
      <c r="E67" s="20">
        <f>+(E66-F126)*60</f>
        <v>57.370000000001369</v>
      </c>
    </row>
    <row r="68" spans="2:5" x14ac:dyDescent="0.3">
      <c r="B68" s="20"/>
      <c r="C68" s="20"/>
      <c r="D68" s="20"/>
      <c r="E68" s="20"/>
    </row>
    <row r="69" spans="2:5" x14ac:dyDescent="0.3">
      <c r="B69" s="20"/>
      <c r="C69" s="20"/>
      <c r="D69" s="20"/>
      <c r="E69" s="20"/>
    </row>
    <row r="70" spans="2:5" x14ac:dyDescent="0.3">
      <c r="B70" s="20"/>
      <c r="C70" s="20"/>
      <c r="D70" s="20"/>
      <c r="E70" s="20"/>
    </row>
    <row r="71" spans="2:5" x14ac:dyDescent="0.3">
      <c r="B71" s="20"/>
      <c r="C71" s="20"/>
      <c r="D71" s="20"/>
      <c r="E71" s="20"/>
    </row>
    <row r="72" spans="2:5" x14ac:dyDescent="0.3">
      <c r="B72" s="20"/>
      <c r="C72" s="20"/>
      <c r="D72" s="20"/>
      <c r="E72" s="20"/>
    </row>
    <row r="73" spans="2:5" x14ac:dyDescent="0.3">
      <c r="B73" s="20"/>
      <c r="C73" s="20"/>
      <c r="D73" s="20"/>
      <c r="E73" s="20"/>
    </row>
    <row r="74" spans="2:5" x14ac:dyDescent="0.3">
      <c r="B74" s="20"/>
      <c r="C74" s="20"/>
      <c r="D74" s="20"/>
      <c r="E74" s="20"/>
    </row>
    <row r="75" spans="2:5" x14ac:dyDescent="0.3">
      <c r="B75" s="20"/>
      <c r="C75" s="20"/>
      <c r="D75" s="20"/>
      <c r="E75" s="20"/>
    </row>
    <row r="76" spans="2:5" x14ac:dyDescent="0.3">
      <c r="B76" s="20"/>
      <c r="C76" s="20"/>
      <c r="D76" s="20"/>
      <c r="E76" s="20"/>
    </row>
    <row r="77" spans="2:5" x14ac:dyDescent="0.3">
      <c r="B77" s="20"/>
      <c r="C77" s="20"/>
      <c r="D77" s="20"/>
      <c r="E77" s="20"/>
    </row>
    <row r="78" spans="2:5" x14ac:dyDescent="0.3">
      <c r="B78" s="20"/>
      <c r="C78" s="20"/>
      <c r="D78" s="20"/>
      <c r="E78" s="20"/>
    </row>
    <row r="79" spans="2:5" x14ac:dyDescent="0.3">
      <c r="B79" s="20"/>
      <c r="C79" s="20"/>
      <c r="D79" s="20"/>
      <c r="E79" s="20"/>
    </row>
    <row r="80" spans="2:5" x14ac:dyDescent="0.3">
      <c r="B80" s="20"/>
      <c r="C80" s="20"/>
      <c r="D80" s="20"/>
      <c r="E80" s="20"/>
    </row>
    <row r="81" spans="2:5" x14ac:dyDescent="0.3">
      <c r="B81" s="20"/>
      <c r="C81" s="20"/>
      <c r="D81" s="20"/>
      <c r="E81" s="20"/>
    </row>
    <row r="82" spans="2:5" x14ac:dyDescent="0.3">
      <c r="B82" s="20"/>
      <c r="C82" s="20"/>
      <c r="D82" s="20"/>
      <c r="E82" s="20"/>
    </row>
    <row r="83" spans="2:5" x14ac:dyDescent="0.3">
      <c r="B83" s="20"/>
      <c r="C83" s="20"/>
      <c r="D83" s="20"/>
      <c r="E83" s="20"/>
    </row>
    <row r="84" spans="2:5" x14ac:dyDescent="0.3">
      <c r="B84" s="20"/>
      <c r="C84" s="20"/>
      <c r="D84" s="20"/>
      <c r="E84" s="20"/>
    </row>
    <row r="85" spans="2:5" x14ac:dyDescent="0.3">
      <c r="B85" s="20"/>
      <c r="C85" s="20"/>
      <c r="D85" s="20"/>
      <c r="E85" s="20"/>
    </row>
    <row r="86" spans="2:5" x14ac:dyDescent="0.3">
      <c r="B86" s="20"/>
      <c r="C86" s="20"/>
      <c r="D86" s="20"/>
      <c r="E86" s="20"/>
    </row>
    <row r="88" spans="2:5" x14ac:dyDescent="0.3">
      <c r="B88" s="16"/>
      <c r="C88" s="16"/>
      <c r="D88" s="16"/>
      <c r="E88" s="16"/>
    </row>
    <row r="89" spans="2:5" x14ac:dyDescent="0.3">
      <c r="B89" s="16"/>
      <c r="C89" s="16"/>
      <c r="D89" s="16"/>
      <c r="E89" s="16"/>
    </row>
    <row r="90" spans="2:5" x14ac:dyDescent="0.3">
      <c r="B90" s="16"/>
      <c r="C90" s="16"/>
      <c r="D90" s="16"/>
      <c r="E90" s="16"/>
    </row>
    <row r="91" spans="2:5" x14ac:dyDescent="0.3">
      <c r="B91" s="16"/>
      <c r="C91" s="16"/>
      <c r="D91" s="16"/>
      <c r="E91" s="16"/>
    </row>
    <row r="92" spans="2:5" x14ac:dyDescent="0.3">
      <c r="B92" s="16"/>
      <c r="C92" s="16"/>
      <c r="D92" s="16"/>
      <c r="E92" s="16"/>
    </row>
    <row r="125" spans="6:6" x14ac:dyDescent="0.3">
      <c r="F125">
        <f>+INT(E65)</f>
        <v>2</v>
      </c>
    </row>
    <row r="126" spans="6:6" x14ac:dyDescent="0.3">
      <c r="F126" s="1">
        <f>+INT(E66)</f>
        <v>59</v>
      </c>
    </row>
    <row r="127" spans="6:6" x14ac:dyDescent="0.3">
      <c r="F127" s="21">
        <f>+ROUND(E67,0)</f>
        <v>57</v>
      </c>
    </row>
    <row r="128" spans="6:6" x14ac:dyDescent="0.3">
      <c r="F128" s="20"/>
    </row>
    <row r="129" spans="6:6" x14ac:dyDescent="0.3">
      <c r="F129" s="20"/>
    </row>
    <row r="130" spans="6:6" x14ac:dyDescent="0.3">
      <c r="F130" s="20"/>
    </row>
    <row r="131" spans="6:6" x14ac:dyDescent="0.3">
      <c r="F131" s="20"/>
    </row>
    <row r="132" spans="6:6" x14ac:dyDescent="0.3">
      <c r="F132" s="20"/>
    </row>
    <row r="133" spans="6:6" x14ac:dyDescent="0.3">
      <c r="F133" s="20"/>
    </row>
    <row r="134" spans="6:6" x14ac:dyDescent="0.3">
      <c r="F134" s="20"/>
    </row>
    <row r="135" spans="6:6" x14ac:dyDescent="0.3">
      <c r="F135" s="20"/>
    </row>
    <row r="136" spans="6:6" x14ac:dyDescent="0.3">
      <c r="F136" s="20"/>
    </row>
    <row r="137" spans="6:6" x14ac:dyDescent="0.3">
      <c r="F137" s="20"/>
    </row>
    <row r="138" spans="6:6" x14ac:dyDescent="0.3">
      <c r="F138" s="20"/>
    </row>
    <row r="139" spans="6:6" x14ac:dyDescent="0.3">
      <c r="F139" s="20"/>
    </row>
    <row r="140" spans="6:6" x14ac:dyDescent="0.3">
      <c r="F140" s="20"/>
    </row>
    <row r="141" spans="6:6" x14ac:dyDescent="0.3">
      <c r="F141" s="20"/>
    </row>
    <row r="142" spans="6:6" x14ac:dyDescent="0.3">
      <c r="F142" s="20"/>
    </row>
    <row r="143" spans="6:6" x14ac:dyDescent="0.3">
      <c r="F143" s="20"/>
    </row>
    <row r="144" spans="6:6" x14ac:dyDescent="0.3">
      <c r="F144" s="20"/>
    </row>
    <row r="145" spans="6:6" x14ac:dyDescent="0.3">
      <c r="F145" s="20"/>
    </row>
    <row r="146" spans="6:6" x14ac:dyDescent="0.3">
      <c r="F146" s="20"/>
    </row>
    <row r="148" spans="6:6" x14ac:dyDescent="0.3">
      <c r="F148" s="16"/>
    </row>
    <row r="149" spans="6:6" x14ac:dyDescent="0.3">
      <c r="F149" s="16"/>
    </row>
    <row r="150" spans="6:6" x14ac:dyDescent="0.3">
      <c r="F150" s="16"/>
    </row>
    <row r="151" spans="6:6" x14ac:dyDescent="0.3">
      <c r="F151" s="16"/>
    </row>
    <row r="152" spans="6:6" x14ac:dyDescent="0.3">
      <c r="F152" s="16"/>
    </row>
    <row r="183" spans="9:24" x14ac:dyDescent="0.3">
      <c r="I183" s="16"/>
      <c r="J183" s="16"/>
      <c r="S183" s="16"/>
      <c r="T183" s="16"/>
      <c r="U183" s="16"/>
      <c r="V183" s="16"/>
      <c r="W183" s="16"/>
      <c r="X183" s="16"/>
    </row>
    <row r="184" spans="9:24" x14ac:dyDescent="0.3">
      <c r="I184" s="16"/>
      <c r="J184" s="16"/>
      <c r="K184" s="16"/>
      <c r="L184" s="16"/>
      <c r="M184" s="16"/>
      <c r="N184" s="16"/>
      <c r="O184" s="16"/>
      <c r="P184" s="16"/>
      <c r="S184" s="16"/>
      <c r="T184" s="16"/>
      <c r="U184" s="16"/>
      <c r="V184" s="16"/>
      <c r="W184" s="16"/>
      <c r="X184" s="16"/>
    </row>
    <row r="185" spans="9:24" x14ac:dyDescent="0.3">
      <c r="I185" s="16"/>
      <c r="J185" s="16"/>
      <c r="K185" s="16"/>
      <c r="L185" s="16"/>
      <c r="M185" s="16"/>
      <c r="N185" s="16"/>
      <c r="O185" s="16"/>
      <c r="P185" s="16"/>
      <c r="S185" s="16"/>
      <c r="T185" s="16"/>
      <c r="U185" s="16"/>
      <c r="V185" s="16"/>
      <c r="W185" s="16"/>
      <c r="X185" s="16"/>
    </row>
    <row r="186" spans="9:24" x14ac:dyDescent="0.3">
      <c r="S186" s="16"/>
      <c r="T186" s="16"/>
      <c r="U186" s="16"/>
      <c r="V186" s="16"/>
      <c r="W186" s="16"/>
      <c r="X186" s="16"/>
    </row>
    <row r="187" spans="9:24" x14ac:dyDescent="0.3">
      <c r="S187" s="16"/>
      <c r="T187" s="16"/>
      <c r="U187" s="16"/>
      <c r="V187" s="16"/>
      <c r="W187" s="16"/>
      <c r="X187" s="16"/>
    </row>
  </sheetData>
  <mergeCells count="23">
    <mergeCell ref="B47:B48"/>
    <mergeCell ref="B59:B60"/>
    <mergeCell ref="B49:B50"/>
    <mergeCell ref="B51:B52"/>
    <mergeCell ref="B53:B54"/>
    <mergeCell ref="B55:B56"/>
    <mergeCell ref="B57:B58"/>
    <mergeCell ref="B37:B38"/>
    <mergeCell ref="B39:B40"/>
    <mergeCell ref="B41:B42"/>
    <mergeCell ref="B43:B44"/>
    <mergeCell ref="B45:B46"/>
    <mergeCell ref="K29:L29"/>
    <mergeCell ref="B29:B30"/>
    <mergeCell ref="B31:B32"/>
    <mergeCell ref="B33:B34"/>
    <mergeCell ref="B35:B36"/>
    <mergeCell ref="K4:L4"/>
    <mergeCell ref="B21:B22"/>
    <mergeCell ref="B23:B24"/>
    <mergeCell ref="B25:B26"/>
    <mergeCell ref="B27:B28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S16" sqref="S16"/>
    </sheetView>
  </sheetViews>
  <sheetFormatPr baseColWidth="10" defaultRowHeight="15.6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8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8" bestFit="1" customWidth="1"/>
    <col min="13" max="13" width="2.6640625" bestFit="1" customWidth="1"/>
    <col min="16" max="17" width="12.77734375" style="51" customWidth="1"/>
  </cols>
  <sheetData>
    <row r="1" spans="1:17" x14ac:dyDescent="0.3">
      <c r="A1" s="1"/>
    </row>
    <row r="2" spans="1:17" ht="16.2" thickBot="1" x14ac:dyDescent="0.35">
      <c r="A2" s="1"/>
      <c r="C2" s="1"/>
      <c r="P2" s="62"/>
      <c r="Q2" s="62"/>
    </row>
    <row r="3" spans="1:17" ht="16.2" thickBot="1" x14ac:dyDescent="0.35">
      <c r="A3" s="1"/>
      <c r="B3" s="6"/>
      <c r="C3" s="32" t="s">
        <v>0</v>
      </c>
      <c r="D3" s="32" t="s">
        <v>1</v>
      </c>
      <c r="E3" s="32" t="s">
        <v>2</v>
      </c>
      <c r="J3" s="9" t="s">
        <v>11</v>
      </c>
      <c r="K3" s="10" t="s">
        <v>4</v>
      </c>
      <c r="L3" s="35">
        <f>+'Hoja de cronometraje'!E20</f>
        <v>2912</v>
      </c>
      <c r="M3" s="8" t="s">
        <v>7</v>
      </c>
      <c r="P3" s="69" t="s">
        <v>82</v>
      </c>
      <c r="Q3" s="70" t="s">
        <v>83</v>
      </c>
    </row>
    <row r="4" spans="1:17" ht="16.2" thickBot="1" x14ac:dyDescent="0.35">
      <c r="A4" s="1"/>
      <c r="B4" s="13" t="s">
        <v>3</v>
      </c>
      <c r="C4" s="3">
        <f>+'Hoja de cronometraje'!C9</f>
        <v>12</v>
      </c>
      <c r="D4" s="3">
        <f>+'Hoja de cronometraje'!D9</f>
        <v>21</v>
      </c>
      <c r="E4" s="3">
        <f>+'Hoja de cronometraje'!E9</f>
        <v>12</v>
      </c>
      <c r="F4" t="s">
        <v>4</v>
      </c>
      <c r="G4" s="4">
        <f>(C4*3600)+(D4*60)+E4</f>
        <v>44472</v>
      </c>
      <c r="H4" s="5" t="s">
        <v>5</v>
      </c>
      <c r="J4" s="9" t="s">
        <v>12</v>
      </c>
      <c r="K4" s="10" t="s">
        <v>4</v>
      </c>
      <c r="L4" s="34">
        <f>+'Hoja de cronometraje'!E61</f>
        <v>2332</v>
      </c>
      <c r="M4" s="8" t="s">
        <v>7</v>
      </c>
      <c r="P4" s="64" t="s">
        <v>84</v>
      </c>
      <c r="Q4" s="66" t="str">
        <f>+CONCATENATE(C4,"h ",D4,"'",E4,"""")</f>
        <v>12h 21'12"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21</v>
      </c>
      <c r="E5" s="3">
        <f>+'Hoja de cronometraje'!E10</f>
        <v>15</v>
      </c>
      <c r="F5" t="s">
        <v>4</v>
      </c>
      <c r="G5" s="7">
        <f>(C5*3600)+(D5*60)+E5</f>
        <v>33675</v>
      </c>
      <c r="H5" s="8" t="s">
        <v>5</v>
      </c>
      <c r="J5" s="9" t="s">
        <v>14</v>
      </c>
      <c r="K5" s="10" t="s">
        <v>4</v>
      </c>
      <c r="L5" s="36">
        <v>0</v>
      </c>
      <c r="M5" s="8" t="s">
        <v>7</v>
      </c>
      <c r="P5" s="64" t="s">
        <v>85</v>
      </c>
      <c r="Q5" s="66" t="str">
        <f>+CONCATENATE(C5,"h ",D5,"'",E5,"""")</f>
        <v>9h 21'15"</v>
      </c>
    </row>
    <row r="6" spans="1:17" x14ac:dyDescent="0.3">
      <c r="E6" s="1"/>
      <c r="J6" s="1"/>
      <c r="P6" s="65" t="s">
        <v>10</v>
      </c>
      <c r="Q6" s="67" t="str">
        <f>+CONCATENATE(G7," seg")</f>
        <v>10797 seg</v>
      </c>
    </row>
    <row r="7" spans="1:17" ht="16.2" thickBot="1" x14ac:dyDescent="0.35">
      <c r="E7" s="9" t="s">
        <v>10</v>
      </c>
      <c r="F7" s="10" t="s">
        <v>4</v>
      </c>
      <c r="G7" s="10">
        <f>G4-G5</f>
        <v>10797</v>
      </c>
      <c r="H7" s="8" t="s">
        <v>5</v>
      </c>
      <c r="J7" s="1"/>
      <c r="P7" s="65" t="s">
        <v>10</v>
      </c>
      <c r="Q7" s="67" t="str">
        <f>+CONCATENATE(G8," c.s.")</f>
        <v>1079700 c.s.</v>
      </c>
    </row>
    <row r="8" spans="1:17" ht="16.2" thickBot="1" x14ac:dyDescent="0.35">
      <c r="E8" s="9" t="s">
        <v>10</v>
      </c>
      <c r="F8" s="10" t="s">
        <v>4</v>
      </c>
      <c r="G8" s="34">
        <f>G7*100</f>
        <v>1079700</v>
      </c>
      <c r="H8" s="8" t="s">
        <v>7</v>
      </c>
      <c r="J8" s="9" t="s">
        <v>13</v>
      </c>
      <c r="K8" s="10" t="s">
        <v>4</v>
      </c>
      <c r="L8" s="10">
        <f>G8-L3-L4</f>
        <v>1074456</v>
      </c>
      <c r="M8" s="8" t="s">
        <v>7</v>
      </c>
      <c r="P8" s="64" t="s">
        <v>11</v>
      </c>
      <c r="Q8" s="66" t="str">
        <f>+CONCATENATE(L3," c.s.")</f>
        <v>2912 c.s.</v>
      </c>
    </row>
    <row r="9" spans="1:17" x14ac:dyDescent="0.3">
      <c r="J9" s="9" t="s">
        <v>15</v>
      </c>
      <c r="K9" s="10" t="s">
        <v>4</v>
      </c>
      <c r="L9" s="10">
        <f>L8-L5</f>
        <v>1074456</v>
      </c>
      <c r="M9" s="8" t="s">
        <v>7</v>
      </c>
      <c r="P9" s="64" t="s">
        <v>12</v>
      </c>
      <c r="Q9" s="66" t="str">
        <f>+CONCATENATE(L4," c.s.")</f>
        <v>2332 c.s.</v>
      </c>
    </row>
    <row r="10" spans="1:17" x14ac:dyDescent="0.3">
      <c r="J10" s="60"/>
      <c r="K10" s="61"/>
      <c r="L10" s="61"/>
      <c r="M10" s="61"/>
      <c r="P10" s="65" t="s">
        <v>13</v>
      </c>
      <c r="Q10" s="67" t="str">
        <f>+CONCATENATE(L8," c.s.")</f>
        <v>1074456 c.s.</v>
      </c>
    </row>
    <row r="11" spans="1:17" x14ac:dyDescent="0.3">
      <c r="P11" s="65" t="s">
        <v>86</v>
      </c>
      <c r="Q11" s="67" t="str">
        <f>+CONCATENATE(L5," c.s.")</f>
        <v>0 c.s.</v>
      </c>
    </row>
    <row r="12" spans="1:17" x14ac:dyDescent="0.3">
      <c r="J12" s="12" t="s">
        <v>16</v>
      </c>
      <c r="K12" s="10" t="s">
        <v>4</v>
      </c>
      <c r="L12" s="10">
        <f>+'Hoja de cronometraje'!E62</f>
        <v>1079737</v>
      </c>
      <c r="M12" s="8" t="s">
        <v>7</v>
      </c>
      <c r="P12" s="65" t="s">
        <v>15</v>
      </c>
      <c r="Q12" s="67" t="str">
        <f>+CONCATENATE(L9," c.s.")</f>
        <v>1074456 c.s.</v>
      </c>
    </row>
    <row r="13" spans="1:17" x14ac:dyDescent="0.3">
      <c r="J13" s="12" t="s">
        <v>17</v>
      </c>
      <c r="K13" s="10" t="s">
        <v>4</v>
      </c>
      <c r="L13" s="10">
        <f>G8-L12</f>
        <v>-37</v>
      </c>
      <c r="M13" s="8" t="s">
        <v>7</v>
      </c>
      <c r="P13" s="64" t="s">
        <v>16</v>
      </c>
      <c r="Q13" s="66" t="str">
        <f>+CONCATENATE(L12," c.s.")</f>
        <v>1079737 c.s.</v>
      </c>
    </row>
    <row r="14" spans="1:17" x14ac:dyDescent="0.3">
      <c r="J14" s="1"/>
      <c r="P14" s="65" t="s">
        <v>87</v>
      </c>
      <c r="Q14" s="67" t="str">
        <f>+CONCATENATE(L13," c.s.")</f>
        <v>-37 c.s.</v>
      </c>
    </row>
    <row r="15" spans="1:17" x14ac:dyDescent="0.3">
      <c r="J15" s="9" t="s">
        <v>9</v>
      </c>
      <c r="K15" s="10" t="s">
        <v>4</v>
      </c>
      <c r="L15" s="11">
        <f>(L13/G8)*100</f>
        <v>-3.4268778364360472E-3</v>
      </c>
      <c r="M15" s="8" t="s">
        <v>8</v>
      </c>
      <c r="P15" s="65" t="s">
        <v>9</v>
      </c>
      <c r="Q15" s="68" t="str">
        <f>+CONCATENATE(ROUND(L15,3)," %")</f>
        <v>-0.003 %</v>
      </c>
    </row>
    <row r="16" spans="1:17" x14ac:dyDescent="0.3">
      <c r="G16" s="2"/>
    </row>
    <row r="17" spans="9:14" x14ac:dyDescent="0.3">
      <c r="I17" s="43" t="str">
        <f>IF(ABS(L15)&lt;1,"Los tiempos son confiables","Los tiempos no son confiables")</f>
        <v>Los tiempos son confiables</v>
      </c>
      <c r="J17" s="44"/>
      <c r="K17" s="44"/>
      <c r="L17" s="44"/>
      <c r="M17" s="44"/>
      <c r="N17" s="45"/>
    </row>
    <row r="18" spans="9:14" x14ac:dyDescent="0.3">
      <c r="I18" s="46"/>
      <c r="J18" s="47"/>
      <c r="K18" s="47"/>
      <c r="L18" s="47"/>
      <c r="M18" s="47"/>
      <c r="N18" s="48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J55"/>
  <sheetViews>
    <sheetView showGridLines="0" topLeftCell="A31" zoomScaleNormal="100" workbookViewId="0">
      <selection activeCell="P44" sqref="P44"/>
    </sheetView>
  </sheetViews>
  <sheetFormatPr baseColWidth="10" defaultRowHeight="14.4" x14ac:dyDescent="0.3"/>
  <cols>
    <col min="7" max="7" width="15.77734375" customWidth="1"/>
  </cols>
  <sheetData>
    <row r="2" spans="2:10" x14ac:dyDescent="0.3">
      <c r="B2" s="14"/>
      <c r="G2" s="49" t="str">
        <f>+'Hoja de cronometraje'!K4</f>
        <v>Elemento R</v>
      </c>
      <c r="H2" s="50"/>
    </row>
    <row r="5" spans="2:10" ht="15.6" x14ac:dyDescent="0.3">
      <c r="D5" s="69" t="s">
        <v>18</v>
      </c>
      <c r="E5" s="70" t="s">
        <v>19</v>
      </c>
      <c r="F5" s="70" t="s">
        <v>20</v>
      </c>
      <c r="G5" s="70" t="s">
        <v>21</v>
      </c>
    </row>
    <row r="6" spans="2:10" ht="15.6" x14ac:dyDescent="0.3">
      <c r="D6" s="77">
        <f ca="1">+'Hoja de cronometraje'!K7</f>
        <v>90</v>
      </c>
      <c r="E6" s="86">
        <f ca="1">+'Hoja de cronometraje'!L7</f>
        <v>27727</v>
      </c>
      <c r="F6" s="86">
        <f ca="1">(D6*E6)/100</f>
        <v>24954.3</v>
      </c>
      <c r="G6" s="86">
        <f ca="1">POWER(F6,2)</f>
        <v>622717088.49000001</v>
      </c>
    </row>
    <row r="7" spans="2:10" ht="15.6" x14ac:dyDescent="0.3">
      <c r="D7" s="77">
        <f ca="1">+'Hoja de cronometraje'!K8</f>
        <v>85</v>
      </c>
      <c r="E7" s="86">
        <f ca="1">+'Hoja de cronometraje'!L8</f>
        <v>26961</v>
      </c>
      <c r="F7" s="86">
        <f t="shared" ref="F7:F25" ca="1" si="0">(D7*E7)/100</f>
        <v>22916.85</v>
      </c>
      <c r="G7" s="86">
        <f t="shared" ref="G7:G25" ca="1" si="1">POWER(F7,2)</f>
        <v>525182013.92249995</v>
      </c>
      <c r="I7" s="15" t="s">
        <v>23</v>
      </c>
      <c r="J7" s="3">
        <f ca="1">COUNTA(E6:E25)</f>
        <v>20</v>
      </c>
    </row>
    <row r="8" spans="2:10" ht="15.6" x14ac:dyDescent="0.3">
      <c r="D8" s="77">
        <f ca="1">+'Hoja de cronometraje'!K9</f>
        <v>100</v>
      </c>
      <c r="E8" s="86">
        <f ca="1">+'Hoja de cronometraje'!L9</f>
        <v>26403</v>
      </c>
      <c r="F8" s="86">
        <f t="shared" ca="1" si="0"/>
        <v>26403</v>
      </c>
      <c r="G8" s="86">
        <f t="shared" ca="1" si="1"/>
        <v>697118409</v>
      </c>
      <c r="I8" s="1"/>
    </row>
    <row r="9" spans="2:10" ht="15.6" x14ac:dyDescent="0.3">
      <c r="D9" s="77">
        <f ca="1">+'Hoja de cronometraje'!K10</f>
        <v>90</v>
      </c>
      <c r="E9" s="86">
        <f ca="1">+'Hoja de cronometraje'!L10</f>
        <v>27961</v>
      </c>
      <c r="F9" s="86">
        <f t="shared" ca="1" si="0"/>
        <v>25164.9</v>
      </c>
      <c r="G9" s="86">
        <f t="shared" ca="1" si="1"/>
        <v>633272192.01000011</v>
      </c>
      <c r="I9" s="1"/>
    </row>
    <row r="10" spans="2:10" ht="15.6" x14ac:dyDescent="0.3">
      <c r="D10" s="77">
        <f ca="1">+'Hoja de cronometraje'!K11</f>
        <v>100</v>
      </c>
      <c r="E10" s="86">
        <f ca="1">+'Hoja de cronometraje'!L11</f>
        <v>27730</v>
      </c>
      <c r="F10" s="86">
        <f t="shared" ca="1" si="0"/>
        <v>27730</v>
      </c>
      <c r="G10" s="86">
        <f t="shared" ca="1" si="1"/>
        <v>768952900</v>
      </c>
    </row>
    <row r="11" spans="2:10" ht="15.6" x14ac:dyDescent="0.3">
      <c r="D11" s="77">
        <f ca="1">+'Hoja de cronometraje'!K12</f>
        <v>95</v>
      </c>
      <c r="E11" s="86">
        <f ca="1">+'Hoja de cronometraje'!L12</f>
        <v>27759</v>
      </c>
      <c r="F11" s="86">
        <f t="shared" ca="1" si="0"/>
        <v>26371.05</v>
      </c>
      <c r="G11" s="86">
        <f t="shared" ca="1" si="1"/>
        <v>695432278.10249996</v>
      </c>
    </row>
    <row r="12" spans="2:10" ht="15.6" x14ac:dyDescent="0.3">
      <c r="D12" s="77">
        <f ca="1">+'Hoja de cronometraje'!K13</f>
        <v>100</v>
      </c>
      <c r="E12" s="86">
        <f ca="1">+'Hoja de cronometraje'!L13</f>
        <v>27197</v>
      </c>
      <c r="F12" s="86">
        <f t="shared" ca="1" si="0"/>
        <v>27197</v>
      </c>
      <c r="G12" s="86">
        <f t="shared" ca="1" si="1"/>
        <v>739676809</v>
      </c>
      <c r="I12" s="15" t="s">
        <v>22</v>
      </c>
      <c r="J12" s="3">
        <f ca="1">ROUNDUP(POWER(((40*SQRT((J7*G26)-POWER(F26,2)))/F26),2),0)</f>
        <v>6</v>
      </c>
    </row>
    <row r="13" spans="2:10" ht="15.6" x14ac:dyDescent="0.3">
      <c r="D13" s="77">
        <f ca="1">+'Hoja de cronometraje'!K14</f>
        <v>90</v>
      </c>
      <c r="E13" s="86">
        <f ca="1">+'Hoja de cronometraje'!L14</f>
        <v>26742</v>
      </c>
      <c r="F13" s="86">
        <f t="shared" ca="1" si="0"/>
        <v>24067.8</v>
      </c>
      <c r="G13" s="86">
        <f t="shared" ca="1" si="1"/>
        <v>579258996.83999991</v>
      </c>
    </row>
    <row r="14" spans="2:10" ht="15.6" x14ac:dyDescent="0.3">
      <c r="D14" s="77">
        <f ca="1">+'Hoja de cronometraje'!K15</f>
        <v>100</v>
      </c>
      <c r="E14" s="86">
        <f ca="1">+'Hoja de cronometraje'!L15</f>
        <v>26753</v>
      </c>
      <c r="F14" s="86">
        <f t="shared" ca="1" si="0"/>
        <v>26753</v>
      </c>
      <c r="G14" s="86">
        <f t="shared" ca="1" si="1"/>
        <v>715723009</v>
      </c>
    </row>
    <row r="15" spans="2:10" ht="15.6" x14ac:dyDescent="0.3">
      <c r="D15" s="77">
        <f ca="1">+'Hoja de cronometraje'!K16</f>
        <v>95</v>
      </c>
      <c r="E15" s="86">
        <f ca="1">+'Hoja de cronometraje'!L16</f>
        <v>27247</v>
      </c>
      <c r="F15" s="86">
        <f t="shared" ca="1" si="0"/>
        <v>25884.65</v>
      </c>
      <c r="G15" s="86">
        <f t="shared" ca="1" si="1"/>
        <v>670015105.62250006</v>
      </c>
    </row>
    <row r="16" spans="2:10" ht="15.6" x14ac:dyDescent="0.3">
      <c r="D16" s="77">
        <f ca="1">+'Hoja de cronometraje'!K17</f>
        <v>90</v>
      </c>
      <c r="E16" s="86">
        <f ca="1">+'Hoja de cronometraje'!L17</f>
        <v>27123</v>
      </c>
      <c r="F16" s="86">
        <f t="shared" ca="1" si="0"/>
        <v>24410.7</v>
      </c>
      <c r="G16" s="86">
        <f t="shared" ca="1" si="1"/>
        <v>595882274.49000001</v>
      </c>
    </row>
    <row r="17" spans="4:8" ht="15.6" x14ac:dyDescent="0.3">
      <c r="D17" s="77">
        <f ca="1">+'Hoja de cronometraje'!K18</f>
        <v>90</v>
      </c>
      <c r="E17" s="86">
        <f ca="1">+'Hoja de cronometraje'!L18</f>
        <v>26662</v>
      </c>
      <c r="F17" s="86">
        <f t="shared" ca="1" si="0"/>
        <v>23995.8</v>
      </c>
      <c r="G17" s="86">
        <f t="shared" ca="1" si="1"/>
        <v>575798417.63999999</v>
      </c>
    </row>
    <row r="18" spans="4:8" ht="15.6" x14ac:dyDescent="0.3">
      <c r="D18" s="77">
        <f ca="1">+'Hoja de cronometraje'!K19</f>
        <v>85</v>
      </c>
      <c r="E18" s="86">
        <f ca="1">+'Hoja de cronometraje'!L19</f>
        <v>26979</v>
      </c>
      <c r="F18" s="86">
        <f t="shared" ca="1" si="0"/>
        <v>22932.15</v>
      </c>
      <c r="G18" s="86">
        <f t="shared" ca="1" si="1"/>
        <v>525883503.62250006</v>
      </c>
    </row>
    <row r="19" spans="4:8" ht="15.6" x14ac:dyDescent="0.3">
      <c r="D19" s="77">
        <f ca="1">+'Hoja de cronometraje'!K20</f>
        <v>95</v>
      </c>
      <c r="E19" s="86">
        <f ca="1">+'Hoja de cronometraje'!L20</f>
        <v>27245</v>
      </c>
      <c r="F19" s="86">
        <f t="shared" ca="1" si="0"/>
        <v>25882.75</v>
      </c>
      <c r="G19" s="86">
        <f t="shared" ca="1" si="1"/>
        <v>669916747.5625</v>
      </c>
    </row>
    <row r="20" spans="4:8" ht="15.6" x14ac:dyDescent="0.3">
      <c r="D20" s="77">
        <f ca="1">+'Hoja de cronometraje'!K21</f>
        <v>105</v>
      </c>
      <c r="E20" s="86">
        <f ca="1">+'Hoja de cronometraje'!L21</f>
        <v>26774</v>
      </c>
      <c r="F20" s="86">
        <f t="shared" ca="1" si="0"/>
        <v>28112.7</v>
      </c>
      <c r="G20" s="86">
        <f t="shared" ca="1" si="1"/>
        <v>790323901.29000008</v>
      </c>
    </row>
    <row r="21" spans="4:8" ht="15.6" x14ac:dyDescent="0.3">
      <c r="D21" s="77">
        <f ca="1">+'Hoja de cronometraje'!K22</f>
        <v>90</v>
      </c>
      <c r="E21" s="86">
        <f ca="1">+'Hoja de cronometraje'!L22</f>
        <v>26138</v>
      </c>
      <c r="F21" s="86">
        <f t="shared" ca="1" si="0"/>
        <v>23524.2</v>
      </c>
      <c r="G21" s="86">
        <f t="shared" ca="1" si="1"/>
        <v>553387985.63999999</v>
      </c>
    </row>
    <row r="22" spans="4:8" ht="15.6" x14ac:dyDescent="0.3">
      <c r="D22" s="77">
        <f ca="1">+'Hoja de cronometraje'!K23</f>
        <v>95</v>
      </c>
      <c r="E22" s="86">
        <f ca="1">+'Hoja de cronometraje'!L23</f>
        <v>26053</v>
      </c>
      <c r="F22" s="86">
        <f t="shared" ca="1" si="0"/>
        <v>24750.35</v>
      </c>
      <c r="G22" s="86">
        <f t="shared" ca="1" si="1"/>
        <v>612579825.12249994</v>
      </c>
    </row>
    <row r="23" spans="4:8" ht="15.6" x14ac:dyDescent="0.3">
      <c r="D23" s="77">
        <f ca="1">+'Hoja de cronometraje'!K24</f>
        <v>90</v>
      </c>
      <c r="E23" s="86">
        <f ca="1">+'Hoja de cronometraje'!L24</f>
        <v>26556</v>
      </c>
      <c r="F23" s="86">
        <f t="shared" ca="1" si="0"/>
        <v>23900.400000000001</v>
      </c>
      <c r="G23" s="86">
        <f t="shared" ca="1" si="1"/>
        <v>571229120.16000009</v>
      </c>
    </row>
    <row r="24" spans="4:8" ht="15.6" x14ac:dyDescent="0.3">
      <c r="D24" s="77">
        <f ca="1">+'Hoja de cronometraje'!K25</f>
        <v>100</v>
      </c>
      <c r="E24" s="86">
        <f ca="1">+'Hoja de cronometraje'!L25</f>
        <v>26919</v>
      </c>
      <c r="F24" s="86">
        <f t="shared" ca="1" si="0"/>
        <v>26919</v>
      </c>
      <c r="G24" s="86">
        <f t="shared" ca="1" si="1"/>
        <v>724632561</v>
      </c>
    </row>
    <row r="25" spans="4:8" ht="15.6" x14ac:dyDescent="0.3">
      <c r="D25" s="80">
        <f ca="1">+'Hoja de cronometraje'!K26</f>
        <v>90</v>
      </c>
      <c r="E25" s="87">
        <f ca="1">+'Hoja de cronometraje'!L26</f>
        <v>27415</v>
      </c>
      <c r="F25" s="87">
        <f t="shared" ca="1" si="0"/>
        <v>24673.5</v>
      </c>
      <c r="G25" s="87">
        <f t="shared" ca="1" si="1"/>
        <v>608781602.25</v>
      </c>
    </row>
    <row r="26" spans="4:8" ht="15.6" x14ac:dyDescent="0.3">
      <c r="D26" s="82" t="s">
        <v>88</v>
      </c>
      <c r="E26" s="72"/>
      <c r="F26" s="88">
        <f ca="1">SUM(F6:F25)</f>
        <v>506544.1</v>
      </c>
      <c r="G26" s="88">
        <f ca="1">SUM(G6:G25)</f>
        <v>12875764740.765001</v>
      </c>
    </row>
    <row r="27" spans="4:8" ht="15.6" x14ac:dyDescent="0.3">
      <c r="D27" s="83" t="s">
        <v>89</v>
      </c>
      <c r="E27" s="74"/>
      <c r="F27" s="73">
        <f ca="1">+J12</f>
        <v>6</v>
      </c>
      <c r="G27" s="63" t="s">
        <v>137</v>
      </c>
    </row>
    <row r="30" spans="4:8" x14ac:dyDescent="0.3">
      <c r="G30" s="49" t="str">
        <f>+'Hoja de cronometraje'!K29</f>
        <v>Elemento E</v>
      </c>
      <c r="H30" s="50"/>
    </row>
    <row r="33" spans="4:10" ht="15.6" x14ac:dyDescent="0.3">
      <c r="D33" s="69" t="s">
        <v>18</v>
      </c>
      <c r="E33" s="70" t="s">
        <v>19</v>
      </c>
      <c r="F33" s="70" t="s">
        <v>20</v>
      </c>
      <c r="G33" s="70" t="s">
        <v>21</v>
      </c>
    </row>
    <row r="34" spans="4:10" ht="15.6" x14ac:dyDescent="0.3">
      <c r="D34" s="77">
        <f ca="1">+'Hoja de cronometraje'!K32</f>
        <v>90</v>
      </c>
      <c r="E34" s="86">
        <f ca="1">+'Hoja de cronometraje'!L32</f>
        <v>27055</v>
      </c>
      <c r="F34" s="86">
        <f ca="1">(D34*E34)/100</f>
        <v>24349.5</v>
      </c>
      <c r="G34" s="86">
        <f ca="1">POWER(F34,2)</f>
        <v>592898150.25</v>
      </c>
    </row>
    <row r="35" spans="4:10" ht="15.6" x14ac:dyDescent="0.3">
      <c r="D35" s="77">
        <f ca="1">+'Hoja de cronometraje'!K33</f>
        <v>85</v>
      </c>
      <c r="E35" s="86">
        <f ca="1">+'Hoja de cronometraje'!L33</f>
        <v>27118</v>
      </c>
      <c r="F35" s="86">
        <f t="shared" ref="F35:F53" ca="1" si="2">(D35*E35)/100</f>
        <v>23050.3</v>
      </c>
      <c r="G35" s="86">
        <f t="shared" ref="G35:G53" ca="1" si="3">POWER(F35,2)</f>
        <v>531316330.08999997</v>
      </c>
      <c r="I35" s="15" t="s">
        <v>23</v>
      </c>
      <c r="J35" s="3">
        <f ca="1">COUNTA(E34:E53)</f>
        <v>20</v>
      </c>
    </row>
    <row r="36" spans="4:10" ht="15.6" x14ac:dyDescent="0.3">
      <c r="D36" s="77">
        <f ca="1">+'Hoja de cronometraje'!K34</f>
        <v>95</v>
      </c>
      <c r="E36" s="86">
        <f ca="1">+'Hoja de cronometraje'!L34</f>
        <v>26558</v>
      </c>
      <c r="F36" s="86">
        <f t="shared" ca="1" si="2"/>
        <v>25230.1</v>
      </c>
      <c r="G36" s="86">
        <f t="shared" ca="1" si="3"/>
        <v>636557946.00999987</v>
      </c>
      <c r="I36" s="1"/>
    </row>
    <row r="37" spans="4:10" ht="15.6" x14ac:dyDescent="0.3">
      <c r="D37" s="77">
        <f ca="1">+'Hoja de cronometraje'!K35</f>
        <v>100</v>
      </c>
      <c r="E37" s="86">
        <f ca="1">+'Hoja de cronometraje'!L35</f>
        <v>27029</v>
      </c>
      <c r="F37" s="86">
        <f t="shared" ca="1" si="2"/>
        <v>27029</v>
      </c>
      <c r="G37" s="86">
        <f t="shared" ca="1" si="3"/>
        <v>730566841</v>
      </c>
      <c r="I37" s="1"/>
    </row>
    <row r="38" spans="4:10" ht="15.6" x14ac:dyDescent="0.3">
      <c r="D38" s="77">
        <f ca="1">+'Hoja de cronometraje'!K36</f>
        <v>105</v>
      </c>
      <c r="E38" s="86">
        <f ca="1">+'Hoja de cronometraje'!L36</f>
        <v>25923</v>
      </c>
      <c r="F38" s="86">
        <f t="shared" ca="1" si="2"/>
        <v>27219.15</v>
      </c>
      <c r="G38" s="86">
        <f t="shared" ca="1" si="3"/>
        <v>740882126.72250009</v>
      </c>
    </row>
    <row r="39" spans="4:10" ht="15.6" x14ac:dyDescent="0.3">
      <c r="D39" s="77">
        <f ca="1">+'Hoja de cronometraje'!K37</f>
        <v>90</v>
      </c>
      <c r="E39" s="86">
        <f ca="1">+'Hoja de cronometraje'!L37</f>
        <v>25886</v>
      </c>
      <c r="F39" s="86">
        <f t="shared" ca="1" si="2"/>
        <v>23297.4</v>
      </c>
      <c r="G39" s="86">
        <f t="shared" ca="1" si="3"/>
        <v>542768846.76000011</v>
      </c>
    </row>
    <row r="40" spans="4:10" ht="15.6" x14ac:dyDescent="0.3">
      <c r="D40" s="77">
        <f ca="1">+'Hoja de cronometraje'!K38</f>
        <v>95</v>
      </c>
      <c r="E40" s="86">
        <f ca="1">+'Hoja de cronometraje'!L38</f>
        <v>27764</v>
      </c>
      <c r="F40" s="86">
        <f t="shared" ca="1" si="2"/>
        <v>26375.8</v>
      </c>
      <c r="G40" s="86">
        <f t="shared" ca="1" si="3"/>
        <v>695682825.63999999</v>
      </c>
      <c r="I40" s="15" t="s">
        <v>22</v>
      </c>
      <c r="J40" s="3">
        <f ca="1">ROUNDUP(POWER(((40*SQRT((J35*G54)-POWER(F54,2)))/F54),2),0)</f>
        <v>6</v>
      </c>
    </row>
    <row r="41" spans="4:10" ht="15.6" x14ac:dyDescent="0.3">
      <c r="D41" s="77">
        <f ca="1">+'Hoja de cronometraje'!K39</f>
        <v>90</v>
      </c>
      <c r="E41" s="86">
        <f ca="1">+'Hoja de cronometraje'!L39</f>
        <v>26546</v>
      </c>
      <c r="F41" s="86">
        <f t="shared" ca="1" si="2"/>
        <v>23891.4</v>
      </c>
      <c r="G41" s="86">
        <f t="shared" ca="1" si="3"/>
        <v>570798993.96000004</v>
      </c>
    </row>
    <row r="42" spans="4:10" ht="15.6" x14ac:dyDescent="0.3">
      <c r="D42" s="77">
        <f ca="1">+'Hoja de cronometraje'!K40</f>
        <v>95</v>
      </c>
      <c r="E42" s="86">
        <f ca="1">+'Hoja de cronometraje'!L40</f>
        <v>26700</v>
      </c>
      <c r="F42" s="86">
        <f t="shared" ca="1" si="2"/>
        <v>25365</v>
      </c>
      <c r="G42" s="86">
        <f t="shared" ca="1" si="3"/>
        <v>643383225</v>
      </c>
    </row>
    <row r="43" spans="4:10" ht="15.6" x14ac:dyDescent="0.3">
      <c r="D43" s="77">
        <f ca="1">+'Hoja de cronometraje'!K41</f>
        <v>90</v>
      </c>
      <c r="E43" s="86">
        <f ca="1">+'Hoja de cronometraje'!L41</f>
        <v>27509</v>
      </c>
      <c r="F43" s="86">
        <f t="shared" ca="1" si="2"/>
        <v>24758.1</v>
      </c>
      <c r="G43" s="86">
        <f t="shared" ca="1" si="3"/>
        <v>612963515.6099999</v>
      </c>
    </row>
    <row r="44" spans="4:10" ht="15.6" x14ac:dyDescent="0.3">
      <c r="D44" s="77">
        <f ca="1">+'Hoja de cronometraje'!K42</f>
        <v>85</v>
      </c>
      <c r="E44" s="86">
        <f ca="1">+'Hoja de cronometraje'!L42</f>
        <v>26393</v>
      </c>
      <c r="F44" s="86">
        <f t="shared" ca="1" si="2"/>
        <v>22434.05</v>
      </c>
      <c r="G44" s="86">
        <f t="shared" ca="1" si="3"/>
        <v>503286599.40249997</v>
      </c>
    </row>
    <row r="45" spans="4:10" ht="15.6" x14ac:dyDescent="0.3">
      <c r="D45" s="77">
        <f ca="1">+'Hoja de cronometraje'!K43</f>
        <v>90</v>
      </c>
      <c r="E45" s="86">
        <f ca="1">+'Hoja de cronometraje'!L43</f>
        <v>26294</v>
      </c>
      <c r="F45" s="86">
        <f t="shared" ca="1" si="2"/>
        <v>23664.6</v>
      </c>
      <c r="G45" s="86">
        <f t="shared" ca="1" si="3"/>
        <v>560013293.15999997</v>
      </c>
    </row>
    <row r="46" spans="4:10" ht="15.6" x14ac:dyDescent="0.3">
      <c r="D46" s="77">
        <f ca="1">+'Hoja de cronometraje'!K44</f>
        <v>90</v>
      </c>
      <c r="E46" s="86">
        <f ca="1">+'Hoja de cronometraje'!L44</f>
        <v>27580</v>
      </c>
      <c r="F46" s="86">
        <f t="shared" ca="1" si="2"/>
        <v>24822</v>
      </c>
      <c r="G46" s="86">
        <f t="shared" ca="1" si="3"/>
        <v>616131684</v>
      </c>
    </row>
    <row r="47" spans="4:10" ht="15.6" x14ac:dyDescent="0.3">
      <c r="D47" s="77">
        <f ca="1">+'Hoja de cronometraje'!K45</f>
        <v>95</v>
      </c>
      <c r="E47" s="86">
        <f ca="1">+'Hoja de cronometraje'!L45</f>
        <v>27154</v>
      </c>
      <c r="F47" s="86">
        <f t="shared" ca="1" si="2"/>
        <v>25796.3</v>
      </c>
      <c r="G47" s="86">
        <f t="shared" ca="1" si="3"/>
        <v>665449093.68999994</v>
      </c>
    </row>
    <row r="48" spans="4:10" ht="15.6" x14ac:dyDescent="0.3">
      <c r="D48" s="77">
        <f ca="1">+'Hoja de cronometraje'!K46</f>
        <v>105</v>
      </c>
      <c r="E48" s="86">
        <f ca="1">+'Hoja de cronometraje'!L46</f>
        <v>26341</v>
      </c>
      <c r="F48" s="86">
        <f t="shared" ca="1" si="2"/>
        <v>27658.05</v>
      </c>
      <c r="G48" s="86">
        <f t="shared" ca="1" si="3"/>
        <v>764967729.80250001</v>
      </c>
    </row>
    <row r="49" spans="4:7" ht="15.6" x14ac:dyDescent="0.3">
      <c r="D49" s="77">
        <f ca="1">+'Hoja de cronometraje'!K47</f>
        <v>90</v>
      </c>
      <c r="E49" s="86">
        <f ca="1">+'Hoja de cronometraje'!L47</f>
        <v>25999</v>
      </c>
      <c r="F49" s="86">
        <f t="shared" ca="1" si="2"/>
        <v>23399.1</v>
      </c>
      <c r="G49" s="86">
        <f t="shared" ca="1" si="3"/>
        <v>547517880.80999994</v>
      </c>
    </row>
    <row r="50" spans="4:7" ht="15.6" x14ac:dyDescent="0.3">
      <c r="D50" s="77">
        <f ca="1">+'Hoja de cronometraje'!K48</f>
        <v>95</v>
      </c>
      <c r="E50" s="86">
        <f ca="1">+'Hoja de cronometraje'!L48</f>
        <v>26062</v>
      </c>
      <c r="F50" s="86">
        <f t="shared" ca="1" si="2"/>
        <v>24758.9</v>
      </c>
      <c r="G50" s="86">
        <f t="shared" ca="1" si="3"/>
        <v>613003129.21000004</v>
      </c>
    </row>
    <row r="51" spans="4:7" ht="15.6" x14ac:dyDescent="0.3">
      <c r="D51" s="77">
        <f ca="1">+'Hoja de cronometraje'!K49</f>
        <v>90</v>
      </c>
      <c r="E51" s="86">
        <f ca="1">+'Hoja de cronometraje'!L49</f>
        <v>27119</v>
      </c>
      <c r="F51" s="86">
        <f t="shared" ca="1" si="2"/>
        <v>24407.1</v>
      </c>
      <c r="G51" s="86">
        <f t="shared" ca="1" si="3"/>
        <v>595706530.40999997</v>
      </c>
    </row>
    <row r="52" spans="4:7" ht="15.6" x14ac:dyDescent="0.3">
      <c r="D52" s="77">
        <f ca="1">+'Hoja de cronometraje'!K50</f>
        <v>100</v>
      </c>
      <c r="E52" s="86">
        <f ca="1">+'Hoja de cronometraje'!L50</f>
        <v>25975</v>
      </c>
      <c r="F52" s="86">
        <f t="shared" ca="1" si="2"/>
        <v>25975</v>
      </c>
      <c r="G52" s="86">
        <f t="shared" ca="1" si="3"/>
        <v>674700625</v>
      </c>
    </row>
    <row r="53" spans="4:7" ht="15.6" x14ac:dyDescent="0.3">
      <c r="D53" s="80">
        <f ca="1">+'Hoja de cronometraje'!K51</f>
        <v>95</v>
      </c>
      <c r="E53" s="87">
        <f ca="1">+'Hoja de cronometraje'!L51</f>
        <v>27144</v>
      </c>
      <c r="F53" s="87">
        <f t="shared" ca="1" si="2"/>
        <v>25786.799999999999</v>
      </c>
      <c r="G53" s="87">
        <f t="shared" ca="1" si="3"/>
        <v>664959054.24000001</v>
      </c>
    </row>
    <row r="54" spans="4:7" ht="15.6" x14ac:dyDescent="0.3">
      <c r="D54" s="82" t="s">
        <v>88</v>
      </c>
      <c r="E54" s="72"/>
      <c r="F54" s="88">
        <f ca="1">SUM(F34:F53)</f>
        <v>499267.64999999991</v>
      </c>
      <c r="G54" s="88">
        <f ca="1">SUM(G34:G53)</f>
        <v>12503554420.7675</v>
      </c>
    </row>
    <row r="55" spans="4:7" ht="15.6" x14ac:dyDescent="0.3">
      <c r="D55" s="83" t="s">
        <v>89</v>
      </c>
      <c r="E55" s="74"/>
      <c r="F55" s="73">
        <f ca="1">+J40</f>
        <v>6</v>
      </c>
      <c r="G55" s="63" t="s">
        <v>137</v>
      </c>
    </row>
  </sheetData>
  <mergeCells count="6">
    <mergeCell ref="D26:E26"/>
    <mergeCell ref="D27:E27"/>
    <mergeCell ref="D54:E54"/>
    <mergeCell ref="D55:E55"/>
    <mergeCell ref="G2:H2"/>
    <mergeCell ref="G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N94"/>
  <sheetViews>
    <sheetView topLeftCell="A65" zoomScaleNormal="100" workbookViewId="0">
      <selection activeCell="J79" sqref="J79"/>
    </sheetView>
  </sheetViews>
  <sheetFormatPr baseColWidth="10" defaultRowHeight="14.4" x14ac:dyDescent="0.3"/>
  <cols>
    <col min="4" max="4" width="14.44140625" bestFit="1" customWidth="1"/>
  </cols>
  <sheetData>
    <row r="1" spans="1:13" ht="15.6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5.6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15.6" x14ac:dyDescent="0.3">
      <c r="A3" s="51"/>
      <c r="B3" s="51"/>
      <c r="C3" s="51"/>
      <c r="D3" s="51"/>
      <c r="E3" s="91" t="str">
        <f>+'Hoja de cronometraje'!K4</f>
        <v>Elemento R</v>
      </c>
      <c r="F3" s="91"/>
      <c r="G3" s="51"/>
      <c r="H3" s="51"/>
      <c r="I3" s="51"/>
      <c r="J3" s="51"/>
      <c r="K3" s="51"/>
      <c r="L3" s="51"/>
      <c r="M3" s="51"/>
    </row>
    <row r="4" spans="1:13" ht="15.6" x14ac:dyDescent="0.3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15.6" x14ac:dyDescent="0.3">
      <c r="A5" s="52"/>
      <c r="B5" s="71"/>
      <c r="C5" s="71"/>
      <c r="D5" s="71"/>
      <c r="E5" s="71"/>
      <c r="F5" s="71"/>
      <c r="G5" s="52"/>
      <c r="H5" s="52"/>
      <c r="I5" s="52"/>
      <c r="J5" s="52"/>
      <c r="K5" s="52"/>
      <c r="L5" s="52"/>
      <c r="M5" s="52"/>
    </row>
    <row r="6" spans="1:13" ht="15.6" x14ac:dyDescent="0.3">
      <c r="A6" s="52"/>
      <c r="B6" s="69" t="s">
        <v>26</v>
      </c>
      <c r="C6" s="70" t="s">
        <v>90</v>
      </c>
      <c r="D6" s="84" t="s">
        <v>91</v>
      </c>
      <c r="E6" s="70" t="s">
        <v>27</v>
      </c>
      <c r="F6" s="85" t="s">
        <v>92</v>
      </c>
      <c r="G6" s="52"/>
      <c r="H6" s="52"/>
      <c r="I6" s="52"/>
      <c r="J6" s="52"/>
      <c r="K6" s="52"/>
      <c r="L6" s="52"/>
      <c r="M6" s="52"/>
    </row>
    <row r="7" spans="1:13" ht="15.6" x14ac:dyDescent="0.3">
      <c r="A7" s="52"/>
      <c r="B7" s="77">
        <f ca="1">+'N° de Obs.'!D6</f>
        <v>90</v>
      </c>
      <c r="C7" s="86">
        <f ca="1">+'N° de Obs.'!E6</f>
        <v>27727</v>
      </c>
      <c r="D7" s="78">
        <f ca="1">+ROUND($B$29*$C$29/C7,2)</f>
        <v>91.34</v>
      </c>
      <c r="E7" s="86">
        <f ca="1">+J7</f>
        <v>90</v>
      </c>
      <c r="F7" s="79">
        <f ca="1">+B7-E7</f>
        <v>0</v>
      </c>
      <c r="G7" s="52"/>
      <c r="H7" s="52">
        <f ca="1">+ROUND(D7,1)</f>
        <v>91.3</v>
      </c>
      <c r="I7" s="93" t="str">
        <f ca="1">+RIGHT(H7*10,2)</f>
        <v>13</v>
      </c>
      <c r="J7" s="52" cm="1">
        <f t="array" aca="1" ref="J7" ca="1">+_xlfn.IFS(AND(I7&gt;="0",I7&lt;"25"),H7-(I7/10),AND(I7&gt;="25",I7&lt;"50"),H7+(5-(I7/10)),AND(I7&gt;="50",I7&lt;"75"),H7-((I7-50)/10),I7&gt;="75",H7+(10-(I7/10)))</f>
        <v>90</v>
      </c>
      <c r="K7" s="52">
        <f ca="1">+ABS(F7)</f>
        <v>0</v>
      </c>
      <c r="L7" s="52"/>
      <c r="M7" s="52"/>
    </row>
    <row r="8" spans="1:13" ht="15.6" x14ac:dyDescent="0.3">
      <c r="A8" s="52"/>
      <c r="B8" s="77">
        <f ca="1">+'N° de Obs.'!D7</f>
        <v>85</v>
      </c>
      <c r="C8" s="86">
        <f ca="1">+'N° de Obs.'!E7</f>
        <v>26961</v>
      </c>
      <c r="D8" s="78">
        <f t="shared" ref="D8:D26" ca="1" si="0">+ROUND($B$29*$C$29/C8,2)</f>
        <v>93.94</v>
      </c>
      <c r="E8" s="86">
        <f t="shared" ref="E8:E26" ca="1" si="1">+J8</f>
        <v>95</v>
      </c>
      <c r="F8" s="79">
        <f t="shared" ref="F8:F26" ca="1" si="2">+B8-E8</f>
        <v>-10</v>
      </c>
      <c r="G8" s="52"/>
      <c r="H8" s="52">
        <f t="shared" ref="H8:H26" ca="1" si="3">+ROUND(D8,1)</f>
        <v>93.9</v>
      </c>
      <c r="I8" s="93" t="str">
        <f t="shared" ref="I8:I26" ca="1" si="4">+RIGHT(H8*10,2)</f>
        <v>39</v>
      </c>
      <c r="J8" s="52" cm="1">
        <f t="array" aca="1" ref="J8" ca="1">+_xlfn.IFS(AND(I8&gt;="0",I8&lt;"25"),H8-(I8/10),AND(I8&gt;="25",I8&lt;"50"),H8+(5-(I8/10)),AND(I8&gt;="50",I8&lt;"75"),H8-((I8-50)/10),I8&gt;="75",H8+(10-(I8/10)))</f>
        <v>95</v>
      </c>
      <c r="K8" s="52">
        <f t="shared" ref="K8:K26" ca="1" si="5">+ABS(F8)</f>
        <v>10</v>
      </c>
      <c r="L8" s="52"/>
      <c r="M8" s="52"/>
    </row>
    <row r="9" spans="1:13" ht="15.6" x14ac:dyDescent="0.3">
      <c r="A9" s="52"/>
      <c r="B9" s="77">
        <f ca="1">+'N° de Obs.'!D8</f>
        <v>100</v>
      </c>
      <c r="C9" s="86">
        <f ca="1">+'N° de Obs.'!E8</f>
        <v>26403</v>
      </c>
      <c r="D9" s="78">
        <f t="shared" ca="1" si="0"/>
        <v>95.92</v>
      </c>
      <c r="E9" s="86">
        <f t="shared" ca="1" si="1"/>
        <v>95</v>
      </c>
      <c r="F9" s="79">
        <f t="shared" ca="1" si="2"/>
        <v>5</v>
      </c>
      <c r="G9" s="52"/>
      <c r="H9" s="52">
        <f t="shared" ca="1" si="3"/>
        <v>95.9</v>
      </c>
      <c r="I9" s="93" t="str">
        <f t="shared" ca="1" si="4"/>
        <v>59</v>
      </c>
      <c r="J9" s="52" cm="1">
        <f t="array" aca="1" ref="J9" ca="1">+_xlfn.IFS(AND(I9&gt;="0",I9&lt;"25"),H9-(I9/10),AND(I9&gt;="25",I9&lt;"50"),H9+(5-(I9/10)),AND(I9&gt;="50",I9&lt;"75"),H9-((I9-50)/10),I9&gt;="75",H9+(10-(I9/10)))</f>
        <v>95</v>
      </c>
      <c r="K9" s="52">
        <f t="shared" ca="1" si="5"/>
        <v>5</v>
      </c>
      <c r="L9" s="52"/>
      <c r="M9" s="52"/>
    </row>
    <row r="10" spans="1:13" ht="15.6" x14ac:dyDescent="0.3">
      <c r="A10" s="52"/>
      <c r="B10" s="77">
        <f ca="1">+'N° de Obs.'!D9</f>
        <v>90</v>
      </c>
      <c r="C10" s="86">
        <f ca="1">+'N° de Obs.'!E9</f>
        <v>27961</v>
      </c>
      <c r="D10" s="78">
        <f t="shared" ca="1" si="0"/>
        <v>90.58</v>
      </c>
      <c r="E10" s="86">
        <f t="shared" ca="1" si="1"/>
        <v>90</v>
      </c>
      <c r="F10" s="79">
        <f t="shared" ca="1" si="2"/>
        <v>0</v>
      </c>
      <c r="G10" s="52"/>
      <c r="H10" s="52">
        <f t="shared" ca="1" si="3"/>
        <v>90.6</v>
      </c>
      <c r="I10" s="93" t="str">
        <f t="shared" ca="1" si="4"/>
        <v>06</v>
      </c>
      <c r="J10" s="52" cm="1">
        <f t="array" aca="1" ref="J10" ca="1">+_xlfn.IFS(AND(I10&gt;="0",I10&lt;"25"),H10-(I10/10),AND(I10&gt;="25",I10&lt;"50"),H10+(5-(I10/10)),AND(I10&gt;="50",I10&lt;"75"),H10-((I10-50)/10),I10&gt;="75",H10+(10-(I10/10)))</f>
        <v>90</v>
      </c>
      <c r="K10" s="52">
        <f t="shared" ca="1" si="5"/>
        <v>0</v>
      </c>
      <c r="L10" s="52"/>
      <c r="M10" s="52"/>
    </row>
    <row r="11" spans="1:13" ht="15.6" x14ac:dyDescent="0.3">
      <c r="A11" s="52"/>
      <c r="B11" s="77">
        <f ca="1">+'N° de Obs.'!D10</f>
        <v>100</v>
      </c>
      <c r="C11" s="86">
        <f ca="1">+'N° de Obs.'!E10</f>
        <v>27730</v>
      </c>
      <c r="D11" s="78">
        <f t="shared" ca="1" si="0"/>
        <v>91.33</v>
      </c>
      <c r="E11" s="86">
        <f t="shared" ca="1" si="1"/>
        <v>90</v>
      </c>
      <c r="F11" s="79">
        <f t="shared" ca="1" si="2"/>
        <v>10</v>
      </c>
      <c r="G11" s="52"/>
      <c r="H11" s="52">
        <f t="shared" ca="1" si="3"/>
        <v>91.3</v>
      </c>
      <c r="I11" s="93" t="str">
        <f t="shared" ca="1" si="4"/>
        <v>13</v>
      </c>
      <c r="J11" s="52" cm="1">
        <f t="array" aca="1" ref="J11" ca="1">+_xlfn.IFS(AND(I11&gt;="0",I11&lt;"25"),H11-(I11/10),AND(I11&gt;="25",I11&lt;"50"),H11+(5-(I11/10)),AND(I11&gt;="50",I11&lt;"75"),H11-((I11-50)/10),I11&gt;="75",H11+(10-(I11/10)))</f>
        <v>90</v>
      </c>
      <c r="K11" s="52">
        <f t="shared" ca="1" si="5"/>
        <v>10</v>
      </c>
      <c r="L11" s="52"/>
      <c r="M11" s="52"/>
    </row>
    <row r="12" spans="1:13" ht="15.6" x14ac:dyDescent="0.3">
      <c r="A12" s="52"/>
      <c r="B12" s="77">
        <f ca="1">+'N° de Obs.'!D11</f>
        <v>95</v>
      </c>
      <c r="C12" s="86">
        <f ca="1">+'N° de Obs.'!E11</f>
        <v>27759</v>
      </c>
      <c r="D12" s="78">
        <f t="shared" ca="1" si="0"/>
        <v>91.24</v>
      </c>
      <c r="E12" s="86">
        <f t="shared" ca="1" si="1"/>
        <v>90</v>
      </c>
      <c r="F12" s="79">
        <f t="shared" ca="1" si="2"/>
        <v>5</v>
      </c>
      <c r="G12" s="52"/>
      <c r="H12" s="52">
        <f t="shared" ca="1" si="3"/>
        <v>91.2</v>
      </c>
      <c r="I12" s="93" t="str">
        <f t="shared" ca="1" si="4"/>
        <v>12</v>
      </c>
      <c r="J12" s="52" cm="1">
        <f t="array" aca="1" ref="J12" ca="1">+_xlfn.IFS(AND(I12&gt;="0",I12&lt;"25"),H12-(I12/10),AND(I12&gt;="25",I12&lt;"50"),H12+(5-(I12/10)),AND(I12&gt;="50",I12&lt;"75"),H12-((I12-50)/10),I12&gt;="75",H12+(10-(I12/10)))</f>
        <v>90</v>
      </c>
      <c r="K12" s="52">
        <f t="shared" ca="1" si="5"/>
        <v>5</v>
      </c>
      <c r="L12" s="52"/>
      <c r="M12" s="52"/>
    </row>
    <row r="13" spans="1:13" ht="15.6" x14ac:dyDescent="0.3">
      <c r="A13" s="52"/>
      <c r="B13" s="77">
        <f ca="1">+'N° de Obs.'!D12</f>
        <v>100</v>
      </c>
      <c r="C13" s="86">
        <f ca="1">+'N° de Obs.'!E12</f>
        <v>27197</v>
      </c>
      <c r="D13" s="78">
        <f t="shared" ca="1" si="0"/>
        <v>93.12</v>
      </c>
      <c r="E13" s="86">
        <f t="shared" ca="1" si="1"/>
        <v>95</v>
      </c>
      <c r="F13" s="79">
        <f t="shared" ca="1" si="2"/>
        <v>5</v>
      </c>
      <c r="G13" s="52"/>
      <c r="H13" s="52">
        <f t="shared" ca="1" si="3"/>
        <v>93.1</v>
      </c>
      <c r="I13" s="93" t="str">
        <f t="shared" ca="1" si="4"/>
        <v>31</v>
      </c>
      <c r="J13" s="52" cm="1">
        <f t="array" aca="1" ref="J13" ca="1">+_xlfn.IFS(AND(I13&gt;="0",I13&lt;"25"),H13-(I13/10),AND(I13&gt;="25",I13&lt;"50"),H13+(5-(I13/10)),AND(I13&gt;="50",I13&lt;"75"),H13-((I13-50)/10),I13&gt;="75",H13+(10-(I13/10)))</f>
        <v>95</v>
      </c>
      <c r="K13" s="52">
        <f t="shared" ca="1" si="5"/>
        <v>5</v>
      </c>
      <c r="L13" s="52"/>
      <c r="M13" s="52"/>
    </row>
    <row r="14" spans="1:13" ht="15.6" x14ac:dyDescent="0.3">
      <c r="A14" s="52"/>
      <c r="B14" s="77">
        <f ca="1">+'N° de Obs.'!D13</f>
        <v>90</v>
      </c>
      <c r="C14" s="86">
        <f ca="1">+'N° de Obs.'!E13</f>
        <v>26742</v>
      </c>
      <c r="D14" s="78">
        <f t="shared" ca="1" si="0"/>
        <v>94.71</v>
      </c>
      <c r="E14" s="86">
        <f t="shared" ca="1" si="1"/>
        <v>95</v>
      </c>
      <c r="F14" s="79">
        <f t="shared" ca="1" si="2"/>
        <v>-5</v>
      </c>
      <c r="G14" s="52"/>
      <c r="H14" s="52">
        <f t="shared" ca="1" si="3"/>
        <v>94.7</v>
      </c>
      <c r="I14" s="93" t="str">
        <f t="shared" ca="1" si="4"/>
        <v>47</v>
      </c>
      <c r="J14" s="52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52">
        <f t="shared" ca="1" si="5"/>
        <v>5</v>
      </c>
      <c r="L14" s="52"/>
      <c r="M14" s="52"/>
    </row>
    <row r="15" spans="1:13" ht="15.6" x14ac:dyDescent="0.3">
      <c r="A15" s="52"/>
      <c r="B15" s="77">
        <f ca="1">+'N° de Obs.'!D14</f>
        <v>100</v>
      </c>
      <c r="C15" s="86">
        <f ca="1">+'N° de Obs.'!E14</f>
        <v>26753</v>
      </c>
      <c r="D15" s="78">
        <f t="shared" ca="1" si="0"/>
        <v>94.67</v>
      </c>
      <c r="E15" s="86">
        <f t="shared" ca="1" si="1"/>
        <v>95</v>
      </c>
      <c r="F15" s="79">
        <f t="shared" ca="1" si="2"/>
        <v>5</v>
      </c>
      <c r="G15" s="52"/>
      <c r="H15" s="52">
        <f t="shared" ca="1" si="3"/>
        <v>94.7</v>
      </c>
      <c r="I15" s="93" t="str">
        <f t="shared" ca="1" si="4"/>
        <v>47</v>
      </c>
      <c r="J15" s="52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52">
        <f t="shared" ca="1" si="5"/>
        <v>5</v>
      </c>
      <c r="L15" s="52"/>
      <c r="M15" s="52"/>
    </row>
    <row r="16" spans="1:13" ht="15.6" x14ac:dyDescent="0.3">
      <c r="A16" s="52"/>
      <c r="B16" s="77">
        <f ca="1">+'N° de Obs.'!D15</f>
        <v>95</v>
      </c>
      <c r="C16" s="86">
        <f ca="1">+'N° de Obs.'!E15</f>
        <v>27247</v>
      </c>
      <c r="D16" s="78">
        <f t="shared" ca="1" si="0"/>
        <v>92.95</v>
      </c>
      <c r="E16" s="86">
        <f t="shared" ca="1" si="1"/>
        <v>95</v>
      </c>
      <c r="F16" s="79">
        <f t="shared" ca="1" si="2"/>
        <v>0</v>
      </c>
      <c r="G16" s="52"/>
      <c r="H16" s="52">
        <f t="shared" ca="1" si="3"/>
        <v>93</v>
      </c>
      <c r="I16" s="93" t="str">
        <f t="shared" ca="1" si="4"/>
        <v>30</v>
      </c>
      <c r="J16" s="52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52">
        <f t="shared" ca="1" si="5"/>
        <v>0</v>
      </c>
      <c r="L16" s="52"/>
      <c r="M16" s="52"/>
    </row>
    <row r="17" spans="1:13" ht="15.6" x14ac:dyDescent="0.3">
      <c r="A17" s="52"/>
      <c r="B17" s="77">
        <f ca="1">+'N° de Obs.'!D16</f>
        <v>90</v>
      </c>
      <c r="C17" s="86">
        <f ca="1">+'N° de Obs.'!E16</f>
        <v>27123</v>
      </c>
      <c r="D17" s="78">
        <f t="shared" ca="1" si="0"/>
        <v>93.38</v>
      </c>
      <c r="E17" s="86">
        <f t="shared" ca="1" si="1"/>
        <v>95</v>
      </c>
      <c r="F17" s="79">
        <f t="shared" ca="1" si="2"/>
        <v>-5</v>
      </c>
      <c r="G17" s="52"/>
      <c r="H17" s="52">
        <f t="shared" ca="1" si="3"/>
        <v>93.4</v>
      </c>
      <c r="I17" s="93" t="str">
        <f t="shared" ca="1" si="4"/>
        <v>34</v>
      </c>
      <c r="J17" s="52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52">
        <f t="shared" ca="1" si="5"/>
        <v>5</v>
      </c>
      <c r="L17" s="52"/>
      <c r="M17" s="52"/>
    </row>
    <row r="18" spans="1:13" ht="15.6" x14ac:dyDescent="0.3">
      <c r="A18" s="52"/>
      <c r="B18" s="77">
        <f ca="1">+'N° de Obs.'!D17</f>
        <v>90</v>
      </c>
      <c r="C18" s="86">
        <f ca="1">+'N° de Obs.'!E17</f>
        <v>26662</v>
      </c>
      <c r="D18" s="78">
        <f t="shared" ca="1" si="0"/>
        <v>94.99</v>
      </c>
      <c r="E18" s="86">
        <f t="shared" ca="1" si="1"/>
        <v>95</v>
      </c>
      <c r="F18" s="79">
        <f t="shared" ca="1" si="2"/>
        <v>-5</v>
      </c>
      <c r="G18" s="52"/>
      <c r="H18" s="52">
        <f t="shared" ca="1" si="3"/>
        <v>95</v>
      </c>
      <c r="I18" s="93" t="str">
        <f t="shared" ca="1" si="4"/>
        <v>50</v>
      </c>
      <c r="J18" s="52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52">
        <f t="shared" ca="1" si="5"/>
        <v>5</v>
      </c>
      <c r="L18" s="52"/>
      <c r="M18" s="52"/>
    </row>
    <row r="19" spans="1:13" ht="15.6" x14ac:dyDescent="0.3">
      <c r="A19" s="52"/>
      <c r="B19" s="77">
        <f ca="1">+'N° de Obs.'!D18</f>
        <v>85</v>
      </c>
      <c r="C19" s="86">
        <f ca="1">+'N° de Obs.'!E18</f>
        <v>26979</v>
      </c>
      <c r="D19" s="78">
        <f t="shared" ca="1" si="0"/>
        <v>93.88</v>
      </c>
      <c r="E19" s="86">
        <f t="shared" ca="1" si="1"/>
        <v>95</v>
      </c>
      <c r="F19" s="79">
        <f t="shared" ca="1" si="2"/>
        <v>-10</v>
      </c>
      <c r="G19" s="52"/>
      <c r="H19" s="52">
        <f t="shared" ca="1" si="3"/>
        <v>93.9</v>
      </c>
      <c r="I19" s="93" t="str">
        <f t="shared" ca="1" si="4"/>
        <v>39</v>
      </c>
      <c r="J19" s="52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52">
        <f t="shared" ca="1" si="5"/>
        <v>10</v>
      </c>
      <c r="L19" s="52"/>
      <c r="M19" s="52"/>
    </row>
    <row r="20" spans="1:13" ht="15.6" x14ac:dyDescent="0.3">
      <c r="A20" s="52"/>
      <c r="B20" s="77">
        <f ca="1">+'N° de Obs.'!D19</f>
        <v>95</v>
      </c>
      <c r="C20" s="86">
        <f ca="1">+'N° de Obs.'!E19</f>
        <v>27245</v>
      </c>
      <c r="D20" s="78">
        <f t="shared" ca="1" si="0"/>
        <v>92.96</v>
      </c>
      <c r="E20" s="86">
        <f t="shared" ca="1" si="1"/>
        <v>95</v>
      </c>
      <c r="F20" s="79">
        <f t="shared" ca="1" si="2"/>
        <v>0</v>
      </c>
      <c r="G20" s="52"/>
      <c r="H20" s="52">
        <f t="shared" ca="1" si="3"/>
        <v>93</v>
      </c>
      <c r="I20" s="93" t="str">
        <f t="shared" ca="1" si="4"/>
        <v>30</v>
      </c>
      <c r="J20" s="52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52">
        <f t="shared" ca="1" si="5"/>
        <v>0</v>
      </c>
      <c r="L20" s="52"/>
      <c r="M20" s="52"/>
    </row>
    <row r="21" spans="1:13" ht="15.6" x14ac:dyDescent="0.3">
      <c r="A21" s="52"/>
      <c r="B21" s="77">
        <f ca="1">+'N° de Obs.'!D20</f>
        <v>105</v>
      </c>
      <c r="C21" s="86">
        <f ca="1">+'N° de Obs.'!E20</f>
        <v>26774</v>
      </c>
      <c r="D21" s="78">
        <f t="shared" ca="1" si="0"/>
        <v>94.6</v>
      </c>
      <c r="E21" s="86">
        <f t="shared" ca="1" si="1"/>
        <v>95</v>
      </c>
      <c r="F21" s="79">
        <f t="shared" ca="1" si="2"/>
        <v>10</v>
      </c>
      <c r="G21" s="52"/>
      <c r="H21" s="52">
        <f t="shared" ca="1" si="3"/>
        <v>94.6</v>
      </c>
      <c r="I21" s="93" t="str">
        <f t="shared" ca="1" si="4"/>
        <v>46</v>
      </c>
      <c r="J21" s="52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52">
        <f t="shared" ca="1" si="5"/>
        <v>10</v>
      </c>
      <c r="L21" s="52"/>
      <c r="M21" s="52"/>
    </row>
    <row r="22" spans="1:13" ht="15.6" x14ac:dyDescent="0.3">
      <c r="A22" s="52"/>
      <c r="B22" s="77">
        <f ca="1">+'N° de Obs.'!D21</f>
        <v>90</v>
      </c>
      <c r="C22" s="86">
        <f ca="1">+'N° de Obs.'!E21</f>
        <v>26138</v>
      </c>
      <c r="D22" s="78">
        <f t="shared" ca="1" si="0"/>
        <v>96.9</v>
      </c>
      <c r="E22" s="86">
        <f t="shared" ca="1" si="1"/>
        <v>95</v>
      </c>
      <c r="F22" s="79">
        <f t="shared" ca="1" si="2"/>
        <v>-5</v>
      </c>
      <c r="G22" s="52"/>
      <c r="H22" s="52">
        <f t="shared" ca="1" si="3"/>
        <v>96.9</v>
      </c>
      <c r="I22" s="93" t="str">
        <f t="shared" ca="1" si="4"/>
        <v>69</v>
      </c>
      <c r="J22" s="52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52">
        <f t="shared" ca="1" si="5"/>
        <v>5</v>
      </c>
      <c r="L22" s="52"/>
      <c r="M22" s="52"/>
    </row>
    <row r="23" spans="1:13" ht="15.6" x14ac:dyDescent="0.3">
      <c r="A23" s="52"/>
      <c r="B23" s="77">
        <f ca="1">+'N° de Obs.'!D22</f>
        <v>95</v>
      </c>
      <c r="C23" s="86">
        <f ca="1">+'N° de Obs.'!E22</f>
        <v>26053</v>
      </c>
      <c r="D23" s="78">
        <f t="shared" ca="1" si="0"/>
        <v>97.21</v>
      </c>
      <c r="E23" s="86">
        <f t="shared" ca="1" si="1"/>
        <v>95</v>
      </c>
      <c r="F23" s="79">
        <f t="shared" ca="1" si="2"/>
        <v>0</v>
      </c>
      <c r="G23" s="52"/>
      <c r="H23" s="52">
        <f t="shared" ca="1" si="3"/>
        <v>97.2</v>
      </c>
      <c r="I23" s="93" t="str">
        <f t="shared" ca="1" si="4"/>
        <v>72</v>
      </c>
      <c r="J23" s="52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52">
        <f t="shared" ca="1" si="5"/>
        <v>0</v>
      </c>
      <c r="L23" s="52"/>
      <c r="M23" s="52"/>
    </row>
    <row r="24" spans="1:13" ht="15.6" x14ac:dyDescent="0.3">
      <c r="A24" s="52"/>
      <c r="B24" s="77">
        <f ca="1">+'N° de Obs.'!D23</f>
        <v>90</v>
      </c>
      <c r="C24" s="86">
        <f ca="1">+'N° de Obs.'!E23</f>
        <v>26556</v>
      </c>
      <c r="D24" s="78">
        <f t="shared" ca="1" si="0"/>
        <v>95.37</v>
      </c>
      <c r="E24" s="86">
        <f t="shared" ca="1" si="1"/>
        <v>95</v>
      </c>
      <c r="F24" s="79">
        <f t="shared" ca="1" si="2"/>
        <v>-5</v>
      </c>
      <c r="G24" s="52"/>
      <c r="H24" s="52">
        <f t="shared" ca="1" si="3"/>
        <v>95.4</v>
      </c>
      <c r="I24" s="93" t="str">
        <f t="shared" ca="1" si="4"/>
        <v>54</v>
      </c>
      <c r="J24" s="52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52">
        <f t="shared" ca="1" si="5"/>
        <v>5</v>
      </c>
      <c r="L24" s="52"/>
      <c r="M24" s="52"/>
    </row>
    <row r="25" spans="1:13" ht="15.6" x14ac:dyDescent="0.3">
      <c r="A25" s="52"/>
      <c r="B25" s="77">
        <f ca="1">+'N° de Obs.'!D24</f>
        <v>100</v>
      </c>
      <c r="C25" s="86">
        <f ca="1">+'N° de Obs.'!E24</f>
        <v>26919</v>
      </c>
      <c r="D25" s="78">
        <f t="shared" ca="1" si="0"/>
        <v>94.09</v>
      </c>
      <c r="E25" s="86">
        <f t="shared" ca="1" si="1"/>
        <v>95</v>
      </c>
      <c r="F25" s="79">
        <f t="shared" ca="1" si="2"/>
        <v>5</v>
      </c>
      <c r="G25" s="52"/>
      <c r="H25" s="52">
        <f t="shared" ca="1" si="3"/>
        <v>94.1</v>
      </c>
      <c r="I25" s="93" t="str">
        <f t="shared" ca="1" si="4"/>
        <v>41</v>
      </c>
      <c r="J25" s="52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52">
        <f t="shared" ca="1" si="5"/>
        <v>5</v>
      </c>
      <c r="L25" s="52"/>
      <c r="M25" s="52"/>
    </row>
    <row r="26" spans="1:13" ht="15.6" x14ac:dyDescent="0.3">
      <c r="A26" s="52"/>
      <c r="B26" s="77">
        <f ca="1">+'N° de Obs.'!D25</f>
        <v>90</v>
      </c>
      <c r="C26" s="87">
        <f ca="1">+'N° de Obs.'!E25</f>
        <v>27415</v>
      </c>
      <c r="D26" s="71">
        <f t="shared" ca="1" si="0"/>
        <v>92.38</v>
      </c>
      <c r="E26" s="87">
        <f t="shared" ca="1" si="1"/>
        <v>90</v>
      </c>
      <c r="F26" s="81">
        <f t="shared" ca="1" si="2"/>
        <v>0</v>
      </c>
      <c r="G26" s="52"/>
      <c r="H26" s="52">
        <f t="shared" ca="1" si="3"/>
        <v>92.4</v>
      </c>
      <c r="I26" s="93" t="str">
        <f t="shared" ca="1" si="4"/>
        <v>24</v>
      </c>
      <c r="J26" s="52" cm="1">
        <f t="array" aca="1" ref="J26" ca="1">+_xlfn.IFS(AND(I26&gt;="0",I26&lt;"25"),H26-(I26/10),AND(I26&gt;="25",I26&lt;"50"),H26+(5-(I26/10)),AND(I26&gt;="50",I26&lt;"75"),H26-((I26-50)/10),I26&gt;="75",H26+(10-(I26/10)))</f>
        <v>90</v>
      </c>
      <c r="K26" s="52">
        <f t="shared" ca="1" si="5"/>
        <v>0</v>
      </c>
      <c r="L26" s="52"/>
      <c r="M26" s="52"/>
    </row>
    <row r="27" spans="1:13" ht="15.6" x14ac:dyDescent="0.3">
      <c r="A27" s="52"/>
      <c r="B27" s="82" t="s">
        <v>88</v>
      </c>
      <c r="C27" s="72"/>
      <c r="D27" s="72"/>
      <c r="E27" s="72"/>
      <c r="F27" s="76">
        <f ca="1">+SUMIF(K7:K26,"&lt;=10",F7:F26)</f>
        <v>0</v>
      </c>
      <c r="G27" s="52"/>
      <c r="H27" s="52"/>
      <c r="I27" s="52"/>
      <c r="J27" s="52"/>
      <c r="K27" s="52">
        <f ca="1">+COUNTIF(K7:K26,"&lt;=10")</f>
        <v>20</v>
      </c>
      <c r="L27" s="52"/>
      <c r="M27" s="52"/>
    </row>
    <row r="28" spans="1:13" ht="15.6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1:13" ht="15.6" x14ac:dyDescent="0.3">
      <c r="A29" s="52"/>
      <c r="B29" s="89">
        <v>100</v>
      </c>
      <c r="C29" s="52">
        <f ca="1">+ROUND(AVERAGE('N° de Obs.'!F6:F25),0)</f>
        <v>25327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ht="15.6" x14ac:dyDescent="0.3">
      <c r="A30" s="52"/>
      <c r="B30" s="52"/>
      <c r="C30" s="52"/>
      <c r="D30" s="71"/>
      <c r="E30" s="71"/>
      <c r="F30" s="52"/>
      <c r="G30" s="52"/>
      <c r="H30" s="52"/>
      <c r="I30" s="52"/>
      <c r="J30" s="52"/>
      <c r="K30" s="52"/>
      <c r="L30" s="52"/>
      <c r="M30" s="52"/>
    </row>
    <row r="31" spans="1:13" ht="15.6" x14ac:dyDescent="0.3">
      <c r="A31" s="52"/>
      <c r="B31" s="52"/>
      <c r="C31" s="52"/>
      <c r="D31" s="69" t="s">
        <v>82</v>
      </c>
      <c r="E31" s="70" t="s">
        <v>83</v>
      </c>
      <c r="F31" s="52"/>
      <c r="G31" s="52"/>
      <c r="H31" s="52"/>
      <c r="I31" s="52"/>
      <c r="J31" s="52"/>
      <c r="K31" s="52"/>
      <c r="L31" s="52"/>
      <c r="M31" s="52"/>
    </row>
    <row r="32" spans="1:13" ht="15.6" x14ac:dyDescent="0.3">
      <c r="A32" s="52"/>
      <c r="B32" s="52"/>
      <c r="C32" s="52"/>
      <c r="D32" s="77" t="s">
        <v>85</v>
      </c>
      <c r="E32" s="86" t="s">
        <v>25</v>
      </c>
      <c r="F32" s="52"/>
      <c r="G32" s="52"/>
      <c r="H32" s="52"/>
      <c r="I32" s="52"/>
      <c r="J32" s="52"/>
      <c r="K32" s="92" t="s">
        <v>96</v>
      </c>
      <c r="L32" s="92"/>
      <c r="M32" s="92"/>
    </row>
    <row r="33" spans="1:14" ht="15.6" x14ac:dyDescent="0.3">
      <c r="A33" s="52"/>
      <c r="B33" s="52"/>
      <c r="C33" s="52"/>
      <c r="D33" s="77" t="s">
        <v>93</v>
      </c>
      <c r="E33" s="97">
        <f>+B29</f>
        <v>100</v>
      </c>
      <c r="F33" s="52"/>
      <c r="G33" s="52"/>
      <c r="H33" s="52"/>
      <c r="I33" s="52"/>
      <c r="J33" s="52"/>
      <c r="K33" s="92"/>
      <c r="L33" s="92"/>
      <c r="M33" s="92"/>
    </row>
    <row r="34" spans="1:14" ht="15.6" x14ac:dyDescent="0.3">
      <c r="A34" s="52"/>
      <c r="B34" s="52"/>
      <c r="C34" s="52"/>
      <c r="D34" s="77" t="s">
        <v>20</v>
      </c>
      <c r="E34" s="86">
        <f ca="1">+C29</f>
        <v>25327</v>
      </c>
      <c r="F34" s="52"/>
      <c r="G34" s="52"/>
      <c r="H34" s="52"/>
      <c r="I34" s="52"/>
      <c r="J34" s="52"/>
      <c r="K34" s="92"/>
      <c r="L34" s="92"/>
      <c r="M34" s="92"/>
    </row>
    <row r="35" spans="1:14" ht="31.2" x14ac:dyDescent="0.3">
      <c r="A35" s="52"/>
      <c r="B35" s="52"/>
      <c r="C35" s="52"/>
      <c r="D35" s="94" t="s">
        <v>95</v>
      </c>
      <c r="E35" s="86">
        <f ca="1">+K27</f>
        <v>20</v>
      </c>
      <c r="F35" s="52"/>
      <c r="G35" s="52"/>
      <c r="H35" s="52"/>
      <c r="I35" s="52"/>
      <c r="J35" s="52"/>
      <c r="K35" s="92"/>
      <c r="L35" s="92"/>
      <c r="M35" s="92"/>
    </row>
    <row r="36" spans="1:14" ht="15.6" x14ac:dyDescent="0.3">
      <c r="A36" s="52"/>
      <c r="B36" s="52"/>
      <c r="C36" s="52"/>
      <c r="D36" s="95" t="s">
        <v>92</v>
      </c>
      <c r="E36" s="87">
        <f ca="1">+F27</f>
        <v>0</v>
      </c>
      <c r="F36" s="52"/>
      <c r="G36" s="52"/>
      <c r="H36" s="52"/>
      <c r="I36" s="52"/>
      <c r="J36" s="52"/>
      <c r="K36" s="52"/>
      <c r="L36" s="52"/>
      <c r="M36" s="52"/>
    </row>
    <row r="37" spans="1:14" ht="31.2" x14ac:dyDescent="0.3">
      <c r="A37" s="52"/>
      <c r="B37" s="52"/>
      <c r="C37" s="52"/>
      <c r="D37" s="96" t="s">
        <v>94</v>
      </c>
      <c r="E37" s="88" t="str">
        <f ca="1">+CONCATENATE(ROUND((F27/K27*5)/5,2)," %")</f>
        <v>0 %</v>
      </c>
      <c r="F37" s="52"/>
      <c r="G37" s="52"/>
      <c r="H37" s="52"/>
      <c r="I37" s="52"/>
      <c r="J37" s="52"/>
      <c r="K37" s="52"/>
      <c r="L37" s="52"/>
      <c r="M37" s="52"/>
    </row>
    <row r="38" spans="1:14" ht="15.6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</row>
    <row r="39" spans="1:14" ht="15.6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</row>
    <row r="40" spans="1:14" ht="15.6" x14ac:dyDescent="0.3">
      <c r="A40" s="52"/>
      <c r="B40" s="89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</row>
    <row r="41" spans="1:14" ht="15.6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</row>
    <row r="42" spans="1:14" ht="15.6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</row>
    <row r="43" spans="1:14" ht="15.6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</row>
    <row r="44" spans="1:14" ht="15.6" x14ac:dyDescent="0.3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</row>
    <row r="45" spans="1:14" ht="15.6" x14ac:dyDescent="0.3">
      <c r="A45" s="51"/>
      <c r="B45" s="51"/>
      <c r="C45" s="51"/>
      <c r="D45" s="51"/>
      <c r="E45" s="91" t="str">
        <f>+'Hoja de cronometraje'!K29</f>
        <v>Elemento E</v>
      </c>
      <c r="F45" s="91"/>
      <c r="G45" s="51"/>
      <c r="H45" s="51"/>
      <c r="I45" s="51"/>
      <c r="J45" s="51"/>
      <c r="K45" s="51"/>
      <c r="L45" s="51"/>
      <c r="M45" s="51"/>
    </row>
    <row r="46" spans="1:14" ht="15.6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37"/>
    </row>
    <row r="47" spans="1:14" ht="15.6" x14ac:dyDescent="0.3">
      <c r="A47" s="52"/>
      <c r="B47" s="71"/>
      <c r="C47" s="71"/>
      <c r="D47" s="71"/>
      <c r="E47" s="71"/>
      <c r="F47" s="71"/>
      <c r="G47" s="52"/>
      <c r="H47" s="52"/>
      <c r="I47" s="52"/>
      <c r="J47" s="52"/>
      <c r="K47" s="52"/>
      <c r="L47" s="52"/>
      <c r="M47" s="52"/>
      <c r="N47" s="37"/>
    </row>
    <row r="48" spans="1:14" ht="15.6" x14ac:dyDescent="0.3">
      <c r="A48" s="52"/>
      <c r="B48" s="69" t="s">
        <v>26</v>
      </c>
      <c r="C48" s="70" t="s">
        <v>90</v>
      </c>
      <c r="D48" s="84" t="s">
        <v>91</v>
      </c>
      <c r="E48" s="70" t="s">
        <v>27</v>
      </c>
      <c r="F48" s="85" t="s">
        <v>92</v>
      </c>
      <c r="G48" s="52"/>
      <c r="H48" s="52"/>
      <c r="I48" s="52"/>
      <c r="J48" s="52"/>
      <c r="K48" s="52"/>
      <c r="L48" s="52"/>
      <c r="M48" s="52"/>
      <c r="N48" s="37"/>
    </row>
    <row r="49" spans="1:14" ht="15.6" x14ac:dyDescent="0.3">
      <c r="A49" s="52"/>
      <c r="B49" s="77">
        <f ca="1">+'N° de Obs.'!D34</f>
        <v>90</v>
      </c>
      <c r="C49" s="86">
        <f ca="1">+'N° de Obs.'!E34</f>
        <v>27055</v>
      </c>
      <c r="D49" s="78">
        <f ca="1">+ROUND($B$71*$C$71/C49,2)</f>
        <v>92.27</v>
      </c>
      <c r="E49" s="86">
        <f ca="1">+J49</f>
        <v>90</v>
      </c>
      <c r="F49" s="79">
        <f ca="1">+B49-E49</f>
        <v>0</v>
      </c>
      <c r="G49" s="52"/>
      <c r="H49" s="52">
        <f ca="1">+ROUND(D49,1)</f>
        <v>92.3</v>
      </c>
      <c r="I49" s="93" t="str">
        <f ca="1">+RIGHT(H49*10,2)</f>
        <v>23</v>
      </c>
      <c r="J49" s="52" cm="1">
        <f t="array" aca="1" ref="J49" ca="1">+_xlfn.IFS(AND(I49&gt;="0",I49&lt;"25"),H49-(I49/10),AND(I49&gt;="25",I49&lt;"50"),H49+(5-(I49/10)),AND(I49&gt;="50",I49&lt;"75"),H49-((I49-50)/10),I49&gt;="75",H49+(10-(I49/10)))</f>
        <v>90</v>
      </c>
      <c r="K49" s="52">
        <f ca="1">+ABS(F49)</f>
        <v>0</v>
      </c>
      <c r="L49" s="52"/>
      <c r="M49" s="52"/>
      <c r="N49" s="37"/>
    </row>
    <row r="50" spans="1:14" ht="15.6" x14ac:dyDescent="0.3">
      <c r="A50" s="52"/>
      <c r="B50" s="77">
        <f ca="1">+'N° de Obs.'!D35</f>
        <v>85</v>
      </c>
      <c r="C50" s="86">
        <f ca="1">+'N° de Obs.'!E35</f>
        <v>27118</v>
      </c>
      <c r="D50" s="78">
        <f t="shared" ref="D50:D68" ca="1" si="6">+ROUND($B$71*$C$71/C50,2)</f>
        <v>92.05</v>
      </c>
      <c r="E50" s="86">
        <f t="shared" ref="E50:E68" ca="1" si="7">+J50</f>
        <v>90</v>
      </c>
      <c r="F50" s="79">
        <f t="shared" ref="F50:F68" ca="1" si="8">+B50-E50</f>
        <v>-5</v>
      </c>
      <c r="G50" s="52"/>
      <c r="H50" s="52">
        <f t="shared" ref="H50:H68" ca="1" si="9">+ROUND(D50,1)</f>
        <v>92.1</v>
      </c>
      <c r="I50" s="93" t="str">
        <f t="shared" ref="I50:I68" ca="1" si="10">+RIGHT(H50*10,2)</f>
        <v>21</v>
      </c>
      <c r="J50" s="52" cm="1">
        <f t="array" aca="1" ref="J50" ca="1">+_xlfn.IFS(AND(I50&gt;="0",I50&lt;"25"),H50-(I50/10),AND(I50&gt;="25",I50&lt;"50"),H50+(5-(I50/10)),AND(I50&gt;="50",I50&lt;"75"),H50-((I50-50)/10),I50&gt;="75",H50+(10-(I50/10)))</f>
        <v>90</v>
      </c>
      <c r="K50" s="52">
        <f t="shared" ref="K50:K68" ca="1" si="11">+ABS(F50)</f>
        <v>5</v>
      </c>
      <c r="L50" s="52"/>
      <c r="M50" s="52"/>
      <c r="N50" s="37"/>
    </row>
    <row r="51" spans="1:14" ht="15.6" x14ac:dyDescent="0.3">
      <c r="A51" s="52"/>
      <c r="B51" s="77">
        <f ca="1">+'N° de Obs.'!D36</f>
        <v>95</v>
      </c>
      <c r="C51" s="86">
        <f ca="1">+'N° de Obs.'!E36</f>
        <v>26558</v>
      </c>
      <c r="D51" s="78">
        <f t="shared" ca="1" si="6"/>
        <v>93.99</v>
      </c>
      <c r="E51" s="86">
        <f t="shared" ca="1" si="7"/>
        <v>95</v>
      </c>
      <c r="F51" s="79">
        <f t="shared" ca="1" si="8"/>
        <v>0</v>
      </c>
      <c r="G51" s="52"/>
      <c r="H51" s="52">
        <f t="shared" ca="1" si="9"/>
        <v>94</v>
      </c>
      <c r="I51" s="93" t="str">
        <f t="shared" ca="1" si="10"/>
        <v>40</v>
      </c>
      <c r="J51" s="52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52">
        <f t="shared" ca="1" si="11"/>
        <v>0</v>
      </c>
      <c r="L51" s="52"/>
      <c r="M51" s="52"/>
      <c r="N51" s="37"/>
    </row>
    <row r="52" spans="1:14" ht="15.6" x14ac:dyDescent="0.3">
      <c r="A52" s="52"/>
      <c r="B52" s="77">
        <f ca="1">+'N° de Obs.'!D37</f>
        <v>100</v>
      </c>
      <c r="C52" s="86">
        <f ca="1">+'N° de Obs.'!E37</f>
        <v>27029</v>
      </c>
      <c r="D52" s="78">
        <f t="shared" ca="1" si="6"/>
        <v>92.36</v>
      </c>
      <c r="E52" s="86">
        <f t="shared" ca="1" si="7"/>
        <v>90</v>
      </c>
      <c r="F52" s="79">
        <f t="shared" ca="1" si="8"/>
        <v>10</v>
      </c>
      <c r="G52" s="52"/>
      <c r="H52" s="52">
        <f t="shared" ca="1" si="9"/>
        <v>92.4</v>
      </c>
      <c r="I52" s="93" t="str">
        <f t="shared" ca="1" si="10"/>
        <v>24</v>
      </c>
      <c r="J52" s="52" cm="1">
        <f t="array" aca="1" ref="J52" ca="1">+_xlfn.IFS(AND(I52&gt;="0",I52&lt;"25"),H52-(I52/10),AND(I52&gt;="25",I52&lt;"50"),H52+(5-(I52/10)),AND(I52&gt;="50",I52&lt;"75"),H52-((I52-50)/10),I52&gt;="75",H52+(10-(I52/10)))</f>
        <v>90</v>
      </c>
      <c r="K52" s="52">
        <f t="shared" ca="1" si="11"/>
        <v>10</v>
      </c>
      <c r="L52" s="52"/>
      <c r="M52" s="52"/>
      <c r="N52" s="37"/>
    </row>
    <row r="53" spans="1:14" ht="15.6" x14ac:dyDescent="0.3">
      <c r="A53" s="52"/>
      <c r="B53" s="77">
        <f ca="1">+'N° de Obs.'!D38</f>
        <v>105</v>
      </c>
      <c r="C53" s="86">
        <f ca="1">+'N° de Obs.'!E38</f>
        <v>25923</v>
      </c>
      <c r="D53" s="78">
        <f t="shared" ca="1" si="6"/>
        <v>96.3</v>
      </c>
      <c r="E53" s="86">
        <f t="shared" ca="1" si="7"/>
        <v>95</v>
      </c>
      <c r="F53" s="79">
        <f t="shared" ca="1" si="8"/>
        <v>10</v>
      </c>
      <c r="G53" s="52"/>
      <c r="H53" s="52">
        <f t="shared" ca="1" si="9"/>
        <v>96.3</v>
      </c>
      <c r="I53" s="93" t="str">
        <f t="shared" ca="1" si="10"/>
        <v>63</v>
      </c>
      <c r="J53" s="52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52">
        <f t="shared" ca="1" si="11"/>
        <v>10</v>
      </c>
      <c r="L53" s="52"/>
      <c r="M53" s="52"/>
      <c r="N53" s="37"/>
    </row>
    <row r="54" spans="1:14" ht="15.6" x14ac:dyDescent="0.3">
      <c r="A54" s="52"/>
      <c r="B54" s="77">
        <f ca="1">+'N° de Obs.'!D39</f>
        <v>90</v>
      </c>
      <c r="C54" s="86">
        <f ca="1">+'N° de Obs.'!E39</f>
        <v>25886</v>
      </c>
      <c r="D54" s="78">
        <f t="shared" ca="1" si="6"/>
        <v>96.43</v>
      </c>
      <c r="E54" s="86">
        <f t="shared" ca="1" si="7"/>
        <v>95</v>
      </c>
      <c r="F54" s="79">
        <f t="shared" ca="1" si="8"/>
        <v>-5</v>
      </c>
      <c r="G54" s="52"/>
      <c r="H54" s="52">
        <f t="shared" ca="1" si="9"/>
        <v>96.4</v>
      </c>
      <c r="I54" s="93" t="str">
        <f t="shared" ca="1" si="10"/>
        <v>64</v>
      </c>
      <c r="J54" s="52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52">
        <f t="shared" ca="1" si="11"/>
        <v>5</v>
      </c>
      <c r="L54" s="52"/>
      <c r="M54" s="52"/>
      <c r="N54" s="37"/>
    </row>
    <row r="55" spans="1:14" ht="15.6" x14ac:dyDescent="0.3">
      <c r="A55" s="52"/>
      <c r="B55" s="77">
        <f ca="1">+'N° de Obs.'!D40</f>
        <v>95</v>
      </c>
      <c r="C55" s="86">
        <f ca="1">+'N° de Obs.'!E40</f>
        <v>27764</v>
      </c>
      <c r="D55" s="78">
        <f t="shared" ca="1" si="6"/>
        <v>89.91</v>
      </c>
      <c r="E55" s="86">
        <f t="shared" ca="1" si="7"/>
        <v>90</v>
      </c>
      <c r="F55" s="79">
        <f t="shared" ca="1" si="8"/>
        <v>5</v>
      </c>
      <c r="G55" s="52"/>
      <c r="H55" s="52">
        <f t="shared" ca="1" si="9"/>
        <v>89.9</v>
      </c>
      <c r="I55" s="93" t="str">
        <f t="shared" ca="1" si="10"/>
        <v>99</v>
      </c>
      <c r="J55" s="52" cm="1">
        <f t="array" aca="1" ref="J55" ca="1">+_xlfn.IFS(AND(I55&gt;="0",I55&lt;"25"),H55-(I55/10),AND(I55&gt;="25",I55&lt;"50"),H55+(5-(I55/10)),AND(I55&gt;="50",I55&lt;"75"),H55-((I55-50)/10),I55&gt;="75",H55+(10-(I55/10)))</f>
        <v>90</v>
      </c>
      <c r="K55" s="52">
        <f t="shared" ca="1" si="11"/>
        <v>5</v>
      </c>
      <c r="L55" s="52"/>
      <c r="M55" s="52"/>
      <c r="N55" s="37"/>
    </row>
    <row r="56" spans="1:14" ht="15.6" x14ac:dyDescent="0.3">
      <c r="A56" s="52"/>
      <c r="B56" s="77">
        <f ca="1">+'N° de Obs.'!D41</f>
        <v>90</v>
      </c>
      <c r="C56" s="86">
        <f ca="1">+'N° de Obs.'!E41</f>
        <v>26546</v>
      </c>
      <c r="D56" s="78">
        <f t="shared" ca="1" si="6"/>
        <v>94.04</v>
      </c>
      <c r="E56" s="86">
        <f t="shared" ca="1" si="7"/>
        <v>95</v>
      </c>
      <c r="F56" s="79">
        <f t="shared" ca="1" si="8"/>
        <v>-5</v>
      </c>
      <c r="G56" s="52"/>
      <c r="H56" s="52">
        <f t="shared" ca="1" si="9"/>
        <v>94</v>
      </c>
      <c r="I56" s="93" t="str">
        <f t="shared" ca="1" si="10"/>
        <v>40</v>
      </c>
      <c r="J56" s="52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52">
        <f t="shared" ca="1" si="11"/>
        <v>5</v>
      </c>
      <c r="L56" s="52"/>
      <c r="M56" s="52"/>
      <c r="N56" s="37"/>
    </row>
    <row r="57" spans="1:14" ht="15.6" x14ac:dyDescent="0.3">
      <c r="A57" s="52"/>
      <c r="B57" s="77">
        <f ca="1">+'N° de Obs.'!D42</f>
        <v>95</v>
      </c>
      <c r="C57" s="86">
        <f ca="1">+'N° de Obs.'!E42</f>
        <v>26700</v>
      </c>
      <c r="D57" s="78">
        <f t="shared" ca="1" si="6"/>
        <v>93.49</v>
      </c>
      <c r="E57" s="86">
        <f t="shared" ca="1" si="7"/>
        <v>95</v>
      </c>
      <c r="F57" s="79">
        <f t="shared" ca="1" si="8"/>
        <v>0</v>
      </c>
      <c r="G57" s="52"/>
      <c r="H57" s="52">
        <f t="shared" ca="1" si="9"/>
        <v>93.5</v>
      </c>
      <c r="I57" s="93" t="str">
        <f t="shared" ca="1" si="10"/>
        <v>35</v>
      </c>
      <c r="J57" s="52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52">
        <f t="shared" ca="1" si="11"/>
        <v>0</v>
      </c>
      <c r="L57" s="52"/>
      <c r="M57" s="52"/>
      <c r="N57" s="37"/>
    </row>
    <row r="58" spans="1:14" ht="15.6" x14ac:dyDescent="0.3">
      <c r="A58" s="52"/>
      <c r="B58" s="77">
        <f ca="1">+'N° de Obs.'!D43</f>
        <v>90</v>
      </c>
      <c r="C58" s="86">
        <f ca="1">+'N° de Obs.'!E43</f>
        <v>27509</v>
      </c>
      <c r="D58" s="78">
        <f t="shared" ca="1" si="6"/>
        <v>90.74</v>
      </c>
      <c r="E58" s="86">
        <f t="shared" ca="1" si="7"/>
        <v>90</v>
      </c>
      <c r="F58" s="79">
        <f t="shared" ca="1" si="8"/>
        <v>0</v>
      </c>
      <c r="G58" s="52"/>
      <c r="H58" s="52">
        <f t="shared" ca="1" si="9"/>
        <v>90.7</v>
      </c>
      <c r="I58" s="93" t="str">
        <f t="shared" ca="1" si="10"/>
        <v>07</v>
      </c>
      <c r="J58" s="52" cm="1">
        <f t="array" aca="1" ref="J58" ca="1">+_xlfn.IFS(AND(I58&gt;="0",I58&lt;"25"),H58-(I58/10),AND(I58&gt;="25",I58&lt;"50"),H58+(5-(I58/10)),AND(I58&gt;="50",I58&lt;"75"),H58-((I58-50)/10),I58&gt;="75",H58+(10-(I58/10)))</f>
        <v>90</v>
      </c>
      <c r="K58" s="52">
        <f t="shared" ca="1" si="11"/>
        <v>0</v>
      </c>
      <c r="L58" s="52"/>
      <c r="M58" s="52"/>
      <c r="N58" s="37"/>
    </row>
    <row r="59" spans="1:14" ht="15.6" x14ac:dyDescent="0.3">
      <c r="A59" s="52"/>
      <c r="B59" s="77">
        <f ca="1">+'N° de Obs.'!D44</f>
        <v>85</v>
      </c>
      <c r="C59" s="86">
        <f ca="1">+'N° de Obs.'!E44</f>
        <v>26393</v>
      </c>
      <c r="D59" s="78">
        <f t="shared" ca="1" si="6"/>
        <v>94.58</v>
      </c>
      <c r="E59" s="86">
        <f t="shared" ca="1" si="7"/>
        <v>95</v>
      </c>
      <c r="F59" s="79">
        <f t="shared" ca="1" si="8"/>
        <v>-10</v>
      </c>
      <c r="G59" s="52"/>
      <c r="H59" s="52">
        <f t="shared" ca="1" si="9"/>
        <v>94.6</v>
      </c>
      <c r="I59" s="93" t="str">
        <f t="shared" ca="1" si="10"/>
        <v>46</v>
      </c>
      <c r="J59" s="52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52">
        <f t="shared" ca="1" si="11"/>
        <v>10</v>
      </c>
      <c r="L59" s="52"/>
      <c r="M59" s="52"/>
      <c r="N59" s="37"/>
    </row>
    <row r="60" spans="1:14" ht="15.6" x14ac:dyDescent="0.3">
      <c r="A60" s="52"/>
      <c r="B60" s="77">
        <f ca="1">+'N° de Obs.'!D45</f>
        <v>90</v>
      </c>
      <c r="C60" s="86">
        <f ca="1">+'N° de Obs.'!E45</f>
        <v>26294</v>
      </c>
      <c r="D60" s="78">
        <f t="shared" ca="1" si="6"/>
        <v>94.94</v>
      </c>
      <c r="E60" s="86">
        <f t="shared" ca="1" si="7"/>
        <v>95</v>
      </c>
      <c r="F60" s="79">
        <f t="shared" ca="1" si="8"/>
        <v>-5</v>
      </c>
      <c r="G60" s="52"/>
      <c r="H60" s="52">
        <f t="shared" ca="1" si="9"/>
        <v>94.9</v>
      </c>
      <c r="I60" s="93" t="str">
        <f t="shared" ca="1" si="10"/>
        <v>49</v>
      </c>
      <c r="J60" s="52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52">
        <f t="shared" ca="1" si="11"/>
        <v>5</v>
      </c>
      <c r="L60" s="52"/>
      <c r="M60" s="52"/>
      <c r="N60" s="37"/>
    </row>
    <row r="61" spans="1:14" ht="15.6" x14ac:dyDescent="0.3">
      <c r="A61" s="52"/>
      <c r="B61" s="77">
        <f ca="1">+'N° de Obs.'!D46</f>
        <v>90</v>
      </c>
      <c r="C61" s="86">
        <f ca="1">+'N° de Obs.'!E46</f>
        <v>27580</v>
      </c>
      <c r="D61" s="78">
        <f t="shared" ca="1" si="6"/>
        <v>90.51</v>
      </c>
      <c r="E61" s="86">
        <f t="shared" ca="1" si="7"/>
        <v>90</v>
      </c>
      <c r="F61" s="79">
        <f t="shared" ca="1" si="8"/>
        <v>0</v>
      </c>
      <c r="G61" s="52"/>
      <c r="H61" s="52">
        <f t="shared" ca="1" si="9"/>
        <v>90.5</v>
      </c>
      <c r="I61" s="93" t="str">
        <f t="shared" ca="1" si="10"/>
        <v>05</v>
      </c>
      <c r="J61" s="52" cm="1">
        <f t="array" aca="1" ref="J61" ca="1">+_xlfn.IFS(AND(I61&gt;="0",I61&lt;"25"),H61-(I61/10),AND(I61&gt;="25",I61&lt;"50"),H61+(5-(I61/10)),AND(I61&gt;="50",I61&lt;"75"),H61-((I61-50)/10),I61&gt;="75",H61+(10-(I61/10)))</f>
        <v>90</v>
      </c>
      <c r="K61" s="52">
        <f t="shared" ca="1" si="11"/>
        <v>0</v>
      </c>
      <c r="L61" s="52"/>
      <c r="M61" s="52"/>
      <c r="N61" s="37"/>
    </row>
    <row r="62" spans="1:14" ht="15.6" x14ac:dyDescent="0.3">
      <c r="A62" s="52"/>
      <c r="B62" s="77">
        <f ca="1">+'N° de Obs.'!D47</f>
        <v>95</v>
      </c>
      <c r="C62" s="86">
        <f ca="1">+'N° de Obs.'!E47</f>
        <v>27154</v>
      </c>
      <c r="D62" s="78">
        <f t="shared" ca="1" si="6"/>
        <v>91.93</v>
      </c>
      <c r="E62" s="86">
        <f t="shared" ca="1" si="7"/>
        <v>90</v>
      </c>
      <c r="F62" s="79">
        <f t="shared" ca="1" si="8"/>
        <v>5</v>
      </c>
      <c r="G62" s="52"/>
      <c r="H62" s="52">
        <f t="shared" ca="1" si="9"/>
        <v>91.9</v>
      </c>
      <c r="I62" s="93" t="str">
        <f t="shared" ca="1" si="10"/>
        <v>19</v>
      </c>
      <c r="J62" s="52" cm="1">
        <f t="array" aca="1" ref="J62" ca="1">+_xlfn.IFS(AND(I62&gt;="0",I62&lt;"25"),H62-(I62/10),AND(I62&gt;="25",I62&lt;"50"),H62+(5-(I62/10)),AND(I62&gt;="50",I62&lt;"75"),H62-((I62-50)/10),I62&gt;="75",H62+(10-(I62/10)))</f>
        <v>90</v>
      </c>
      <c r="K62" s="52">
        <f t="shared" ca="1" si="11"/>
        <v>5</v>
      </c>
      <c r="L62" s="52"/>
      <c r="M62" s="52"/>
      <c r="N62" s="37"/>
    </row>
    <row r="63" spans="1:14" ht="15.6" x14ac:dyDescent="0.3">
      <c r="A63" s="52"/>
      <c r="B63" s="77">
        <f ca="1">+'N° de Obs.'!D48</f>
        <v>105</v>
      </c>
      <c r="C63" s="86">
        <f ca="1">+'N° de Obs.'!E48</f>
        <v>26341</v>
      </c>
      <c r="D63" s="78">
        <f t="shared" ca="1" si="6"/>
        <v>94.77</v>
      </c>
      <c r="E63" s="86">
        <f t="shared" ca="1" si="7"/>
        <v>95</v>
      </c>
      <c r="F63" s="79">
        <f t="shared" ca="1" si="8"/>
        <v>10</v>
      </c>
      <c r="G63" s="52"/>
      <c r="H63" s="52">
        <f t="shared" ca="1" si="9"/>
        <v>94.8</v>
      </c>
      <c r="I63" s="93" t="str">
        <f t="shared" ca="1" si="10"/>
        <v>48</v>
      </c>
      <c r="J63" s="52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52">
        <f t="shared" ca="1" si="11"/>
        <v>10</v>
      </c>
      <c r="L63" s="52"/>
      <c r="M63" s="52"/>
      <c r="N63" s="37"/>
    </row>
    <row r="64" spans="1:14" ht="15.6" x14ac:dyDescent="0.3">
      <c r="A64" s="52"/>
      <c r="B64" s="77">
        <f ca="1">+'N° de Obs.'!D49</f>
        <v>90</v>
      </c>
      <c r="C64" s="86">
        <f ca="1">+'N° de Obs.'!E49</f>
        <v>25999</v>
      </c>
      <c r="D64" s="78">
        <f t="shared" ca="1" si="6"/>
        <v>96.02</v>
      </c>
      <c r="E64" s="86">
        <f t="shared" ca="1" si="7"/>
        <v>95</v>
      </c>
      <c r="F64" s="79">
        <f t="shared" ca="1" si="8"/>
        <v>-5</v>
      </c>
      <c r="G64" s="52"/>
      <c r="H64" s="52">
        <f t="shared" ca="1" si="9"/>
        <v>96</v>
      </c>
      <c r="I64" s="93" t="str">
        <f t="shared" ca="1" si="10"/>
        <v>60</v>
      </c>
      <c r="J64" s="52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52">
        <f t="shared" ca="1" si="11"/>
        <v>5</v>
      </c>
      <c r="L64" s="52"/>
      <c r="M64" s="52"/>
      <c r="N64" s="37"/>
    </row>
    <row r="65" spans="1:14" ht="15.6" x14ac:dyDescent="0.3">
      <c r="A65" s="52"/>
      <c r="B65" s="77">
        <f ca="1">+'N° de Obs.'!D50</f>
        <v>95</v>
      </c>
      <c r="C65" s="86">
        <f ca="1">+'N° de Obs.'!E50</f>
        <v>26062</v>
      </c>
      <c r="D65" s="78">
        <f t="shared" ca="1" si="6"/>
        <v>95.78</v>
      </c>
      <c r="E65" s="86">
        <f t="shared" ca="1" si="7"/>
        <v>95</v>
      </c>
      <c r="F65" s="79">
        <f t="shared" ca="1" si="8"/>
        <v>0</v>
      </c>
      <c r="G65" s="52"/>
      <c r="H65" s="52">
        <f t="shared" ca="1" si="9"/>
        <v>95.8</v>
      </c>
      <c r="I65" s="93" t="str">
        <f t="shared" ca="1" si="10"/>
        <v>58</v>
      </c>
      <c r="J65" s="52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52">
        <f t="shared" ca="1" si="11"/>
        <v>0</v>
      </c>
      <c r="L65" s="52"/>
      <c r="M65" s="52"/>
      <c r="N65" s="37"/>
    </row>
    <row r="66" spans="1:14" ht="15.6" x14ac:dyDescent="0.3">
      <c r="A66" s="52"/>
      <c r="B66" s="77">
        <f ca="1">+'N° de Obs.'!D51</f>
        <v>90</v>
      </c>
      <c r="C66" s="86">
        <f ca="1">+'N° de Obs.'!E51</f>
        <v>27119</v>
      </c>
      <c r="D66" s="78">
        <f t="shared" ca="1" si="6"/>
        <v>92.05</v>
      </c>
      <c r="E66" s="86">
        <f t="shared" ca="1" si="7"/>
        <v>90</v>
      </c>
      <c r="F66" s="79">
        <f t="shared" ca="1" si="8"/>
        <v>0</v>
      </c>
      <c r="G66" s="52"/>
      <c r="H66" s="52">
        <f t="shared" ca="1" si="9"/>
        <v>92.1</v>
      </c>
      <c r="I66" s="93" t="str">
        <f t="shared" ca="1" si="10"/>
        <v>21</v>
      </c>
      <c r="J66" s="52" cm="1">
        <f t="array" aca="1" ref="J66" ca="1">+_xlfn.IFS(AND(I66&gt;="0",I66&lt;"25"),H66-(I66/10),AND(I66&gt;="25",I66&lt;"50"),H66+(5-(I66/10)),AND(I66&gt;="50",I66&lt;"75"),H66-((I66-50)/10),I66&gt;="75",H66+(10-(I66/10)))</f>
        <v>90</v>
      </c>
      <c r="K66" s="52">
        <f t="shared" ca="1" si="11"/>
        <v>0</v>
      </c>
      <c r="L66" s="52"/>
      <c r="M66" s="52"/>
      <c r="N66" s="37"/>
    </row>
    <row r="67" spans="1:14" ht="15.6" x14ac:dyDescent="0.3">
      <c r="A67" s="52"/>
      <c r="B67" s="77">
        <f ca="1">+'N° de Obs.'!D52</f>
        <v>100</v>
      </c>
      <c r="C67" s="86">
        <f ca="1">+'N° de Obs.'!E52</f>
        <v>25975</v>
      </c>
      <c r="D67" s="78">
        <f t="shared" ca="1" si="6"/>
        <v>96.1</v>
      </c>
      <c r="E67" s="86">
        <f t="shared" ca="1" si="7"/>
        <v>95</v>
      </c>
      <c r="F67" s="79">
        <f t="shared" ca="1" si="8"/>
        <v>5</v>
      </c>
      <c r="G67" s="52"/>
      <c r="H67" s="52">
        <f t="shared" ca="1" si="9"/>
        <v>96.1</v>
      </c>
      <c r="I67" s="93" t="str">
        <f t="shared" ca="1" si="10"/>
        <v>61</v>
      </c>
      <c r="J67" s="52" cm="1">
        <f t="array" aca="1" ref="J67" ca="1">+_xlfn.IFS(AND(I67&gt;="0",I67&lt;"25"),H67-(I67/10),AND(I67&gt;="25",I67&lt;"50"),H67+(5-(I67/10)),AND(I67&gt;="50",I67&lt;"75"),H67-((I67-50)/10),I67&gt;="75",H67+(10-(I67/10)))</f>
        <v>95</v>
      </c>
      <c r="K67" s="52">
        <f t="shared" ca="1" si="11"/>
        <v>5</v>
      </c>
      <c r="L67" s="52"/>
      <c r="M67" s="52"/>
      <c r="N67" s="37"/>
    </row>
    <row r="68" spans="1:14" ht="15.6" x14ac:dyDescent="0.3">
      <c r="A68" s="52"/>
      <c r="B68" s="77">
        <f ca="1">+'N° de Obs.'!D53</f>
        <v>95</v>
      </c>
      <c r="C68" s="87">
        <f ca="1">+'N° de Obs.'!E53</f>
        <v>27144</v>
      </c>
      <c r="D68" s="71">
        <f t="shared" ca="1" si="6"/>
        <v>91.97</v>
      </c>
      <c r="E68" s="87">
        <f t="shared" ca="1" si="7"/>
        <v>90</v>
      </c>
      <c r="F68" s="81">
        <f t="shared" ca="1" si="8"/>
        <v>5</v>
      </c>
      <c r="G68" s="52"/>
      <c r="H68" s="52">
        <f t="shared" ca="1" si="9"/>
        <v>92</v>
      </c>
      <c r="I68" s="93" t="str">
        <f t="shared" ca="1" si="10"/>
        <v>20</v>
      </c>
      <c r="J68" s="52" cm="1">
        <f t="array" aca="1" ref="J68" ca="1">+_xlfn.IFS(AND(I68&gt;="0",I68&lt;"25"),H68-(I68/10),AND(I68&gt;="25",I68&lt;"50"),H68+(5-(I68/10)),AND(I68&gt;="50",I68&lt;"75"),H68-((I68-50)/10),I68&gt;="75",H68+(10-(I68/10)))</f>
        <v>90</v>
      </c>
      <c r="K68" s="52">
        <f t="shared" ca="1" si="11"/>
        <v>5</v>
      </c>
      <c r="L68" s="52"/>
      <c r="M68" s="52"/>
      <c r="N68" s="37"/>
    </row>
    <row r="69" spans="1:14" ht="15.6" x14ac:dyDescent="0.3">
      <c r="A69" s="52"/>
      <c r="B69" s="82" t="s">
        <v>88</v>
      </c>
      <c r="C69" s="72"/>
      <c r="D69" s="72"/>
      <c r="E69" s="72"/>
      <c r="F69" s="76">
        <f ca="1">+SUMIF(K49:K68,"&lt;=10",F49:F68)</f>
        <v>15</v>
      </c>
      <c r="G69" s="52"/>
      <c r="H69" s="52"/>
      <c r="I69" s="52"/>
      <c r="J69" s="52"/>
      <c r="K69" s="52">
        <f ca="1">+COUNTIF(K49:K68,"&lt;=10")</f>
        <v>20</v>
      </c>
      <c r="L69" s="52"/>
      <c r="M69" s="52"/>
      <c r="N69" s="37"/>
    </row>
    <row r="70" spans="1:14" ht="15.6" x14ac:dyDescent="0.3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37"/>
    </row>
    <row r="71" spans="1:14" ht="15.6" x14ac:dyDescent="0.3">
      <c r="A71" s="52"/>
      <c r="B71" s="52">
        <v>100</v>
      </c>
      <c r="C71" s="52">
        <f ca="1">+ROUND(AVERAGE('N° de Obs.'!F34:F53),0)</f>
        <v>24963</v>
      </c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37"/>
    </row>
    <row r="72" spans="1:14" ht="15.6" x14ac:dyDescent="0.3">
      <c r="A72" s="52"/>
      <c r="B72" s="52"/>
      <c r="C72" s="52"/>
      <c r="D72" s="71"/>
      <c r="E72" s="71"/>
      <c r="F72" s="52"/>
      <c r="G72" s="52"/>
      <c r="H72" s="52"/>
      <c r="I72" s="52"/>
      <c r="J72" s="52"/>
      <c r="K72" s="52"/>
      <c r="L72" s="52"/>
      <c r="M72" s="52"/>
      <c r="N72" s="37"/>
    </row>
    <row r="73" spans="1:14" ht="15.6" x14ac:dyDescent="0.3">
      <c r="A73" s="52"/>
      <c r="B73" s="52"/>
      <c r="C73" s="52"/>
      <c r="D73" s="69" t="s">
        <v>82</v>
      </c>
      <c r="E73" s="70" t="s">
        <v>83</v>
      </c>
      <c r="F73" s="52"/>
      <c r="G73" s="52"/>
      <c r="H73" s="52"/>
      <c r="I73" s="52"/>
      <c r="J73" s="52"/>
      <c r="K73" s="52"/>
      <c r="L73" s="52"/>
      <c r="M73" s="52"/>
      <c r="N73" s="37"/>
    </row>
    <row r="74" spans="1:14" ht="15.6" x14ac:dyDescent="0.3">
      <c r="A74" s="52"/>
      <c r="B74" s="52"/>
      <c r="C74" s="52"/>
      <c r="D74" s="77" t="s">
        <v>85</v>
      </c>
      <c r="E74" s="86" t="s">
        <v>25</v>
      </c>
      <c r="F74" s="52"/>
      <c r="G74" s="52"/>
      <c r="H74" s="52"/>
      <c r="I74" s="52"/>
      <c r="J74" s="52"/>
      <c r="K74" s="52"/>
      <c r="L74" s="52"/>
      <c r="M74" s="52"/>
      <c r="N74" s="37"/>
    </row>
    <row r="75" spans="1:14" ht="15.6" x14ac:dyDescent="0.3">
      <c r="A75" s="52"/>
      <c r="B75" s="52"/>
      <c r="C75" s="52"/>
      <c r="D75" s="77" t="s">
        <v>93</v>
      </c>
      <c r="E75" s="97">
        <v>100</v>
      </c>
      <c r="F75" s="52"/>
      <c r="G75" s="52"/>
      <c r="H75" s="52"/>
      <c r="I75" s="52"/>
      <c r="J75" s="52"/>
      <c r="K75" s="52"/>
      <c r="L75" s="52"/>
      <c r="M75" s="52"/>
      <c r="N75" s="37"/>
    </row>
    <row r="76" spans="1:14" ht="15.6" x14ac:dyDescent="0.3">
      <c r="A76" s="52"/>
      <c r="B76" s="52"/>
      <c r="C76" s="52"/>
      <c r="D76" s="77" t="s">
        <v>20</v>
      </c>
      <c r="E76" s="86">
        <f ca="1">+C71</f>
        <v>24963</v>
      </c>
      <c r="F76" s="52"/>
      <c r="G76" s="52"/>
      <c r="H76" s="52"/>
      <c r="I76" s="52"/>
      <c r="J76" s="52"/>
      <c r="K76" s="52"/>
      <c r="L76" s="52"/>
      <c r="M76" s="52"/>
      <c r="N76" s="37"/>
    </row>
    <row r="77" spans="1:14" ht="31.2" x14ac:dyDescent="0.3">
      <c r="A77" s="52"/>
      <c r="B77" s="52"/>
      <c r="C77" s="52"/>
      <c r="D77" s="94" t="s">
        <v>95</v>
      </c>
      <c r="E77" s="86">
        <f ca="1">+K69</f>
        <v>20</v>
      </c>
      <c r="F77" s="52"/>
      <c r="G77" s="52"/>
      <c r="H77" s="52"/>
      <c r="I77" s="52"/>
      <c r="J77" s="52"/>
      <c r="K77" s="52"/>
      <c r="L77" s="52"/>
      <c r="M77" s="52"/>
      <c r="N77" s="37"/>
    </row>
    <row r="78" spans="1:14" ht="15.6" x14ac:dyDescent="0.3">
      <c r="A78" s="52"/>
      <c r="B78" s="52"/>
      <c r="C78" s="52"/>
      <c r="D78" s="95" t="s">
        <v>92</v>
      </c>
      <c r="E78" s="87">
        <f ca="1">+F69</f>
        <v>15</v>
      </c>
      <c r="F78" s="52"/>
      <c r="G78" s="52"/>
      <c r="H78" s="52"/>
      <c r="I78" s="52"/>
      <c r="J78" s="52"/>
      <c r="K78" s="52"/>
      <c r="L78" s="52"/>
      <c r="M78" s="52"/>
      <c r="N78" s="37"/>
    </row>
    <row r="79" spans="1:14" ht="31.2" x14ac:dyDescent="0.3">
      <c r="A79" s="52"/>
      <c r="B79" s="52"/>
      <c r="C79" s="52"/>
      <c r="D79" s="96" t="s">
        <v>94</v>
      </c>
      <c r="E79" s="88" t="str">
        <f ca="1">+CONCATENATE(ROUND((F69/K69*5)/5,2)," %")</f>
        <v>0.75 %</v>
      </c>
      <c r="F79" s="52"/>
      <c r="G79" s="52"/>
      <c r="H79" s="52"/>
      <c r="I79" s="52"/>
      <c r="J79" s="52"/>
      <c r="K79" s="52"/>
      <c r="L79" s="52"/>
      <c r="M79" s="52"/>
      <c r="N79" s="37"/>
    </row>
    <row r="80" spans="1:14" ht="15.6" x14ac:dyDescent="0.3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37"/>
    </row>
    <row r="81" spans="1:14" ht="15.6" x14ac:dyDescent="0.3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37"/>
    </row>
    <row r="82" spans="1:14" ht="15.6" x14ac:dyDescent="0.3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37"/>
    </row>
    <row r="83" spans="1:14" ht="15.6" x14ac:dyDescent="0.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37"/>
    </row>
    <row r="84" spans="1:14" ht="15.6" x14ac:dyDescent="0.3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37"/>
    </row>
    <row r="85" spans="1:14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spans="1:14" x14ac:dyDescent="0.3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spans="1:14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spans="1:14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spans="1:14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4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spans="1:14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spans="1:14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spans="1:14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spans="1:14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</sheetData>
  <mergeCells count="5">
    <mergeCell ref="K32:M35"/>
    <mergeCell ref="E3:F3"/>
    <mergeCell ref="E45:F45"/>
    <mergeCell ref="B27:E27"/>
    <mergeCell ref="B69:E6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DEB-56D5-421D-9936-AC18B67B43F4}">
  <dimension ref="A1:R65"/>
  <sheetViews>
    <sheetView topLeftCell="A29" zoomScale="85" zoomScaleNormal="85" workbookViewId="0">
      <selection activeCell="S12" sqref="S12"/>
    </sheetView>
  </sheetViews>
  <sheetFormatPr baseColWidth="10" defaultRowHeight="14.4" x14ac:dyDescent="0.3"/>
  <cols>
    <col min="6" max="6" width="11.6640625" customWidth="1"/>
    <col min="10" max="10" width="2.5546875" customWidth="1"/>
    <col min="16" max="16" width="2.77734375" bestFit="1" customWidth="1"/>
  </cols>
  <sheetData>
    <row r="1" spans="1:18" ht="15.6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5.6" x14ac:dyDescent="0.3">
      <c r="A2" s="51"/>
      <c r="B2" s="51"/>
      <c r="C2" s="51"/>
      <c r="D2" s="91" t="str">
        <f>+'Hoja de cronometraje'!K4</f>
        <v>Elemento R</v>
      </c>
      <c r="E2" s="9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18" s="37" customFormat="1" ht="15.6" x14ac:dyDescent="0.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18" ht="15.6" x14ac:dyDescent="0.3">
      <c r="A4" s="52"/>
      <c r="B4" s="99" t="s">
        <v>18</v>
      </c>
      <c r="C4" s="99" t="s">
        <v>19</v>
      </c>
      <c r="D4" s="99" t="s">
        <v>20</v>
      </c>
      <c r="E4" s="100" t="s">
        <v>108</v>
      </c>
      <c r="F4" s="100" t="s">
        <v>109</v>
      </c>
      <c r="G4" s="100" t="s">
        <v>110</v>
      </c>
      <c r="H4" s="100" t="s">
        <v>111</v>
      </c>
      <c r="I4" s="101" t="s">
        <v>84</v>
      </c>
      <c r="J4" s="101" t="s">
        <v>112</v>
      </c>
      <c r="K4" s="102">
        <f ca="1">ROUNDDOWN(H28,0)</f>
        <v>1145</v>
      </c>
      <c r="L4" s="52"/>
      <c r="M4" s="52"/>
      <c r="N4" s="52"/>
      <c r="O4" s="52"/>
      <c r="P4" s="52"/>
      <c r="Q4" s="52"/>
      <c r="R4" s="52"/>
    </row>
    <row r="5" spans="1:18" ht="15.6" x14ac:dyDescent="0.3">
      <c r="A5" s="52"/>
      <c r="B5" s="88">
        <f ca="1">+'N° de Obs.'!D6</f>
        <v>90</v>
      </c>
      <c r="C5" s="88">
        <f ca="1">+'N° de Obs.'!E6</f>
        <v>27727</v>
      </c>
      <c r="D5" s="88">
        <f ca="1">+'N° de Obs.'!F6</f>
        <v>24954.3</v>
      </c>
      <c r="E5" s="88">
        <f ca="1">IF(I5="","",IFERROR(F5*G5,""))</f>
        <v>0</v>
      </c>
      <c r="F5" s="88">
        <f ca="1">IF(I5="","",IFERROR(G5*H5,""))</f>
        <v>0</v>
      </c>
      <c r="G5" s="88">
        <f ca="1">IF(I5="","",ROW($V1)-1)</f>
        <v>0</v>
      </c>
      <c r="H5" s="88">
        <f ca="1">IF(I5="","",COUNTIF($D$5:$D$24,"&lt;="&amp;$J6))</f>
        <v>2</v>
      </c>
      <c r="I5" s="88">
        <f ca="1">ROUND(H27,0)</f>
        <v>22917</v>
      </c>
      <c r="J5" s="80"/>
      <c r="K5" s="76" t="s">
        <v>130</v>
      </c>
      <c r="L5" s="52"/>
      <c r="M5" s="52"/>
      <c r="N5" s="88" t="s">
        <v>113</v>
      </c>
      <c r="O5" s="88">
        <f ca="1">F10/H10</f>
        <v>2.15</v>
      </c>
      <c r="P5" s="52"/>
      <c r="Q5" s="52"/>
      <c r="R5" s="52"/>
    </row>
    <row r="6" spans="1:18" ht="15.6" x14ac:dyDescent="0.3">
      <c r="A6" s="52"/>
      <c r="B6" s="88">
        <f ca="1">+'N° de Obs.'!D7</f>
        <v>85</v>
      </c>
      <c r="C6" s="88">
        <f ca="1">+'N° de Obs.'!E7</f>
        <v>26961</v>
      </c>
      <c r="D6" s="88">
        <f ca="1">+'N° de Obs.'!F7</f>
        <v>22916.85</v>
      </c>
      <c r="E6" s="88">
        <f t="shared" ref="E6:E9" ca="1" si="0">IF(I6="","",IFERROR(F6*G6,""))</f>
        <v>5</v>
      </c>
      <c r="F6" s="88">
        <f t="shared" ref="F6:F9" ca="1" si="1">IF(I6="","",IFERROR(G6*H6,""))</f>
        <v>5</v>
      </c>
      <c r="G6" s="88">
        <f t="shared" ref="G6:G9" ca="1" si="2">IF(I6="","",ROW($V2)-1)</f>
        <v>1</v>
      </c>
      <c r="H6" s="88">
        <f ca="1">IF(I6="","",COUNTIFS($D$5:$D$24,"&lt;="&amp;$J7,$D$5:$D$24,"&gt;"&amp;$J6))</f>
        <v>5</v>
      </c>
      <c r="I6" s="88">
        <f ca="1">IFERROR(IF($I5+$K$4&lt;=$M$28,$I5+$K$4,""),"")</f>
        <v>24062</v>
      </c>
      <c r="J6" s="103">
        <f ca="1">IF(I5="","",IFERROR(($I5+$I6)/2,MAX($D$5:$D$24)))</f>
        <v>23489.5</v>
      </c>
      <c r="K6" s="76" t="s">
        <v>131</v>
      </c>
      <c r="L6" s="52"/>
      <c r="M6" s="52"/>
      <c r="N6" s="88" t="s">
        <v>114</v>
      </c>
      <c r="O6" s="88">
        <f ca="1">E10/H10</f>
        <v>6.15</v>
      </c>
      <c r="P6" s="52"/>
      <c r="Q6" s="52"/>
      <c r="R6" s="52"/>
    </row>
    <row r="7" spans="1:18" ht="15.6" x14ac:dyDescent="0.3">
      <c r="A7" s="52"/>
      <c r="B7" s="88">
        <f ca="1">+'N° de Obs.'!D8</f>
        <v>100</v>
      </c>
      <c r="C7" s="88">
        <f ca="1">+'N° de Obs.'!E8</f>
        <v>26403</v>
      </c>
      <c r="D7" s="88">
        <f ca="1">+'N° de Obs.'!F8</f>
        <v>26403</v>
      </c>
      <c r="E7" s="88">
        <f t="shared" ca="1" si="0"/>
        <v>16</v>
      </c>
      <c r="F7" s="88">
        <f t="shared" ca="1" si="1"/>
        <v>8</v>
      </c>
      <c r="G7" s="88">
        <f t="shared" ca="1" si="2"/>
        <v>2</v>
      </c>
      <c r="H7" s="88">
        <f t="shared" ref="H7:H9" ca="1" si="3">IF(I7="","",COUNTIFS($D$5:$D$24,"&lt;="&amp;$J8,$D$5:$D$24,"&gt;"&amp;$J7))</f>
        <v>4</v>
      </c>
      <c r="I7" s="88">
        <f ca="1">IFERROR(IF($I6+$K$4&lt;=$M$28,$I6+$K$4,""),"")</f>
        <v>25207</v>
      </c>
      <c r="J7" s="103">
        <f t="shared" ref="J7:J10" ca="1" si="4">IF(I6="","",IFERROR(($I6+$I7)/2,MAX($D$5:$D$24)))</f>
        <v>24634.5</v>
      </c>
      <c r="K7" s="76" t="s">
        <v>132</v>
      </c>
      <c r="L7" s="52"/>
      <c r="M7" s="52"/>
      <c r="N7" s="52"/>
      <c r="O7" s="52"/>
      <c r="P7" s="52"/>
      <c r="Q7" s="52"/>
      <c r="R7" s="52"/>
    </row>
    <row r="8" spans="1:18" ht="15.6" x14ac:dyDescent="0.3">
      <c r="A8" s="52"/>
      <c r="B8" s="88">
        <f ca="1">+'N° de Obs.'!D9</f>
        <v>90</v>
      </c>
      <c r="C8" s="88">
        <f ca="1">+'N° de Obs.'!E9</f>
        <v>27961</v>
      </c>
      <c r="D8" s="88">
        <f ca="1">+'N° de Obs.'!F9</f>
        <v>25164.9</v>
      </c>
      <c r="E8" s="88">
        <f t="shared" ca="1" si="0"/>
        <v>54</v>
      </c>
      <c r="F8" s="88">
        <f t="shared" ca="1" si="1"/>
        <v>18</v>
      </c>
      <c r="G8" s="88">
        <f t="shared" ca="1" si="2"/>
        <v>3</v>
      </c>
      <c r="H8" s="88">
        <f t="shared" ca="1" si="3"/>
        <v>6</v>
      </c>
      <c r="I8" s="88">
        <f ca="1">IFERROR(IF($I7+$K$4&lt;=$M$28,$I7+$K$4,""),"")</f>
        <v>26352</v>
      </c>
      <c r="J8" s="103">
        <f t="shared" ca="1" si="4"/>
        <v>25779.5</v>
      </c>
      <c r="K8" s="76" t="s">
        <v>133</v>
      </c>
      <c r="L8" s="52"/>
      <c r="M8" s="52"/>
      <c r="N8" s="88" t="s">
        <v>115</v>
      </c>
      <c r="O8" s="88">
        <f ca="1">H27+(K4*O5)</f>
        <v>25378.6</v>
      </c>
      <c r="P8" s="52"/>
      <c r="Q8" s="52"/>
      <c r="R8" s="52"/>
    </row>
    <row r="9" spans="1:18" ht="16.2" thickBot="1" x14ac:dyDescent="0.35">
      <c r="A9" s="52"/>
      <c r="B9" s="88">
        <f ca="1">+'N° de Obs.'!D10</f>
        <v>100</v>
      </c>
      <c r="C9" s="88">
        <f ca="1">+'N° de Obs.'!E10</f>
        <v>27730</v>
      </c>
      <c r="D9" s="88">
        <f ca="1">+'N° de Obs.'!F10</f>
        <v>27730</v>
      </c>
      <c r="E9" s="88">
        <f t="shared" ca="1" si="0"/>
        <v>48</v>
      </c>
      <c r="F9" s="88">
        <f t="shared" ca="1" si="1"/>
        <v>12</v>
      </c>
      <c r="G9" s="88">
        <f t="shared" ca="1" si="2"/>
        <v>4</v>
      </c>
      <c r="H9" s="88">
        <f t="shared" ca="1" si="3"/>
        <v>3</v>
      </c>
      <c r="I9" s="88">
        <f ca="1">IFERROR(IF($I8+$K$4&lt;=$M$28,$I8+$K$4,""),"")</f>
        <v>27497</v>
      </c>
      <c r="J9" s="103">
        <f t="shared" ca="1" si="4"/>
        <v>26924.5</v>
      </c>
      <c r="K9" s="76" t="s">
        <v>134</v>
      </c>
      <c r="L9" s="52"/>
      <c r="M9" s="52"/>
      <c r="N9" s="88" t="s">
        <v>116</v>
      </c>
      <c r="O9" s="104">
        <f ca="1">K4*(SQRT(O6-POWER(O5,2)))</f>
        <v>1415.1292122982977</v>
      </c>
      <c r="P9" s="52"/>
      <c r="Q9" s="52"/>
      <c r="R9" s="52"/>
    </row>
    <row r="10" spans="1:18" ht="16.2" thickBot="1" x14ac:dyDescent="0.35">
      <c r="A10" s="52"/>
      <c r="B10" s="88">
        <f ca="1">+'N° de Obs.'!D11</f>
        <v>95</v>
      </c>
      <c r="C10" s="88">
        <f ca="1">+'N° de Obs.'!E11</f>
        <v>27759</v>
      </c>
      <c r="D10" s="88">
        <f ca="1">+'N° de Obs.'!F11</f>
        <v>26371.05</v>
      </c>
      <c r="E10" s="105">
        <f ca="1">SUM(E5:E17)</f>
        <v>123</v>
      </c>
      <c r="F10" s="106">
        <f ca="1">SUM(F5:F17)</f>
        <v>43</v>
      </c>
      <c r="G10" s="52"/>
      <c r="H10" s="106">
        <f ca="1">SUM(H5:H17)</f>
        <v>20</v>
      </c>
      <c r="I10" s="107" t="str">
        <f ca="1">IFERROR(IF($I9+$K$4&lt;=$M$28,$I9+$K$4,""),"")</f>
        <v/>
      </c>
      <c r="J10" s="108">
        <f t="shared" ca="1" si="4"/>
        <v>28112.7</v>
      </c>
      <c r="K10" s="52"/>
      <c r="L10" s="52"/>
      <c r="M10" s="52"/>
      <c r="N10" s="52"/>
      <c r="O10" s="52"/>
      <c r="P10" s="52"/>
      <c r="Q10" s="52"/>
      <c r="R10" s="52"/>
    </row>
    <row r="11" spans="1:18" ht="15.6" x14ac:dyDescent="0.3">
      <c r="A11" s="52"/>
      <c r="B11" s="88">
        <f ca="1">+'N° de Obs.'!D12</f>
        <v>100</v>
      </c>
      <c r="C11" s="88">
        <f ca="1">+'N° de Obs.'!E12</f>
        <v>27197</v>
      </c>
      <c r="D11" s="88">
        <f ca="1">+'N° de Obs.'!F12</f>
        <v>27197</v>
      </c>
      <c r="E11" s="52"/>
      <c r="F11" s="52"/>
      <c r="G11" s="52"/>
      <c r="H11" s="52"/>
      <c r="I11" s="52"/>
      <c r="J11" s="52"/>
      <c r="K11" s="52"/>
      <c r="L11" s="52"/>
      <c r="M11" s="52"/>
      <c r="N11" s="88" t="s">
        <v>117</v>
      </c>
      <c r="O11" s="88">
        <f ca="1">(O9*100)/O8</f>
        <v>5.5760728026695636</v>
      </c>
      <c r="P11" s="88" t="s">
        <v>8</v>
      </c>
      <c r="Q11" s="52"/>
      <c r="R11" s="52"/>
    </row>
    <row r="12" spans="1:18" ht="15.6" x14ac:dyDescent="0.3">
      <c r="A12" s="52"/>
      <c r="B12" s="88">
        <f ca="1">+'N° de Obs.'!D13</f>
        <v>90</v>
      </c>
      <c r="C12" s="88">
        <f ca="1">+'N° de Obs.'!E13</f>
        <v>26742</v>
      </c>
      <c r="D12" s="88">
        <f ca="1">+'N° de Obs.'!F13</f>
        <v>24067.8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</row>
    <row r="13" spans="1:18" ht="15.6" x14ac:dyDescent="0.3">
      <c r="A13" s="52"/>
      <c r="B13" s="88">
        <f ca="1">+'N° de Obs.'!D14</f>
        <v>100</v>
      </c>
      <c r="C13" s="88">
        <f ca="1">+'N° de Obs.'!E14</f>
        <v>26753</v>
      </c>
      <c r="D13" s="88">
        <f ca="1">+'N° de Obs.'!F14</f>
        <v>26753</v>
      </c>
      <c r="E13" s="52"/>
      <c r="F13" s="52"/>
      <c r="G13" s="52"/>
      <c r="H13" s="52"/>
      <c r="I13" s="52"/>
      <c r="J13" s="52"/>
      <c r="K13" s="52"/>
      <c r="L13" s="52"/>
      <c r="M13" s="52"/>
      <c r="N13" s="98" t="str">
        <f ca="1">IF(O11&lt;6,"Se puede continuar con el estudio","No se puede continuar con el estudio")</f>
        <v>Se puede continuar con el estudio</v>
      </c>
      <c r="O13" s="98"/>
      <c r="P13" s="52"/>
      <c r="Q13" s="52"/>
      <c r="R13" s="52"/>
    </row>
    <row r="14" spans="1:18" ht="15.6" x14ac:dyDescent="0.3">
      <c r="A14" s="52"/>
      <c r="B14" s="88">
        <f ca="1">+'N° de Obs.'!D15</f>
        <v>95</v>
      </c>
      <c r="C14" s="88">
        <f ca="1">+'N° de Obs.'!E15</f>
        <v>27247</v>
      </c>
      <c r="D14" s="88">
        <f ca="1">+'N° de Obs.'!F15</f>
        <v>25884.65</v>
      </c>
      <c r="E14" s="52"/>
      <c r="F14" s="52"/>
      <c r="G14" s="52"/>
      <c r="H14" s="52"/>
      <c r="I14" s="52"/>
      <c r="J14" s="52"/>
      <c r="K14" s="52"/>
      <c r="L14" s="52"/>
      <c r="M14" s="52"/>
      <c r="N14" s="98"/>
      <c r="O14" s="98"/>
      <c r="P14" s="52"/>
      <c r="Q14" s="52"/>
      <c r="R14" s="52"/>
    </row>
    <row r="15" spans="1:18" ht="15.6" x14ac:dyDescent="0.3">
      <c r="A15" s="52"/>
      <c r="B15" s="88">
        <f ca="1">+'N° de Obs.'!D16</f>
        <v>90</v>
      </c>
      <c r="C15" s="88">
        <f ca="1">+'N° de Obs.'!E16</f>
        <v>27123</v>
      </c>
      <c r="D15" s="88">
        <f ca="1">+'N° de Obs.'!F16</f>
        <v>24410.7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</row>
    <row r="16" spans="1:18" ht="15.6" x14ac:dyDescent="0.3">
      <c r="A16" s="52"/>
      <c r="B16" s="88">
        <f ca="1">+'N° de Obs.'!D17</f>
        <v>90</v>
      </c>
      <c r="C16" s="88">
        <f ca="1">+'N° de Obs.'!E17</f>
        <v>26662</v>
      </c>
      <c r="D16" s="88">
        <f ca="1">+'N° de Obs.'!F17</f>
        <v>23995.8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</row>
    <row r="17" spans="1:18" ht="15.6" x14ac:dyDescent="0.3">
      <c r="A17" s="52"/>
      <c r="B17" s="88">
        <f ca="1">+'N° de Obs.'!D18</f>
        <v>85</v>
      </c>
      <c r="C17" s="88">
        <f ca="1">+'N° de Obs.'!E18</f>
        <v>26979</v>
      </c>
      <c r="D17" s="88">
        <f ca="1">+'N° de Obs.'!F18</f>
        <v>22932.15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</row>
    <row r="18" spans="1:18" ht="15.6" x14ac:dyDescent="0.3">
      <c r="A18" s="52"/>
      <c r="B18" s="88">
        <f ca="1">+'N° de Obs.'!D19</f>
        <v>95</v>
      </c>
      <c r="C18" s="88">
        <f ca="1">+'N° de Obs.'!E19</f>
        <v>27245</v>
      </c>
      <c r="D18" s="88">
        <f ca="1">+'N° de Obs.'!F19</f>
        <v>25882.75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</row>
    <row r="19" spans="1:18" ht="15.6" x14ac:dyDescent="0.3">
      <c r="A19" s="52"/>
      <c r="B19" s="88">
        <f ca="1">+'N° de Obs.'!D20</f>
        <v>105</v>
      </c>
      <c r="C19" s="88">
        <f ca="1">+'N° de Obs.'!E20</f>
        <v>26774</v>
      </c>
      <c r="D19" s="88">
        <f ca="1">+'N° de Obs.'!F20</f>
        <v>28112.7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0" spans="1:18" ht="15.6" x14ac:dyDescent="0.3">
      <c r="A20" s="52"/>
      <c r="B20" s="88">
        <f ca="1">+'N° de Obs.'!D21</f>
        <v>90</v>
      </c>
      <c r="C20" s="88">
        <f ca="1">+'N° de Obs.'!E21</f>
        <v>26138</v>
      </c>
      <c r="D20" s="88">
        <f ca="1">+'N° de Obs.'!F21</f>
        <v>23524.2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</row>
    <row r="21" spans="1:18" ht="15.6" x14ac:dyDescent="0.3">
      <c r="A21" s="52"/>
      <c r="B21" s="88">
        <f ca="1">+'N° de Obs.'!D22</f>
        <v>95</v>
      </c>
      <c r="C21" s="88">
        <f ca="1">+'N° de Obs.'!E22</f>
        <v>26053</v>
      </c>
      <c r="D21" s="88">
        <f ca="1">+'N° de Obs.'!F22</f>
        <v>24750.35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</row>
    <row r="22" spans="1:18" ht="15.6" x14ac:dyDescent="0.3">
      <c r="A22" s="52"/>
      <c r="B22" s="88">
        <f ca="1">+'N° de Obs.'!D23</f>
        <v>90</v>
      </c>
      <c r="C22" s="88">
        <f ca="1">+'N° de Obs.'!E23</f>
        <v>26556</v>
      </c>
      <c r="D22" s="88">
        <f ca="1">+'N° de Obs.'!F23</f>
        <v>23900.400000000001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</row>
    <row r="23" spans="1:18" ht="15.6" x14ac:dyDescent="0.3">
      <c r="A23" s="52"/>
      <c r="B23" s="88">
        <f ca="1">+'N° de Obs.'!D24</f>
        <v>100</v>
      </c>
      <c r="C23" s="88">
        <f ca="1">+'N° de Obs.'!E24</f>
        <v>26919</v>
      </c>
      <c r="D23" s="88">
        <f ca="1">+'N° de Obs.'!F24</f>
        <v>26919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</row>
    <row r="24" spans="1:18" ht="15.6" x14ac:dyDescent="0.3">
      <c r="A24" s="52"/>
      <c r="B24" s="88">
        <f ca="1">+'N° de Obs.'!D25</f>
        <v>90</v>
      </c>
      <c r="C24" s="88">
        <f ca="1">+'N° de Obs.'!E25</f>
        <v>27415</v>
      </c>
      <c r="D24" s="88">
        <f ca="1">+'N° de Obs.'!F25</f>
        <v>24673.5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1:18" ht="15.6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</row>
    <row r="26" spans="1:18" ht="15.6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</row>
    <row r="27" spans="1:18" ht="15.6" x14ac:dyDescent="0.3">
      <c r="A27" s="52"/>
      <c r="B27" s="52"/>
      <c r="C27" s="52"/>
      <c r="D27" s="88" t="s">
        <v>23</v>
      </c>
      <c r="E27" s="88">
        <f ca="1">COUNTA(C5:C24)</f>
        <v>20</v>
      </c>
      <c r="F27" s="52"/>
      <c r="G27" s="52"/>
      <c r="H27" s="88">
        <f ca="1">MIN(D5:D24)</f>
        <v>22916.85</v>
      </c>
      <c r="I27" s="75">
        <v>100</v>
      </c>
      <c r="J27" s="76" t="s">
        <v>8</v>
      </c>
      <c r="K27" s="52"/>
      <c r="L27" s="88" t="s">
        <v>118</v>
      </c>
      <c r="M27" s="88">
        <f ca="1">ROUND(MIN(D5:D24),0)</f>
        <v>22917</v>
      </c>
      <c r="N27" s="52"/>
      <c r="O27" s="52"/>
      <c r="P27" s="52"/>
      <c r="Q27" s="52"/>
      <c r="R27" s="52"/>
    </row>
    <row r="28" spans="1:18" ht="15.6" x14ac:dyDescent="0.3">
      <c r="A28" s="52"/>
      <c r="B28" s="52"/>
      <c r="C28" s="52"/>
      <c r="D28" s="52"/>
      <c r="E28" s="52"/>
      <c r="F28" s="52"/>
      <c r="G28" s="52"/>
      <c r="H28" s="87">
        <f ca="1">(I28*H27)/I27</f>
        <v>1145.8425</v>
      </c>
      <c r="I28" s="80">
        <v>5</v>
      </c>
      <c r="J28" s="81" t="s">
        <v>8</v>
      </c>
      <c r="K28" s="52"/>
      <c r="L28" s="88" t="s">
        <v>119</v>
      </c>
      <c r="M28" s="88">
        <f ca="1">ROUND(MAX(D5:D24),0)</f>
        <v>28113</v>
      </c>
      <c r="N28" s="52"/>
      <c r="O28" s="52"/>
      <c r="P28" s="52"/>
      <c r="Q28" s="52"/>
      <c r="R28" s="52"/>
    </row>
    <row r="29" spans="1:18" ht="15.6" x14ac:dyDescent="0.3">
      <c r="A29" s="52"/>
      <c r="B29" s="109" t="s">
        <v>24</v>
      </c>
      <c r="C29" s="109"/>
      <c r="D29" s="109"/>
      <c r="E29" s="88">
        <f ca="1">ROUND(SUM(D5:D24)/E27,0)</f>
        <v>25327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 spans="1:18" ht="15.6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 spans="1:18" ht="15.6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  <row r="32" spans="1:18" ht="15.6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  <row r="33" spans="1:18" ht="15.6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</row>
    <row r="34" spans="1:18" ht="15.6" x14ac:dyDescent="0.3">
      <c r="A34" s="5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</row>
    <row r="35" spans="1:18" ht="15.6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</row>
    <row r="36" spans="1:18" ht="15.6" x14ac:dyDescent="0.3">
      <c r="A36" s="52"/>
      <c r="B36" s="51"/>
      <c r="C36" s="51"/>
      <c r="D36" s="91" t="str">
        <f>+'Hoja de cronometraje'!K29</f>
        <v>Elemento E</v>
      </c>
      <c r="E36" s="9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</row>
    <row r="37" spans="1:18" s="37" customFormat="1" ht="15.6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</row>
    <row r="38" spans="1:18" ht="15.6" x14ac:dyDescent="0.3">
      <c r="A38" s="52"/>
      <c r="B38" s="99" t="s">
        <v>18</v>
      </c>
      <c r="C38" s="99" t="s">
        <v>19</v>
      </c>
      <c r="D38" s="99" t="s">
        <v>20</v>
      </c>
      <c r="E38" s="100" t="s">
        <v>108</v>
      </c>
      <c r="F38" s="100" t="s">
        <v>109</v>
      </c>
      <c r="G38" s="100" t="s">
        <v>110</v>
      </c>
      <c r="H38" s="100" t="s">
        <v>111</v>
      </c>
      <c r="I38" s="101" t="s">
        <v>84</v>
      </c>
      <c r="J38" s="101" t="s">
        <v>112</v>
      </c>
      <c r="K38" s="102">
        <f ca="1">ROUNDDOWN(H62,0)</f>
        <v>1121</v>
      </c>
      <c r="L38" s="52"/>
      <c r="M38" s="52"/>
      <c r="N38" s="52"/>
      <c r="O38" s="52"/>
      <c r="P38" s="52"/>
      <c r="Q38" s="52"/>
      <c r="R38" s="52"/>
    </row>
    <row r="39" spans="1:18" ht="15.6" x14ac:dyDescent="0.3">
      <c r="A39" s="52"/>
      <c r="B39" s="88">
        <f ca="1">+'N° de Obs.'!D34</f>
        <v>90</v>
      </c>
      <c r="C39" s="88">
        <f ca="1">+'N° de Obs.'!E34</f>
        <v>27055</v>
      </c>
      <c r="D39" s="88">
        <f ca="1">+'N° de Obs.'!F34</f>
        <v>24349.5</v>
      </c>
      <c r="E39" s="88">
        <f ca="1">IF(I39="","",IFERROR(F39*G39,""))</f>
        <v>0</v>
      </c>
      <c r="F39" s="88">
        <f ca="1">IF(I39="","",IFERROR(G39*H39,""))</f>
        <v>0</v>
      </c>
      <c r="G39" s="88">
        <v>0</v>
      </c>
      <c r="H39" s="88">
        <f ca="1">IF(I39="","",COUNTIF($D$39:$D$58,"&lt;="&amp;$J40))</f>
        <v>1</v>
      </c>
      <c r="I39" s="88">
        <f ca="1">ROUND(H61,0)</f>
        <v>22434</v>
      </c>
      <c r="J39" s="80"/>
      <c r="K39" s="76" t="s">
        <v>29</v>
      </c>
      <c r="L39" s="52"/>
      <c r="M39" s="52"/>
      <c r="N39" s="88" t="s">
        <v>113</v>
      </c>
      <c r="O39" s="88">
        <f ca="1">F44/H44</f>
        <v>2.25</v>
      </c>
      <c r="P39" s="52"/>
      <c r="Q39" s="52"/>
      <c r="R39" s="52"/>
    </row>
    <row r="40" spans="1:18" ht="15.6" x14ac:dyDescent="0.3">
      <c r="A40" s="52"/>
      <c r="B40" s="88">
        <f ca="1">+'N° de Obs.'!D35</f>
        <v>85</v>
      </c>
      <c r="C40" s="88">
        <f ca="1">+'N° de Obs.'!E35</f>
        <v>27118</v>
      </c>
      <c r="D40" s="88">
        <f ca="1">+'N° de Obs.'!F35</f>
        <v>23050.3</v>
      </c>
      <c r="E40" s="88">
        <f t="shared" ref="E40:E43" ca="1" si="5">IF(I40="","",IFERROR(F40*G40,""))</f>
        <v>5</v>
      </c>
      <c r="F40" s="88">
        <f t="shared" ref="F40:F43" ca="1" si="6">IF(I40="","",IFERROR(G40*H40,""))</f>
        <v>5</v>
      </c>
      <c r="G40" s="88">
        <v>1</v>
      </c>
      <c r="H40" s="88">
        <f ca="1">IF(I40="","",COUNTIFS($D$39:$D$58,"&lt;="&amp;$J41,$D$39:$D$58,"&gt;"&amp;$J40))</f>
        <v>5</v>
      </c>
      <c r="I40" s="88">
        <f t="shared" ref="I40:I44" ca="1" si="7">IFERROR(IF($I39+$K$38&lt;=$M$62,$I39+$K$38,""),"")</f>
        <v>23555</v>
      </c>
      <c r="J40" s="103">
        <f ca="1">IF(I39="","",IFERROR(($I39+$I40)/2,MAX($D$39:$D$58)))</f>
        <v>22994.5</v>
      </c>
      <c r="K40" s="76" t="s">
        <v>131</v>
      </c>
      <c r="L40" s="52"/>
      <c r="M40" s="52"/>
      <c r="N40" s="88" t="s">
        <v>114</v>
      </c>
      <c r="O40" s="88">
        <f ca="1">E44/H44</f>
        <v>6.45</v>
      </c>
      <c r="P40" s="52"/>
      <c r="Q40" s="52"/>
      <c r="R40" s="52"/>
    </row>
    <row r="41" spans="1:18" ht="15.6" x14ac:dyDescent="0.3">
      <c r="A41" s="52"/>
      <c r="B41" s="88">
        <f ca="1">+'N° de Obs.'!D36</f>
        <v>95</v>
      </c>
      <c r="C41" s="88">
        <f ca="1">+'N° de Obs.'!E36</f>
        <v>26558</v>
      </c>
      <c r="D41" s="88">
        <f ca="1">+'N° de Obs.'!F36</f>
        <v>25230.1</v>
      </c>
      <c r="E41" s="88">
        <f t="shared" ca="1" si="5"/>
        <v>24</v>
      </c>
      <c r="F41" s="88">
        <f t="shared" ca="1" si="6"/>
        <v>12</v>
      </c>
      <c r="G41" s="88">
        <v>2</v>
      </c>
      <c r="H41" s="88">
        <f t="shared" ref="H41:H43" ca="1" si="8">IF(I41="","",COUNTIFS($D$39:$D$58,"&lt;="&amp;$J42,$D$39:$D$58,"&gt;"&amp;$J41))</f>
        <v>6</v>
      </c>
      <c r="I41" s="88">
        <f t="shared" ca="1" si="7"/>
        <v>24676</v>
      </c>
      <c r="J41" s="103">
        <f t="shared" ref="J41:J44" ca="1" si="9">IF(I40="","",IFERROR(($I40+$I41)/2,MAX($D$39:$D$58)))</f>
        <v>24115.5</v>
      </c>
      <c r="K41" s="76" t="s">
        <v>133</v>
      </c>
      <c r="L41" s="52"/>
      <c r="M41" s="52"/>
      <c r="N41" s="52"/>
      <c r="O41" s="52"/>
      <c r="P41" s="52"/>
      <c r="Q41" s="52"/>
      <c r="R41" s="52"/>
    </row>
    <row r="42" spans="1:18" ht="15.6" x14ac:dyDescent="0.3">
      <c r="A42" s="52"/>
      <c r="B42" s="88">
        <f ca="1">+'N° de Obs.'!D37</f>
        <v>100</v>
      </c>
      <c r="C42" s="88">
        <f ca="1">+'N° de Obs.'!E37</f>
        <v>27029</v>
      </c>
      <c r="D42" s="88">
        <f ca="1">+'N° de Obs.'!F37</f>
        <v>27029</v>
      </c>
      <c r="E42" s="88">
        <f t="shared" ca="1" si="5"/>
        <v>36</v>
      </c>
      <c r="F42" s="88">
        <f t="shared" ca="1" si="6"/>
        <v>12</v>
      </c>
      <c r="G42" s="88">
        <v>3</v>
      </c>
      <c r="H42" s="88">
        <f t="shared" ca="1" si="8"/>
        <v>4</v>
      </c>
      <c r="I42" s="88">
        <f t="shared" ca="1" si="7"/>
        <v>25797</v>
      </c>
      <c r="J42" s="103">
        <f t="shared" ca="1" si="9"/>
        <v>25236.5</v>
      </c>
      <c r="K42" s="76" t="s">
        <v>132</v>
      </c>
      <c r="L42" s="52"/>
      <c r="M42" s="52"/>
      <c r="N42" s="88" t="s">
        <v>115</v>
      </c>
      <c r="O42" s="88">
        <f ca="1">H61+(K38*O39)</f>
        <v>24956.3</v>
      </c>
      <c r="P42" s="52"/>
      <c r="Q42" s="52"/>
      <c r="R42" s="52"/>
    </row>
    <row r="43" spans="1:18" ht="16.2" thickBot="1" x14ac:dyDescent="0.35">
      <c r="A43" s="52"/>
      <c r="B43" s="88">
        <f ca="1">+'N° de Obs.'!D38</f>
        <v>105</v>
      </c>
      <c r="C43" s="88">
        <f ca="1">+'N° de Obs.'!E38</f>
        <v>25923</v>
      </c>
      <c r="D43" s="88">
        <f ca="1">+'N° de Obs.'!F38</f>
        <v>27219.15</v>
      </c>
      <c r="E43" s="88">
        <f t="shared" ca="1" si="5"/>
        <v>64</v>
      </c>
      <c r="F43" s="88">
        <f t="shared" ca="1" si="6"/>
        <v>16</v>
      </c>
      <c r="G43" s="88">
        <v>4</v>
      </c>
      <c r="H43" s="88">
        <f t="shared" ca="1" si="8"/>
        <v>4</v>
      </c>
      <c r="I43" s="88">
        <f t="shared" ca="1" si="7"/>
        <v>26918</v>
      </c>
      <c r="J43" s="103">
        <f t="shared" ca="1" si="9"/>
        <v>26357.5</v>
      </c>
      <c r="K43" s="76" t="s">
        <v>132</v>
      </c>
      <c r="L43" s="52"/>
      <c r="M43" s="52"/>
      <c r="N43" s="88" t="s">
        <v>116</v>
      </c>
      <c r="O43" s="104">
        <f ca="1">K38*(SQRT(O40-POWER(O39,2)))</f>
        <v>1320.4504487105908</v>
      </c>
      <c r="P43" s="52"/>
      <c r="Q43" s="52"/>
      <c r="R43" s="52"/>
    </row>
    <row r="44" spans="1:18" ht="16.2" thickBot="1" x14ac:dyDescent="0.35">
      <c r="A44" s="52"/>
      <c r="B44" s="88">
        <f ca="1">+'N° de Obs.'!D39</f>
        <v>90</v>
      </c>
      <c r="C44" s="88">
        <f ca="1">+'N° de Obs.'!E39</f>
        <v>25886</v>
      </c>
      <c r="D44" s="88">
        <f ca="1">+'N° de Obs.'!F39</f>
        <v>23297.4</v>
      </c>
      <c r="E44" s="105">
        <f ca="1">SUM(E39:E51)</f>
        <v>129</v>
      </c>
      <c r="F44" s="106">
        <f ca="1">SUM(F39:F51)</f>
        <v>45</v>
      </c>
      <c r="G44" s="52"/>
      <c r="H44" s="106">
        <f ca="1">SUM(H39:H51)</f>
        <v>20</v>
      </c>
      <c r="I44" s="107" t="str">
        <f t="shared" ca="1" si="7"/>
        <v/>
      </c>
      <c r="J44" s="108">
        <f t="shared" ca="1" si="9"/>
        <v>27658.05</v>
      </c>
      <c r="K44" s="52"/>
      <c r="L44" s="52"/>
      <c r="M44" s="52"/>
      <c r="N44" s="52"/>
      <c r="O44" s="52"/>
      <c r="P44" s="52"/>
      <c r="Q44" s="52"/>
      <c r="R44" s="52"/>
    </row>
    <row r="45" spans="1:18" ht="15.6" x14ac:dyDescent="0.3">
      <c r="A45" s="52"/>
      <c r="B45" s="88">
        <f ca="1">+'N° de Obs.'!D40</f>
        <v>95</v>
      </c>
      <c r="C45" s="88">
        <f ca="1">+'N° de Obs.'!E40</f>
        <v>27764</v>
      </c>
      <c r="D45" s="88">
        <f ca="1">+'N° de Obs.'!F40</f>
        <v>26375.8</v>
      </c>
      <c r="E45" s="52"/>
      <c r="F45" s="52"/>
      <c r="G45" s="52"/>
      <c r="H45" s="52"/>
      <c r="I45" s="52"/>
      <c r="J45" s="52"/>
      <c r="K45" s="52"/>
      <c r="L45" s="52"/>
      <c r="M45" s="52"/>
      <c r="N45" s="88" t="s">
        <v>117</v>
      </c>
      <c r="O45" s="88">
        <f ca="1">(O43*100)/O42</f>
        <v>5.2910505512058705</v>
      </c>
      <c r="P45" s="88" t="s">
        <v>8</v>
      </c>
      <c r="Q45" s="52"/>
      <c r="R45" s="52"/>
    </row>
    <row r="46" spans="1:18" ht="15.6" x14ac:dyDescent="0.3">
      <c r="A46" s="52"/>
      <c r="B46" s="88">
        <f ca="1">+'N° de Obs.'!D41</f>
        <v>90</v>
      </c>
      <c r="C46" s="88">
        <f ca="1">+'N° de Obs.'!E41</f>
        <v>26546</v>
      </c>
      <c r="D46" s="88">
        <f ca="1">+'N° de Obs.'!F41</f>
        <v>23891.4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</row>
    <row r="47" spans="1:18" ht="15.6" x14ac:dyDescent="0.3">
      <c r="A47" s="52"/>
      <c r="B47" s="88">
        <f ca="1">+'N° de Obs.'!D42</f>
        <v>95</v>
      </c>
      <c r="C47" s="88">
        <f ca="1">+'N° de Obs.'!E42</f>
        <v>26700</v>
      </c>
      <c r="D47" s="88">
        <f ca="1">+'N° de Obs.'!F42</f>
        <v>25365</v>
      </c>
      <c r="E47" s="52"/>
      <c r="F47" s="52"/>
      <c r="G47" s="52"/>
      <c r="H47" s="52"/>
      <c r="I47" s="52"/>
      <c r="J47" s="52"/>
      <c r="K47" s="52"/>
      <c r="L47" s="52"/>
      <c r="M47" s="52"/>
      <c r="N47" s="98" t="str">
        <f ca="1">IF(O45&lt;6,"Se puede continuar con el estudio","No se puede continuar con el estudio")</f>
        <v>Se puede continuar con el estudio</v>
      </c>
      <c r="O47" s="98"/>
      <c r="P47" s="52"/>
      <c r="Q47" s="52"/>
      <c r="R47" s="52"/>
    </row>
    <row r="48" spans="1:18" ht="15.6" x14ac:dyDescent="0.3">
      <c r="A48" s="52"/>
      <c r="B48" s="88">
        <f ca="1">+'N° de Obs.'!D43</f>
        <v>90</v>
      </c>
      <c r="C48" s="88">
        <f ca="1">+'N° de Obs.'!E43</f>
        <v>27509</v>
      </c>
      <c r="D48" s="88">
        <f ca="1">+'N° de Obs.'!F43</f>
        <v>24758.1</v>
      </c>
      <c r="E48" s="52"/>
      <c r="F48" s="52"/>
      <c r="G48" s="52"/>
      <c r="H48" s="52"/>
      <c r="I48" s="52"/>
      <c r="J48" s="52"/>
      <c r="K48" s="52"/>
      <c r="L48" s="52"/>
      <c r="M48" s="52"/>
      <c r="N48" s="98"/>
      <c r="O48" s="98"/>
      <c r="P48" s="52"/>
      <c r="Q48" s="52"/>
      <c r="R48" s="52"/>
    </row>
    <row r="49" spans="1:18" ht="15.6" x14ac:dyDescent="0.3">
      <c r="A49" s="52"/>
      <c r="B49" s="88">
        <f ca="1">+'N° de Obs.'!D44</f>
        <v>85</v>
      </c>
      <c r="C49" s="88">
        <f ca="1">+'N° de Obs.'!E44</f>
        <v>26393</v>
      </c>
      <c r="D49" s="88">
        <f ca="1">+'N° de Obs.'!F44</f>
        <v>22434.05</v>
      </c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</row>
    <row r="50" spans="1:18" ht="15.6" x14ac:dyDescent="0.3">
      <c r="A50" s="52"/>
      <c r="B50" s="88">
        <f ca="1">+'N° de Obs.'!D45</f>
        <v>90</v>
      </c>
      <c r="C50" s="88">
        <f ca="1">+'N° de Obs.'!E45</f>
        <v>26294</v>
      </c>
      <c r="D50" s="88">
        <f ca="1">+'N° de Obs.'!F45</f>
        <v>23664.6</v>
      </c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</row>
    <row r="51" spans="1:18" ht="15.6" x14ac:dyDescent="0.3">
      <c r="A51" s="52"/>
      <c r="B51" s="88">
        <f ca="1">+'N° de Obs.'!D46</f>
        <v>90</v>
      </c>
      <c r="C51" s="88">
        <f ca="1">+'N° de Obs.'!E46</f>
        <v>27580</v>
      </c>
      <c r="D51" s="88">
        <f ca="1">+'N° de Obs.'!F46</f>
        <v>24822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</row>
    <row r="52" spans="1:18" ht="15.6" x14ac:dyDescent="0.3">
      <c r="A52" s="52"/>
      <c r="B52" s="88">
        <f ca="1">+'N° de Obs.'!D47</f>
        <v>95</v>
      </c>
      <c r="C52" s="88">
        <f ca="1">+'N° de Obs.'!E47</f>
        <v>27154</v>
      </c>
      <c r="D52" s="88">
        <f ca="1">+'N° de Obs.'!F47</f>
        <v>25796.3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</row>
    <row r="53" spans="1:18" ht="15.6" x14ac:dyDescent="0.3">
      <c r="A53" s="52"/>
      <c r="B53" s="88">
        <f ca="1">+'N° de Obs.'!D48</f>
        <v>105</v>
      </c>
      <c r="C53" s="88">
        <f ca="1">+'N° de Obs.'!E48</f>
        <v>26341</v>
      </c>
      <c r="D53" s="88">
        <f ca="1">+'N° de Obs.'!F48</f>
        <v>27658.05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</row>
    <row r="54" spans="1:18" ht="15.6" x14ac:dyDescent="0.3">
      <c r="A54" s="52"/>
      <c r="B54" s="88">
        <f ca="1">+'N° de Obs.'!D49</f>
        <v>90</v>
      </c>
      <c r="C54" s="88">
        <f ca="1">+'N° de Obs.'!E49</f>
        <v>25999</v>
      </c>
      <c r="D54" s="88">
        <f ca="1">+'N° de Obs.'!F49</f>
        <v>23399.1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</row>
    <row r="55" spans="1:18" ht="15.6" x14ac:dyDescent="0.3">
      <c r="A55" s="52"/>
      <c r="B55" s="88">
        <f ca="1">+'N° de Obs.'!D50</f>
        <v>95</v>
      </c>
      <c r="C55" s="88">
        <f ca="1">+'N° de Obs.'!E50</f>
        <v>26062</v>
      </c>
      <c r="D55" s="88">
        <f ca="1">+'N° de Obs.'!F50</f>
        <v>24758.9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</row>
    <row r="56" spans="1:18" ht="15.6" x14ac:dyDescent="0.3">
      <c r="A56" s="52"/>
      <c r="B56" s="88">
        <f ca="1">+'N° de Obs.'!D51</f>
        <v>90</v>
      </c>
      <c r="C56" s="88">
        <f ca="1">+'N° de Obs.'!E51</f>
        <v>27119</v>
      </c>
      <c r="D56" s="88">
        <f ca="1">+'N° de Obs.'!F51</f>
        <v>24407.1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</row>
    <row r="57" spans="1:18" ht="15.6" x14ac:dyDescent="0.3">
      <c r="A57" s="52"/>
      <c r="B57" s="88">
        <f ca="1">+'N° de Obs.'!D52</f>
        <v>100</v>
      </c>
      <c r="C57" s="88">
        <f ca="1">+'N° de Obs.'!E52</f>
        <v>25975</v>
      </c>
      <c r="D57" s="88">
        <f ca="1">+'N° de Obs.'!F52</f>
        <v>25975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</row>
    <row r="58" spans="1:18" ht="15.6" x14ac:dyDescent="0.3">
      <c r="A58" s="52"/>
      <c r="B58" s="88">
        <f ca="1">+'N° de Obs.'!D53</f>
        <v>95</v>
      </c>
      <c r="C58" s="88">
        <f ca="1">+'N° de Obs.'!E53</f>
        <v>27144</v>
      </c>
      <c r="D58" s="88">
        <f ca="1">+'N° de Obs.'!F53</f>
        <v>25786.799999999999</v>
      </c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</row>
    <row r="59" spans="1:18" ht="15.6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spans="1:18" ht="15.6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</row>
    <row r="61" spans="1:18" ht="15.6" x14ac:dyDescent="0.3">
      <c r="A61" s="52"/>
      <c r="B61" s="52"/>
      <c r="C61" s="52"/>
      <c r="D61" s="88" t="s">
        <v>23</v>
      </c>
      <c r="E61" s="88">
        <f ca="1">COUNTA(C39:C58)</f>
        <v>20</v>
      </c>
      <c r="F61" s="52"/>
      <c r="G61" s="52"/>
      <c r="H61" s="88">
        <f ca="1">MIN(D39:D58)</f>
        <v>22434.05</v>
      </c>
      <c r="I61" s="75">
        <v>100</v>
      </c>
      <c r="J61" s="76" t="s">
        <v>8</v>
      </c>
      <c r="K61" s="52"/>
      <c r="L61" s="88" t="s">
        <v>118</v>
      </c>
      <c r="M61" s="88">
        <f ca="1">ROUND(MIN(D39:D58),0)</f>
        <v>22434</v>
      </c>
      <c r="N61" s="52"/>
      <c r="O61" s="52"/>
      <c r="P61" s="52"/>
      <c r="Q61" s="52"/>
      <c r="R61" s="52"/>
    </row>
    <row r="62" spans="1:18" ht="15.6" x14ac:dyDescent="0.3">
      <c r="A62" s="52"/>
      <c r="B62" s="52"/>
      <c r="C62" s="52"/>
      <c r="D62" s="52"/>
      <c r="E62" s="52"/>
      <c r="F62" s="52"/>
      <c r="G62" s="52"/>
      <c r="H62" s="87">
        <f ca="1">(I62*H61)/I61</f>
        <v>1121.7025000000001</v>
      </c>
      <c r="I62" s="80">
        <v>5</v>
      </c>
      <c r="J62" s="81" t="s">
        <v>8</v>
      </c>
      <c r="K62" s="52"/>
      <c r="L62" s="88" t="s">
        <v>119</v>
      </c>
      <c r="M62" s="88">
        <f ca="1">ROUND(MAX(D39:D58),0)</f>
        <v>27658</v>
      </c>
      <c r="N62" s="52"/>
      <c r="O62" s="52"/>
      <c r="P62" s="52"/>
      <c r="Q62" s="52"/>
      <c r="R62" s="52"/>
    </row>
    <row r="63" spans="1:18" ht="15.6" x14ac:dyDescent="0.3">
      <c r="A63" s="52"/>
      <c r="B63" s="109" t="s">
        <v>24</v>
      </c>
      <c r="C63" s="109"/>
      <c r="D63" s="109"/>
      <c r="E63" s="88">
        <f ca="1">ROUND(SUM(D39:D58)/E61,0)</f>
        <v>24963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</row>
    <row r="64" spans="1:18" ht="15.6" x14ac:dyDescent="0.3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</row>
    <row r="65" spans="1:18" ht="15.6" x14ac:dyDescent="0.3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</row>
  </sheetData>
  <mergeCells count="6">
    <mergeCell ref="D2:E2"/>
    <mergeCell ref="B63:D63"/>
    <mergeCell ref="N47:O48"/>
    <mergeCell ref="D36:E36"/>
    <mergeCell ref="B29:D29"/>
    <mergeCell ref="N13:O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1"/>
  <sheetViews>
    <sheetView showGridLines="0" zoomScale="85" zoomScaleNormal="85" workbookViewId="0">
      <selection activeCell="U19" sqref="U19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120" t="s">
        <v>28</v>
      </c>
      <c r="E7" s="121" t="s">
        <v>30</v>
      </c>
      <c r="F7" s="122" t="s">
        <v>138</v>
      </c>
      <c r="G7" s="122" t="s">
        <v>31</v>
      </c>
      <c r="H7" s="122" t="s">
        <v>139</v>
      </c>
      <c r="I7" s="122" t="s">
        <v>140</v>
      </c>
      <c r="J7" s="122" t="s">
        <v>29</v>
      </c>
      <c r="K7" s="122" t="s">
        <v>141</v>
      </c>
      <c r="L7" s="122" t="s">
        <v>142</v>
      </c>
      <c r="M7" s="122" t="s">
        <v>106</v>
      </c>
      <c r="N7" s="122" t="s">
        <v>143</v>
      </c>
      <c r="O7" s="122" t="s">
        <v>144</v>
      </c>
      <c r="P7" s="122" t="s">
        <v>84</v>
      </c>
      <c r="Q7" s="121" t="s">
        <v>32</v>
      </c>
      <c r="R7" s="123" t="s">
        <v>33</v>
      </c>
    </row>
    <row r="8" spans="4:18" ht="30" customHeight="1" x14ac:dyDescent="0.3">
      <c r="D8" s="111" t="str">
        <f>+'Elementos de la operación'!D3</f>
        <v>Revisa orden de produccion</v>
      </c>
      <c r="E8" s="116">
        <v>0.05</v>
      </c>
      <c r="F8" s="112">
        <v>0.05</v>
      </c>
      <c r="G8" s="112">
        <v>0.02</v>
      </c>
      <c r="H8" s="112">
        <v>0.02</v>
      </c>
      <c r="I8" s="112">
        <v>0.02</v>
      </c>
      <c r="J8" s="112">
        <v>0.02</v>
      </c>
      <c r="K8" s="112">
        <v>0</v>
      </c>
      <c r="L8" s="112">
        <v>0</v>
      </c>
      <c r="M8" s="112">
        <v>0</v>
      </c>
      <c r="N8" s="112">
        <v>0</v>
      </c>
      <c r="O8" s="112">
        <v>0.02</v>
      </c>
      <c r="P8" s="112">
        <v>0</v>
      </c>
      <c r="Q8" s="118">
        <f t="shared" ref="Q8:Q10" si="0">(SUM(E8:P8))</f>
        <v>0.19999999999999998</v>
      </c>
      <c r="R8" s="113">
        <f t="shared" ref="R8:R10" si="1">Q8+1</f>
        <v>1.2</v>
      </c>
    </row>
    <row r="9" spans="4:18" ht="30" customHeight="1" x14ac:dyDescent="0.3">
      <c r="D9" s="111" t="str">
        <f>+'Elementos de la operación'!D4</f>
        <v xml:space="preserve">Habilita avios </v>
      </c>
      <c r="E9" s="116">
        <v>0.05</v>
      </c>
      <c r="F9" s="112">
        <v>0.05</v>
      </c>
      <c r="G9" s="112">
        <v>0.02</v>
      </c>
      <c r="H9" s="112">
        <v>0.02</v>
      </c>
      <c r="I9" s="112">
        <v>0.02</v>
      </c>
      <c r="J9" s="112">
        <v>0.02</v>
      </c>
      <c r="K9" s="112">
        <v>0</v>
      </c>
      <c r="L9" s="112">
        <v>0</v>
      </c>
      <c r="M9" s="112">
        <v>0</v>
      </c>
      <c r="N9" s="112">
        <v>0</v>
      </c>
      <c r="O9" s="112">
        <v>0.02</v>
      </c>
      <c r="P9" s="112">
        <v>0</v>
      </c>
      <c r="Q9" s="118">
        <f t="shared" si="0"/>
        <v>0.19999999999999998</v>
      </c>
      <c r="R9" s="113">
        <f t="shared" si="1"/>
        <v>1.2</v>
      </c>
    </row>
    <row r="10" spans="4:18" ht="30" customHeight="1" x14ac:dyDescent="0.3">
      <c r="D10" s="114" t="str">
        <f>+'Elementos de la operación'!D5</f>
        <v>Entrega avios</v>
      </c>
      <c r="E10" s="117">
        <v>0.05</v>
      </c>
      <c r="F10" s="110">
        <v>0.05</v>
      </c>
      <c r="G10" s="110">
        <v>0.02</v>
      </c>
      <c r="H10" s="110">
        <v>0.02</v>
      </c>
      <c r="I10" s="110">
        <v>0.02</v>
      </c>
      <c r="J10" s="110">
        <v>0.02</v>
      </c>
      <c r="K10" s="110">
        <v>0</v>
      </c>
      <c r="L10" s="110">
        <v>0</v>
      </c>
      <c r="M10" s="110">
        <v>0</v>
      </c>
      <c r="N10" s="110">
        <v>0</v>
      </c>
      <c r="O10" s="110">
        <v>0.02</v>
      </c>
      <c r="P10" s="110">
        <v>0</v>
      </c>
      <c r="Q10" s="119">
        <f t="shared" si="0"/>
        <v>0.19999999999999998</v>
      </c>
      <c r="R10" s="115">
        <f t="shared" si="1"/>
        <v>1.2</v>
      </c>
    </row>
    <row r="11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O91"/>
  <sheetViews>
    <sheetView tabSelected="1" topLeftCell="A30" workbookViewId="0">
      <selection activeCell="L42" sqref="L42"/>
    </sheetView>
  </sheetViews>
  <sheetFormatPr baseColWidth="10" defaultRowHeight="14.4" x14ac:dyDescent="0.3"/>
  <cols>
    <col min="1" max="2" width="14.88671875" customWidth="1"/>
    <col min="3" max="3" width="18.44140625" customWidth="1"/>
    <col min="5" max="5" width="19.6640625" customWidth="1"/>
    <col min="6" max="6" width="15.5546875" customWidth="1"/>
    <col min="7" max="7" width="19.88671875" customWidth="1"/>
    <col min="8" max="8" width="20.109375" bestFit="1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2" spans="1:15" ht="15.6" x14ac:dyDescent="0.3">
      <c r="E2" s="27"/>
      <c r="F2" s="28"/>
      <c r="G2" s="27"/>
      <c r="H2" s="27"/>
    </row>
    <row r="3" spans="1:15" ht="15.6" x14ac:dyDescent="0.3">
      <c r="E3" s="27"/>
      <c r="F3" s="28"/>
      <c r="G3" s="27"/>
      <c r="H3" s="27"/>
    </row>
    <row r="4" spans="1:15" ht="15.6" customHeight="1" x14ac:dyDescent="0.3">
      <c r="C4" s="26" t="s">
        <v>97</v>
      </c>
      <c r="E4" s="27"/>
      <c r="F4" t="s">
        <v>99</v>
      </c>
      <c r="G4" s="27"/>
      <c r="H4" s="38" t="s">
        <v>100</v>
      </c>
      <c r="I4" s="38"/>
      <c r="J4" s="38"/>
    </row>
    <row r="5" spans="1:15" ht="15.6" x14ac:dyDescent="0.3">
      <c r="C5" t="str">
        <f>+'Elementos de la operación'!B3</f>
        <v>Habilitado de avíos</v>
      </c>
      <c r="E5" s="27"/>
      <c r="F5" t="s">
        <v>101</v>
      </c>
      <c r="G5" s="27"/>
      <c r="H5" s="27"/>
    </row>
    <row r="6" spans="1:15" ht="15.6" x14ac:dyDescent="0.3">
      <c r="E6" s="27"/>
      <c r="F6" s="28"/>
      <c r="G6" s="27"/>
      <c r="H6" s="27"/>
    </row>
    <row r="7" spans="1:15" ht="15.6" x14ac:dyDescent="0.3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1:15" ht="15.6" x14ac:dyDescent="0.3">
      <c r="B8" s="52"/>
      <c r="C8" s="140" t="s">
        <v>28</v>
      </c>
      <c r="D8" s="141" t="s">
        <v>40</v>
      </c>
      <c r="E8" s="142" t="s">
        <v>102</v>
      </c>
      <c r="F8" s="141" t="s">
        <v>33</v>
      </c>
      <c r="G8" s="141" t="s">
        <v>34</v>
      </c>
      <c r="H8" s="143" t="s">
        <v>35</v>
      </c>
      <c r="I8" s="121" t="s">
        <v>36</v>
      </c>
      <c r="J8" s="121" t="s">
        <v>37</v>
      </c>
      <c r="K8" s="141" t="s">
        <v>38</v>
      </c>
      <c r="L8" s="141" t="s">
        <v>39</v>
      </c>
      <c r="M8" s="144" t="s">
        <v>42</v>
      </c>
      <c r="N8" s="52"/>
      <c r="O8" s="52"/>
    </row>
    <row r="9" spans="1:15" ht="15.6" x14ac:dyDescent="0.3">
      <c r="B9" s="52"/>
      <c r="C9" s="145"/>
      <c r="D9" s="146"/>
      <c r="E9" s="147"/>
      <c r="F9" s="146"/>
      <c r="G9" s="146"/>
      <c r="H9" s="148" t="str">
        <f>+CONCATENATE("POR ",UPPER(C5))</f>
        <v>POR HABILITADO DE AVÍOS</v>
      </c>
      <c r="I9" s="148"/>
      <c r="J9" s="148"/>
      <c r="K9" s="146"/>
      <c r="L9" s="146"/>
      <c r="M9" s="149"/>
      <c r="N9" s="52"/>
      <c r="O9" s="52"/>
    </row>
    <row r="10" spans="1:15" ht="28.95" customHeight="1" x14ac:dyDescent="0.3">
      <c r="B10" s="52"/>
      <c r="C10" s="94" t="str">
        <f>+'Elementos de la operación'!D3</f>
        <v>Revisa orden de produccion</v>
      </c>
      <c r="D10" s="129" t="s">
        <v>36</v>
      </c>
      <c r="E10" s="125">
        <f ca="1">+MAI!E29</f>
        <v>25327</v>
      </c>
      <c r="F10" s="131">
        <f>+Suplementos!R8</f>
        <v>1.2</v>
      </c>
      <c r="G10" s="129">
        <f t="shared" ref="G10:G12" ca="1" si="0">E10*F10</f>
        <v>30392.399999999998</v>
      </c>
      <c r="H10" s="133">
        <v>6.2500000000000003E-3</v>
      </c>
      <c r="I10" s="136">
        <f t="shared" ref="I10:I12" ca="1" si="1">+IFERROR(IF(VLOOKUP("tmp",D10,1)="tmp",G10,"")*H10,"")</f>
        <v>189.95249999999999</v>
      </c>
      <c r="J10" s="136" t="str">
        <f t="shared" ref="J10:J12" si="2">+IFERROR(IF(VLOOKUP("ttm",D10,1)="ttm",G10,"")*H10,"")</f>
        <v/>
      </c>
      <c r="K10" s="137">
        <f t="shared" ref="K10:K12" ca="1" si="3">+SUM(I10:J10)</f>
        <v>189.95249999999999</v>
      </c>
      <c r="L10" s="137">
        <f t="shared" ref="L10:L12" ca="1" si="4">K10*0.75</f>
        <v>142.46437499999999</v>
      </c>
      <c r="M10" s="126">
        <f t="shared" ref="M10:M12" ca="1" si="5">K10*0.8</f>
        <v>151.96199999999999</v>
      </c>
      <c r="N10" s="52"/>
      <c r="O10" s="52"/>
    </row>
    <row r="11" spans="1:15" ht="28.95" customHeight="1" x14ac:dyDescent="0.3">
      <c r="A11" s="29" t="s">
        <v>135</v>
      </c>
      <c r="B11" s="90"/>
      <c r="C11" s="94" t="str">
        <f>+'Elementos de la operación'!D4</f>
        <v xml:space="preserve">Habilita avios </v>
      </c>
      <c r="D11" s="129" t="s">
        <v>36</v>
      </c>
      <c r="E11" s="125">
        <v>148743</v>
      </c>
      <c r="F11" s="131">
        <f>+Suplementos!R9</f>
        <v>1.2</v>
      </c>
      <c r="G11" s="129">
        <f t="shared" si="0"/>
        <v>178491.6</v>
      </c>
      <c r="H11" s="134">
        <v>6.2500000000000003E-3</v>
      </c>
      <c r="I11" s="137">
        <f t="shared" si="1"/>
        <v>1115.5725</v>
      </c>
      <c r="J11" s="137" t="str">
        <f t="shared" si="2"/>
        <v/>
      </c>
      <c r="K11" s="137">
        <f t="shared" si="3"/>
        <v>1115.5725</v>
      </c>
      <c r="L11" s="137">
        <f t="shared" si="4"/>
        <v>836.67937499999994</v>
      </c>
      <c r="M11" s="126">
        <f t="shared" si="5"/>
        <v>892.45800000000008</v>
      </c>
      <c r="N11" s="52"/>
      <c r="O11" s="52"/>
    </row>
    <row r="12" spans="1:15" ht="28.95" customHeight="1" x14ac:dyDescent="0.3">
      <c r="B12" s="52"/>
      <c r="C12" s="94" t="str">
        <f>+'Elementos de la operación'!D5</f>
        <v>Entrega avios</v>
      </c>
      <c r="D12" s="130" t="s">
        <v>36</v>
      </c>
      <c r="E12" s="125">
        <f ca="1">+MAI!E63</f>
        <v>24963</v>
      </c>
      <c r="F12" s="132">
        <f>+Suplementos!R10</f>
        <v>1.2</v>
      </c>
      <c r="G12" s="130">
        <f t="shared" ca="1" si="0"/>
        <v>29955.599999999999</v>
      </c>
      <c r="H12" s="135">
        <v>6.2500000000000003E-3</v>
      </c>
      <c r="I12" s="137">
        <f t="shared" ca="1" si="1"/>
        <v>187.2225</v>
      </c>
      <c r="J12" s="137" t="str">
        <f t="shared" si="2"/>
        <v/>
      </c>
      <c r="K12" s="137">
        <f t="shared" ca="1" si="3"/>
        <v>187.2225</v>
      </c>
      <c r="L12" s="137">
        <f t="shared" ca="1" si="4"/>
        <v>140.416875</v>
      </c>
      <c r="M12" s="126">
        <f t="shared" ca="1" si="5"/>
        <v>149.77799999999999</v>
      </c>
      <c r="N12" s="52"/>
      <c r="O12" s="52"/>
    </row>
    <row r="13" spans="1:15" ht="15.6" customHeight="1" x14ac:dyDescent="0.3">
      <c r="B13" s="52"/>
      <c r="C13" s="127" t="s">
        <v>103</v>
      </c>
      <c r="D13" s="124"/>
      <c r="E13" s="124"/>
      <c r="F13" s="124"/>
      <c r="G13" s="124"/>
      <c r="H13" s="124"/>
      <c r="I13" s="136">
        <f ca="1">SUM(I10:I12)</f>
        <v>1492.7475000000002</v>
      </c>
      <c r="J13" s="136">
        <f>SUM(J10:J12)</f>
        <v>0</v>
      </c>
      <c r="K13" s="136">
        <f ca="1">SUM(K10:K12)</f>
        <v>1492.7475000000002</v>
      </c>
      <c r="L13" s="136"/>
      <c r="M13" s="128"/>
      <c r="N13" s="52"/>
      <c r="O13" s="52"/>
    </row>
    <row r="14" spans="1:15" ht="15.6" customHeight="1" x14ac:dyDescent="0.3">
      <c r="B14" s="52"/>
      <c r="C14" s="127" t="s">
        <v>104</v>
      </c>
      <c r="D14" s="124"/>
      <c r="E14" s="124"/>
      <c r="F14" s="124"/>
      <c r="G14" s="124"/>
      <c r="H14" s="124"/>
      <c r="I14" s="136">
        <f ca="1">I13*0.75</f>
        <v>1119.5606250000001</v>
      </c>
      <c r="J14" s="136">
        <f>J13*0.75</f>
        <v>0</v>
      </c>
      <c r="K14" s="136"/>
      <c r="L14" s="136">
        <f ca="1">SUM(L10:L12)</f>
        <v>1119.5606250000001</v>
      </c>
      <c r="M14" s="128"/>
      <c r="N14" s="52"/>
      <c r="O14" s="52"/>
    </row>
    <row r="15" spans="1:15" ht="15.6" customHeight="1" x14ac:dyDescent="0.3">
      <c r="B15" s="52"/>
      <c r="C15" s="127" t="s">
        <v>41</v>
      </c>
      <c r="D15" s="124"/>
      <c r="E15" s="124"/>
      <c r="F15" s="124"/>
      <c r="G15" s="124"/>
      <c r="H15" s="124"/>
      <c r="I15" s="138">
        <f ca="1">I13*0.8</f>
        <v>1194.1980000000001</v>
      </c>
      <c r="J15" s="138">
        <f>J13*0.8</f>
        <v>0</v>
      </c>
      <c r="K15" s="138"/>
      <c r="L15" s="138"/>
      <c r="M15" s="139">
        <f ca="1">SUM(I15:J15)</f>
        <v>1194.1980000000001</v>
      </c>
      <c r="N15" s="52"/>
      <c r="O15" s="52"/>
    </row>
    <row r="16" spans="1:15" ht="14.4" customHeight="1" x14ac:dyDescent="0.3">
      <c r="B16" s="52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52"/>
      <c r="O16" s="52"/>
    </row>
    <row r="17" spans="2:15" ht="14.4" customHeight="1" x14ac:dyDescent="0.3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</row>
    <row r="18" spans="2:15" ht="15.6" x14ac:dyDescent="0.3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</row>
    <row r="19" spans="2:15" ht="15.6" x14ac:dyDescent="0.3">
      <c r="B19" s="52"/>
      <c r="C19" s="52"/>
      <c r="D19" s="52"/>
      <c r="E19" s="52"/>
      <c r="F19" s="140" t="s">
        <v>43</v>
      </c>
      <c r="G19" s="153" t="s">
        <v>45</v>
      </c>
      <c r="H19" s="150">
        <f ca="1">SUM(I13:J13)</f>
        <v>1492.7475000000002</v>
      </c>
      <c r="I19" s="52"/>
      <c r="J19" s="52"/>
      <c r="K19" s="52"/>
      <c r="L19" s="52"/>
      <c r="M19" s="52"/>
      <c r="N19" s="52"/>
      <c r="O19" s="52"/>
    </row>
    <row r="20" spans="2:15" ht="15.6" x14ac:dyDescent="0.3">
      <c r="B20" s="52"/>
      <c r="C20" s="52"/>
      <c r="D20" s="52"/>
      <c r="E20" s="52"/>
      <c r="F20" s="154"/>
      <c r="G20" s="86" t="s">
        <v>46</v>
      </c>
      <c r="H20" s="151">
        <f ca="1">SUM(I14:J14)</f>
        <v>1119.5606250000001</v>
      </c>
      <c r="I20" s="52"/>
      <c r="J20" s="52"/>
      <c r="K20" s="52"/>
      <c r="L20" s="52"/>
      <c r="M20" s="52"/>
      <c r="N20" s="52"/>
      <c r="O20" s="52"/>
    </row>
    <row r="21" spans="2:15" ht="15.6" x14ac:dyDescent="0.3">
      <c r="B21" s="52"/>
      <c r="C21" s="52"/>
      <c r="D21" s="52"/>
      <c r="E21" s="52"/>
      <c r="F21" s="145"/>
      <c r="G21" s="87" t="s">
        <v>29</v>
      </c>
      <c r="H21" s="152">
        <f ca="1">SUM(I15:J15)</f>
        <v>1194.1980000000001</v>
      </c>
      <c r="I21" s="52"/>
      <c r="J21" s="52"/>
      <c r="K21" s="52"/>
      <c r="L21" s="52"/>
      <c r="M21" s="52"/>
      <c r="N21" s="52"/>
      <c r="O21" s="52"/>
    </row>
    <row r="22" spans="2:15" ht="15.6" x14ac:dyDescent="0.3">
      <c r="B22" s="52"/>
      <c r="C22" s="52"/>
      <c r="D22" s="52"/>
      <c r="E22" s="52"/>
      <c r="F22" s="140" t="s">
        <v>44</v>
      </c>
      <c r="G22" s="153" t="s">
        <v>45</v>
      </c>
      <c r="H22" s="150">
        <f>J13</f>
        <v>0</v>
      </c>
      <c r="I22" s="52"/>
      <c r="J22" s="52"/>
      <c r="K22" s="52"/>
      <c r="L22" s="52"/>
      <c r="M22" s="52"/>
      <c r="N22" s="52"/>
      <c r="O22" s="52"/>
    </row>
    <row r="23" spans="2:15" ht="15.6" x14ac:dyDescent="0.3">
      <c r="B23" s="52"/>
      <c r="C23" s="52"/>
      <c r="D23" s="52"/>
      <c r="E23" s="52"/>
      <c r="F23" s="154"/>
      <c r="G23" s="86" t="s">
        <v>46</v>
      </c>
      <c r="H23" s="151">
        <f>J14</f>
        <v>0</v>
      </c>
      <c r="I23" s="52"/>
      <c r="J23" s="52"/>
      <c r="K23" s="52"/>
      <c r="L23" s="52"/>
      <c r="M23" s="52"/>
      <c r="N23" s="52"/>
      <c r="O23" s="52"/>
    </row>
    <row r="24" spans="2:15" ht="15.6" x14ac:dyDescent="0.3">
      <c r="B24" s="52"/>
      <c r="C24" s="52"/>
      <c r="D24" s="52"/>
      <c r="E24" s="52"/>
      <c r="F24" s="145"/>
      <c r="G24" s="87" t="s">
        <v>29</v>
      </c>
      <c r="H24" s="152">
        <f>J15</f>
        <v>0</v>
      </c>
      <c r="I24" s="52"/>
      <c r="J24" s="52"/>
      <c r="K24" s="52"/>
      <c r="L24" s="52"/>
      <c r="M24" s="52"/>
      <c r="N24" s="52"/>
      <c r="O24" s="52"/>
    </row>
    <row r="25" spans="2:15" ht="15.6" x14ac:dyDescent="0.3">
      <c r="B25" s="52"/>
      <c r="C25" s="52"/>
      <c r="D25" s="52"/>
      <c r="E25" s="52"/>
      <c r="F25" s="154" t="s">
        <v>105</v>
      </c>
      <c r="G25" s="86" t="s">
        <v>45</v>
      </c>
      <c r="H25" s="151">
        <f ca="1">SUM(I13:J13)</f>
        <v>1492.7475000000002</v>
      </c>
      <c r="I25" s="52"/>
      <c r="J25" s="52"/>
      <c r="K25" s="52"/>
      <c r="L25" s="52"/>
      <c r="M25" s="52"/>
      <c r="N25" s="52"/>
      <c r="O25" s="52"/>
    </row>
    <row r="26" spans="2:15" ht="15.6" x14ac:dyDescent="0.3">
      <c r="B26" s="52"/>
      <c r="C26" s="52"/>
      <c r="D26" s="52"/>
      <c r="E26" s="52"/>
      <c r="F26" s="154"/>
      <c r="G26" s="86" t="s">
        <v>46</v>
      </c>
      <c r="H26" s="151">
        <f ca="1">SUM(I14:J14)</f>
        <v>1119.5606250000001</v>
      </c>
      <c r="I26" s="52"/>
      <c r="J26" s="52"/>
      <c r="K26" s="52"/>
      <c r="L26" s="52"/>
      <c r="M26" s="52"/>
      <c r="N26" s="52"/>
      <c r="O26" s="52"/>
    </row>
    <row r="27" spans="2:15" ht="15.6" x14ac:dyDescent="0.3">
      <c r="B27" s="52"/>
      <c r="C27" s="52"/>
      <c r="D27" s="52"/>
      <c r="E27" s="52"/>
      <c r="F27" s="145"/>
      <c r="G27" s="87" t="s">
        <v>29</v>
      </c>
      <c r="H27" s="152">
        <f ca="1">SUM(I15:J15)</f>
        <v>1194.1980000000001</v>
      </c>
      <c r="I27" s="52"/>
      <c r="J27" s="52"/>
      <c r="K27" s="52"/>
      <c r="L27" s="52"/>
      <c r="M27" s="52"/>
      <c r="N27" s="52"/>
      <c r="O27" s="52"/>
    </row>
    <row r="28" spans="2:15" ht="15.6" x14ac:dyDescent="0.3"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2:15" ht="15.6" x14ac:dyDescent="0.3"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</row>
    <row r="30" spans="2:15" ht="15.6" x14ac:dyDescent="0.3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</row>
    <row r="31" spans="2:15" ht="15.6" x14ac:dyDescent="0.3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2" spans="2:15" ht="15.6" x14ac:dyDescent="0.3">
      <c r="B32" s="52"/>
      <c r="C32" s="52"/>
      <c r="D32" s="52"/>
      <c r="E32" s="140" t="s">
        <v>146</v>
      </c>
      <c r="F32" s="141" t="s">
        <v>47</v>
      </c>
      <c r="G32" s="141" t="s">
        <v>48</v>
      </c>
      <c r="H32" s="144" t="s">
        <v>145</v>
      </c>
      <c r="I32" s="52"/>
      <c r="J32" s="52"/>
      <c r="K32" s="52"/>
      <c r="L32" s="52"/>
      <c r="M32" s="52"/>
      <c r="N32" s="52"/>
      <c r="O32" s="52"/>
    </row>
    <row r="33" spans="2:15" ht="15.6" x14ac:dyDescent="0.3">
      <c r="B33" s="52"/>
      <c r="C33" s="52"/>
      <c r="D33" s="52"/>
      <c r="E33" s="145"/>
      <c r="F33" s="146"/>
      <c r="G33" s="146"/>
      <c r="H33" s="149"/>
      <c r="I33" s="52"/>
      <c r="J33" s="52"/>
      <c r="K33" s="52"/>
      <c r="L33" s="52"/>
      <c r="M33" s="52"/>
      <c r="N33" s="52"/>
      <c r="O33" s="52"/>
    </row>
    <row r="34" spans="2:15" ht="16.95" customHeight="1" x14ac:dyDescent="0.3">
      <c r="B34" s="52"/>
      <c r="C34" s="52"/>
      <c r="D34" s="52"/>
      <c r="E34" s="155" t="s">
        <v>49</v>
      </c>
      <c r="F34" s="159">
        <f ca="1">360000/H25</f>
        <v>241.16603779272782</v>
      </c>
      <c r="G34" s="159">
        <f ca="1">360000/H26</f>
        <v>321.55471705697045</v>
      </c>
      <c r="H34" s="156">
        <f ca="1">360000/H27</f>
        <v>301.45754724090978</v>
      </c>
      <c r="I34" s="52"/>
      <c r="J34" s="52"/>
      <c r="K34" s="52"/>
      <c r="L34" s="52"/>
      <c r="M34" s="52"/>
      <c r="N34" s="52"/>
      <c r="O34" s="52"/>
    </row>
    <row r="35" spans="2:15" ht="16.95" customHeight="1" x14ac:dyDescent="0.3">
      <c r="B35" s="52"/>
      <c r="C35" s="52"/>
      <c r="D35" s="52"/>
      <c r="E35" s="155"/>
      <c r="F35" s="159"/>
      <c r="G35" s="159"/>
      <c r="H35" s="156"/>
      <c r="I35" s="52"/>
      <c r="J35" s="52"/>
      <c r="K35" s="52"/>
      <c r="L35" s="52"/>
      <c r="M35" s="52"/>
      <c r="N35" s="52"/>
      <c r="O35" s="52"/>
    </row>
    <row r="36" spans="2:15" ht="16.95" customHeight="1" x14ac:dyDescent="0.3">
      <c r="B36" s="52"/>
      <c r="C36" s="52"/>
      <c r="D36" s="52"/>
      <c r="E36" s="155" t="s">
        <v>50</v>
      </c>
      <c r="F36" s="159">
        <f ca="1">((H19*100)/H25)</f>
        <v>100.00000000000001</v>
      </c>
      <c r="G36" s="159">
        <f ca="1">((H20*100)/H26)</f>
        <v>100</v>
      </c>
      <c r="H36" s="156">
        <f ca="1">((H21*100)/H27)</f>
        <v>100</v>
      </c>
      <c r="I36" s="52"/>
      <c r="J36" s="52"/>
      <c r="K36" s="52"/>
      <c r="L36" s="52"/>
      <c r="M36" s="52"/>
      <c r="N36" s="52"/>
      <c r="O36" s="52"/>
    </row>
    <row r="37" spans="2:15" ht="16.95" customHeight="1" x14ac:dyDescent="0.3">
      <c r="B37" s="52"/>
      <c r="C37" s="52"/>
      <c r="D37" s="52"/>
      <c r="E37" s="155"/>
      <c r="F37" s="159"/>
      <c r="G37" s="159"/>
      <c r="H37" s="156"/>
      <c r="I37" s="52"/>
      <c r="J37" s="52"/>
      <c r="K37" s="52"/>
      <c r="L37" s="52"/>
      <c r="M37" s="52"/>
      <c r="N37" s="52"/>
      <c r="O37" s="52"/>
    </row>
    <row r="38" spans="2:15" ht="16.95" customHeight="1" x14ac:dyDescent="0.3">
      <c r="B38" s="52"/>
      <c r="C38" s="52"/>
      <c r="D38" s="52"/>
      <c r="E38" s="155" t="s">
        <v>51</v>
      </c>
      <c r="F38" s="159">
        <f ca="1">100/F36</f>
        <v>0.99999999999999989</v>
      </c>
      <c r="G38" s="159">
        <f ca="1">100/G36</f>
        <v>1</v>
      </c>
      <c r="H38" s="156">
        <f ca="1">100/H36</f>
        <v>1</v>
      </c>
      <c r="I38" s="52"/>
      <c r="J38" s="52"/>
      <c r="K38" s="52"/>
      <c r="L38" s="52"/>
      <c r="M38" s="52"/>
      <c r="N38" s="52"/>
      <c r="O38" s="52"/>
    </row>
    <row r="39" spans="2:15" ht="16.95" customHeight="1" x14ac:dyDescent="0.3">
      <c r="B39" s="52"/>
      <c r="C39" s="52"/>
      <c r="D39" s="52"/>
      <c r="E39" s="155"/>
      <c r="F39" s="159"/>
      <c r="G39" s="159"/>
      <c r="H39" s="156"/>
      <c r="I39" s="52"/>
      <c r="J39" s="52"/>
      <c r="K39" s="52"/>
      <c r="L39" s="52"/>
      <c r="M39" s="52"/>
      <c r="N39" s="52"/>
      <c r="O39" s="52"/>
    </row>
    <row r="40" spans="2:15" ht="16.95" customHeight="1" x14ac:dyDescent="0.3">
      <c r="B40" s="52"/>
      <c r="C40" s="52"/>
      <c r="D40" s="52"/>
      <c r="E40" s="155" t="s">
        <v>52</v>
      </c>
      <c r="F40" s="159" t="str">
        <f ca="1">IF((H22*100)/H25,0,"-")</f>
        <v>-</v>
      </c>
      <c r="G40" s="159" t="str">
        <f ca="1">IF((H23*100)/H26,0,"-")</f>
        <v>-</v>
      </c>
      <c r="H40" s="156" t="str">
        <f ca="1">IF((H24*100)/H27,0,"-")</f>
        <v>-</v>
      </c>
      <c r="I40" s="52"/>
      <c r="J40" s="52"/>
      <c r="K40" s="52"/>
      <c r="L40" s="52"/>
      <c r="M40" s="52"/>
      <c r="N40" s="52"/>
      <c r="O40" s="52"/>
    </row>
    <row r="41" spans="2:15" ht="16.95" customHeight="1" x14ac:dyDescent="0.3">
      <c r="B41" s="52"/>
      <c r="C41" s="52"/>
      <c r="D41" s="52"/>
      <c r="E41" s="155"/>
      <c r="F41" s="159"/>
      <c r="G41" s="159"/>
      <c r="H41" s="156"/>
      <c r="I41" s="52"/>
      <c r="J41" s="52"/>
      <c r="K41" s="52"/>
      <c r="L41" s="52"/>
      <c r="M41" s="52"/>
      <c r="N41" s="52"/>
      <c r="O41" s="52"/>
    </row>
    <row r="42" spans="2:15" ht="16.95" customHeight="1" x14ac:dyDescent="0.3">
      <c r="B42" s="52"/>
      <c r="C42" s="52"/>
      <c r="D42" s="52"/>
      <c r="E42" s="155" t="s">
        <v>54</v>
      </c>
      <c r="F42" s="159" t="s">
        <v>53</v>
      </c>
      <c r="G42" s="159" t="str">
        <f>IFERROR(360000/H23,"-")</f>
        <v>-</v>
      </c>
      <c r="H42" s="156" t="s">
        <v>53</v>
      </c>
      <c r="I42" s="52"/>
      <c r="J42" s="52"/>
      <c r="K42" s="52"/>
      <c r="L42" s="52" t="s">
        <v>147</v>
      </c>
      <c r="M42" s="52"/>
      <c r="N42" s="52"/>
      <c r="O42" s="52"/>
    </row>
    <row r="43" spans="2:15" ht="16.95" customHeight="1" x14ac:dyDescent="0.3">
      <c r="B43" s="52"/>
      <c r="C43" s="52"/>
      <c r="D43" s="52"/>
      <c r="E43" s="155"/>
      <c r="F43" s="159"/>
      <c r="G43" s="159"/>
      <c r="H43" s="156"/>
      <c r="I43" s="52"/>
      <c r="J43" s="52"/>
      <c r="K43" s="52"/>
      <c r="L43" s="52"/>
      <c r="M43" s="52"/>
      <c r="N43" s="52"/>
      <c r="O43" s="52"/>
    </row>
    <row r="44" spans="2:15" ht="16.95" customHeight="1" x14ac:dyDescent="0.3">
      <c r="B44" s="52"/>
      <c r="C44" s="52"/>
      <c r="D44" s="52"/>
      <c r="E44" s="155" t="s">
        <v>57</v>
      </c>
      <c r="F44" s="159" t="s">
        <v>53</v>
      </c>
      <c r="G44" s="159">
        <f ca="1">(12*H26*100)/'Error de vuelta a 0'!L9</f>
        <v>1.2503748408496951</v>
      </c>
      <c r="H44" s="156" t="s">
        <v>53</v>
      </c>
      <c r="I44" s="52"/>
      <c r="J44" s="52"/>
      <c r="K44" s="52"/>
      <c r="L44" s="52"/>
      <c r="M44" s="52"/>
      <c r="N44" s="52"/>
      <c r="O44" s="52"/>
    </row>
    <row r="45" spans="2:15" ht="16.95" customHeight="1" x14ac:dyDescent="0.3">
      <c r="B45" s="52"/>
      <c r="C45" s="52"/>
      <c r="D45" s="52"/>
      <c r="E45" s="155"/>
      <c r="F45" s="159"/>
      <c r="G45" s="159"/>
      <c r="H45" s="156"/>
      <c r="I45" s="52"/>
      <c r="J45" s="52"/>
      <c r="K45" s="52"/>
      <c r="L45" s="52"/>
      <c r="M45" s="52"/>
      <c r="N45" s="52"/>
      <c r="O45" s="52"/>
    </row>
    <row r="46" spans="2:15" ht="16.95" customHeight="1" x14ac:dyDescent="0.3">
      <c r="B46" s="52"/>
      <c r="C46" s="52"/>
      <c r="D46" s="52"/>
      <c r="E46" s="155" t="s">
        <v>56</v>
      </c>
      <c r="F46" s="159" t="s">
        <v>53</v>
      </c>
      <c r="G46" s="159">
        <f ca="1">(12*H26*100)/'Error de vuelta a 0'!L8</f>
        <v>1.2503748408496951</v>
      </c>
      <c r="H46" s="156" t="s">
        <v>53</v>
      </c>
      <c r="I46" s="52"/>
      <c r="J46" s="52"/>
      <c r="K46" s="52"/>
      <c r="L46" s="52"/>
      <c r="M46" s="52"/>
      <c r="N46" s="52"/>
      <c r="O46" s="52"/>
    </row>
    <row r="47" spans="2:15" ht="16.95" customHeight="1" x14ac:dyDescent="0.3">
      <c r="B47" s="52"/>
      <c r="C47" s="52"/>
      <c r="D47" s="52"/>
      <c r="E47" s="155"/>
      <c r="F47" s="159"/>
      <c r="G47" s="159"/>
      <c r="H47" s="156"/>
      <c r="I47" s="52"/>
      <c r="J47" s="52"/>
      <c r="K47" s="52"/>
      <c r="L47" s="52"/>
      <c r="M47" s="52"/>
      <c r="N47" s="52"/>
      <c r="O47" s="52"/>
    </row>
    <row r="48" spans="2:15" ht="16.95" customHeight="1" x14ac:dyDescent="0.3">
      <c r="B48" s="52"/>
      <c r="C48" s="52"/>
      <c r="D48" s="52"/>
      <c r="E48" s="155" t="s">
        <v>55</v>
      </c>
      <c r="F48" s="159" t="s">
        <v>53</v>
      </c>
      <c r="G48" s="159">
        <f ca="1">(F34*100)/G34</f>
        <v>74.999999999999986</v>
      </c>
      <c r="H48" s="156" t="s">
        <v>53</v>
      </c>
      <c r="I48" s="52"/>
      <c r="J48" s="52"/>
      <c r="K48" s="52"/>
      <c r="L48" s="52"/>
      <c r="M48" s="52"/>
      <c r="N48" s="52"/>
      <c r="O48" s="52"/>
    </row>
    <row r="49" spans="2:15" ht="16.95" customHeight="1" x14ac:dyDescent="0.3">
      <c r="B49" s="52"/>
      <c r="C49" s="52"/>
      <c r="D49" s="52"/>
      <c r="E49" s="157"/>
      <c r="F49" s="160"/>
      <c r="G49" s="160"/>
      <c r="H49" s="158"/>
      <c r="I49" s="52"/>
      <c r="J49" s="52"/>
      <c r="K49" s="52"/>
      <c r="L49" s="52"/>
      <c r="M49" s="52"/>
      <c r="N49" s="52"/>
      <c r="O49" s="52"/>
    </row>
    <row r="50" spans="2:15" ht="15.6" x14ac:dyDescent="0.3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2:15" ht="15.6" x14ac:dyDescent="0.3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</row>
    <row r="52" spans="2:15" ht="15.6" x14ac:dyDescent="0.3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2:15" ht="15.6" x14ac:dyDescent="0.3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2:15" ht="15.6" x14ac:dyDescent="0.3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</row>
    <row r="55" spans="2:15" ht="15.6" x14ac:dyDescent="0.3"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2:15" ht="15.6" x14ac:dyDescent="0.3"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</row>
    <row r="57" spans="2:15" ht="15.6" x14ac:dyDescent="0.3"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</row>
    <row r="58" spans="2:15" ht="15.6" x14ac:dyDescent="0.3"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</row>
    <row r="59" spans="2:15" ht="15.6" x14ac:dyDescent="0.3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</row>
    <row r="60" spans="2:15" ht="15.6" x14ac:dyDescent="0.3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</row>
    <row r="61" spans="2:15" ht="15.6" x14ac:dyDescent="0.3"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2:15" ht="15.6" x14ac:dyDescent="0.3"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2:15" ht="15.6" x14ac:dyDescent="0.3"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2:15" ht="15.6" x14ac:dyDescent="0.3"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2:15" ht="15.6" x14ac:dyDescent="0.3"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2:15" ht="15.6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</row>
    <row r="67" spans="2:15" ht="15.6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</row>
    <row r="68" spans="2:15" ht="15.6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</row>
    <row r="69" spans="2:15" ht="15.6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</row>
    <row r="70" spans="2:15" ht="15.6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</row>
    <row r="71" spans="2:15" ht="15.6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2:15" ht="15.6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2:15" ht="15.6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2:15" ht="15.6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</row>
    <row r="75" spans="2:15" ht="15.6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</row>
    <row r="76" spans="2:15" ht="15.6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</row>
    <row r="77" spans="2:15" ht="15.6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</row>
    <row r="78" spans="2:15" ht="15.6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</row>
    <row r="79" spans="2:15" ht="15.6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</row>
    <row r="80" spans="2:15" ht="15.6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</row>
    <row r="81" spans="2:15" ht="15.6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</row>
    <row r="82" spans="2:15" ht="15.6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</row>
    <row r="83" spans="2:15" ht="15.6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</row>
    <row r="84" spans="2:15" ht="15.6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</row>
    <row r="85" spans="2:15" ht="15.6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</row>
    <row r="86" spans="2:15" ht="15.6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2:15" ht="15.6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2:15" ht="15.6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</row>
    <row r="89" spans="2:15" ht="15.6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</row>
    <row r="90" spans="2:15" ht="15.6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</row>
    <row r="91" spans="2:15" ht="15.6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</row>
  </sheetData>
  <mergeCells count="52">
    <mergeCell ref="E48:E49"/>
    <mergeCell ref="F48:F49"/>
    <mergeCell ref="G48:G49"/>
    <mergeCell ref="H48:H49"/>
    <mergeCell ref="E44:E45"/>
    <mergeCell ref="F44:F45"/>
    <mergeCell ref="G44:G45"/>
    <mergeCell ref="H44:H45"/>
    <mergeCell ref="E46:E47"/>
    <mergeCell ref="F46:F47"/>
    <mergeCell ref="G46:G47"/>
    <mergeCell ref="H46:H47"/>
    <mergeCell ref="E40:E41"/>
    <mergeCell ref="F40:F41"/>
    <mergeCell ref="G40:G41"/>
    <mergeCell ref="H40:H41"/>
    <mergeCell ref="E42:E43"/>
    <mergeCell ref="F42:F43"/>
    <mergeCell ref="G42:G43"/>
    <mergeCell ref="H42:H43"/>
    <mergeCell ref="E36:E37"/>
    <mergeCell ref="F36:F37"/>
    <mergeCell ref="G36:G37"/>
    <mergeCell ref="H36:H37"/>
    <mergeCell ref="E38:E39"/>
    <mergeCell ref="F38:F39"/>
    <mergeCell ref="G38:G39"/>
    <mergeCell ref="H38:H39"/>
    <mergeCell ref="E32:E33"/>
    <mergeCell ref="F32:F33"/>
    <mergeCell ref="G32:G33"/>
    <mergeCell ref="H32:H33"/>
    <mergeCell ref="E34:E35"/>
    <mergeCell ref="F34:F35"/>
    <mergeCell ref="G34:G35"/>
    <mergeCell ref="H34:H35"/>
    <mergeCell ref="C15:H15"/>
    <mergeCell ref="F19:F21"/>
    <mergeCell ref="F22:F24"/>
    <mergeCell ref="F25:F27"/>
    <mergeCell ref="C14:H14"/>
    <mergeCell ref="C13:H13"/>
    <mergeCell ref="K8:K9"/>
    <mergeCell ref="L8:L9"/>
    <mergeCell ref="M8:M9"/>
    <mergeCell ref="H4:J4"/>
    <mergeCell ref="C8:C9"/>
    <mergeCell ref="D8:D9"/>
    <mergeCell ref="E8:E9"/>
    <mergeCell ref="F8:F9"/>
    <mergeCell ref="G8:G9"/>
    <mergeCell ref="H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2022-09-13T06:22:30Z</dcterms:modified>
</cp:coreProperties>
</file>