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80EAB3FC-6990-434D-ADED-005B4C6CB129}" xr6:coauthVersionLast="47" xr6:coauthVersionMax="47" xr10:uidLastSave="{00000000-0000-0000-0000-000000000000}"/>
  <bookViews>
    <workbookView xWindow="-108" yWindow="-108" windowWidth="23256" windowHeight="12456" firstSheet="3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0" l="1"/>
  <c r="F11" i="10"/>
  <c r="C21" i="6"/>
  <c r="C23" i="6" s="1"/>
  <c r="C25" i="6" s="1"/>
  <c r="C27" i="6" s="1"/>
  <c r="C29" i="6" s="1"/>
  <c r="C31" i="6" s="1"/>
  <c r="C33" i="6" s="1"/>
  <c r="C35" i="6" s="1"/>
  <c r="C37" i="6" s="1"/>
  <c r="C39" i="6" s="1"/>
  <c r="C41" i="6" s="1"/>
  <c r="C43" i="6" s="1"/>
  <c r="C45" i="6" s="1"/>
  <c r="C47" i="6" s="1"/>
  <c r="C49" i="6" s="1"/>
  <c r="C51" i="6" s="1"/>
  <c r="C53" i="6" s="1"/>
  <c r="C55" i="6" s="1"/>
  <c r="C57" i="6" s="1"/>
  <c r="C59" i="6" s="1"/>
  <c r="C22" i="6"/>
  <c r="C24" i="6" s="1"/>
  <c r="C26" i="6" s="1"/>
  <c r="C28" i="6" s="1"/>
  <c r="C30" i="6" s="1"/>
  <c r="C32" i="6" s="1"/>
  <c r="C34" i="6" s="1"/>
  <c r="C36" i="6" s="1"/>
  <c r="C38" i="6" s="1"/>
  <c r="C40" i="6" s="1"/>
  <c r="C42" i="6" s="1"/>
  <c r="C44" i="6" s="1"/>
  <c r="C46" i="6" s="1"/>
  <c r="C48" i="6" s="1"/>
  <c r="C50" i="6" s="1"/>
  <c r="C52" i="6" s="1"/>
  <c r="C54" i="6" s="1"/>
  <c r="C56" i="6" s="1"/>
  <c r="C58" i="6" s="1"/>
  <c r="C60" i="6" s="1"/>
  <c r="K4" i="6" l="1"/>
  <c r="N4" i="6"/>
  <c r="Q9" i="7"/>
  <c r="Q8" i="7"/>
  <c r="D9" i="7"/>
  <c r="D8" i="7"/>
  <c r="B5" i="12" l="1"/>
  <c r="G9" i="12" s="1"/>
  <c r="B11" i="12"/>
  <c r="B10" i="12"/>
  <c r="I10" i="12"/>
  <c r="F10" i="10" l="1"/>
  <c r="F9" i="10"/>
  <c r="K7" i="6" l="1"/>
  <c r="Q11" i="1" l="1"/>
  <c r="E45" i="8"/>
  <c r="E3" i="8"/>
  <c r="D2" i="14" l="1"/>
  <c r="D36" i="14"/>
  <c r="P2" i="2"/>
  <c r="G2" i="2"/>
  <c r="L4" i="1"/>
  <c r="Q9" i="1" s="1"/>
  <c r="L3" i="1"/>
  <c r="Q8" i="1" s="1"/>
  <c r="H16" i="6"/>
  <c r="K8" i="6" l="1"/>
  <c r="N8" i="6"/>
  <c r="M7" i="2" s="1"/>
  <c r="H17" i="6"/>
  <c r="N7" i="6"/>
  <c r="M6" i="2" s="1"/>
  <c r="B20" i="6"/>
  <c r="D5" i="1"/>
  <c r="E5" i="1"/>
  <c r="C5" i="1"/>
  <c r="K9" i="6" l="1"/>
  <c r="D8" i="2" s="1"/>
  <c r="N9" i="6"/>
  <c r="M8" i="2" s="1"/>
  <c r="B50" i="8"/>
  <c r="B40" i="14"/>
  <c r="B49" i="8"/>
  <c r="B39" i="14"/>
  <c r="H18" i="6"/>
  <c r="L10" i="6" s="1"/>
  <c r="Q5" i="1"/>
  <c r="L9" i="6"/>
  <c r="L7" i="6"/>
  <c r="E6" i="2" s="1"/>
  <c r="L8" i="6"/>
  <c r="O7" i="6"/>
  <c r="N6" i="2" s="1"/>
  <c r="D6" i="2"/>
  <c r="R9" i="7"/>
  <c r="E11" i="12" s="1"/>
  <c r="R8" i="7"/>
  <c r="E10" i="12" s="1"/>
  <c r="N10" i="6" l="1"/>
  <c r="M9" i="2" s="1"/>
  <c r="K10" i="6"/>
  <c r="D9" i="2" s="1"/>
  <c r="B51" i="8"/>
  <c r="B41" i="14"/>
  <c r="C49" i="8"/>
  <c r="C39" i="14"/>
  <c r="B9" i="8"/>
  <c r="B7" i="14"/>
  <c r="C7" i="8"/>
  <c r="C5" i="14"/>
  <c r="B7" i="8"/>
  <c r="B5" i="14"/>
  <c r="H19" i="6"/>
  <c r="E8" i="2"/>
  <c r="E7" i="2"/>
  <c r="O8" i="6"/>
  <c r="N11" i="6" l="1"/>
  <c r="M10" i="2" s="1"/>
  <c r="K11" i="6"/>
  <c r="D10" i="2" s="1"/>
  <c r="L11" i="6"/>
  <c r="E10" i="2" s="1"/>
  <c r="B52" i="8"/>
  <c r="B42" i="14"/>
  <c r="C9" i="8"/>
  <c r="C7" i="14"/>
  <c r="C8" i="8"/>
  <c r="C6" i="14"/>
  <c r="B10" i="8"/>
  <c r="B8" i="14"/>
  <c r="N7" i="2"/>
  <c r="H20" i="6"/>
  <c r="F8" i="2"/>
  <c r="E9" i="2"/>
  <c r="O9" i="6"/>
  <c r="E33" i="8"/>
  <c r="O6" i="2"/>
  <c r="F6" i="2"/>
  <c r="K12" i="6" l="1"/>
  <c r="D11" i="2" s="1"/>
  <c r="N12" i="6"/>
  <c r="M11" i="2" s="1"/>
  <c r="L12" i="6"/>
  <c r="C9" i="14"/>
  <c r="C8" i="14"/>
  <c r="D39" i="14"/>
  <c r="D5" i="14"/>
  <c r="B53" i="8"/>
  <c r="B43" i="14"/>
  <c r="C40" i="14"/>
  <c r="B11" i="8"/>
  <c r="B9" i="14"/>
  <c r="G8" i="2"/>
  <c r="D7" i="14"/>
  <c r="O7" i="2"/>
  <c r="C50" i="8"/>
  <c r="N8" i="2"/>
  <c r="H21" i="6"/>
  <c r="C11" i="8"/>
  <c r="F10" i="2"/>
  <c r="C10" i="8"/>
  <c r="F9" i="2"/>
  <c r="O10" i="6"/>
  <c r="P6" i="2"/>
  <c r="G6" i="2"/>
  <c r="K13" i="6" l="1"/>
  <c r="D12" i="2" s="1"/>
  <c r="N13" i="6"/>
  <c r="M12" i="2" s="1"/>
  <c r="L13" i="6"/>
  <c r="B10" i="14"/>
  <c r="B54" i="8"/>
  <c r="B44" i="14"/>
  <c r="C41" i="14"/>
  <c r="P7" i="2"/>
  <c r="D40" i="14"/>
  <c r="G9" i="2"/>
  <c r="D8" i="14"/>
  <c r="G10" i="2"/>
  <c r="D9" i="14"/>
  <c r="O8" i="2"/>
  <c r="C51" i="8"/>
  <c r="E11" i="2"/>
  <c r="N9" i="2"/>
  <c r="B12" i="8"/>
  <c r="H22" i="6"/>
  <c r="O11" i="6"/>
  <c r="G5" i="1"/>
  <c r="K14" i="6" l="1"/>
  <c r="D13" i="2" s="1"/>
  <c r="N14" i="6"/>
  <c r="M13" i="2" s="1"/>
  <c r="L14" i="6"/>
  <c r="C52" i="8"/>
  <c r="C42" i="14"/>
  <c r="B55" i="8"/>
  <c r="B45" i="14"/>
  <c r="P8" i="2"/>
  <c r="D41" i="14"/>
  <c r="C12" i="8"/>
  <c r="C10" i="14"/>
  <c r="B13" i="8"/>
  <c r="B11" i="14"/>
  <c r="F11" i="2"/>
  <c r="N10" i="2"/>
  <c r="E12" i="2"/>
  <c r="H23" i="6"/>
  <c r="O9" i="2"/>
  <c r="O12" i="6"/>
  <c r="N15" i="6" l="1"/>
  <c r="M14" i="2" s="1"/>
  <c r="K15" i="6"/>
  <c r="D14" i="2" s="1"/>
  <c r="L15" i="6"/>
  <c r="E14" i="2" s="1"/>
  <c r="B12" i="14"/>
  <c r="C53" i="8"/>
  <c r="C43" i="14"/>
  <c r="B56" i="8"/>
  <c r="B46" i="14"/>
  <c r="P9" i="2"/>
  <c r="D42" i="14"/>
  <c r="C11" i="14"/>
  <c r="G11" i="2"/>
  <c r="D10" i="14"/>
  <c r="O10" i="2"/>
  <c r="N11" i="2"/>
  <c r="E13" i="2"/>
  <c r="C13" i="8"/>
  <c r="F12" i="2"/>
  <c r="B14" i="8"/>
  <c r="H24" i="6"/>
  <c r="D7" i="2"/>
  <c r="O13" i="6"/>
  <c r="K16" i="6" l="1"/>
  <c r="D15" i="2" s="1"/>
  <c r="N16" i="6"/>
  <c r="M15" i="2" s="1"/>
  <c r="L16" i="6"/>
  <c r="E15" i="2" s="1"/>
  <c r="B6" i="14"/>
  <c r="B13" i="14"/>
  <c r="O11" i="2"/>
  <c r="C44" i="14"/>
  <c r="P10" i="2"/>
  <c r="D43" i="14"/>
  <c r="B57" i="8"/>
  <c r="B47" i="14"/>
  <c r="C15" i="8"/>
  <c r="C13" i="14"/>
  <c r="G12" i="2"/>
  <c r="D11" i="14"/>
  <c r="C14" i="8"/>
  <c r="C12" i="14"/>
  <c r="F13" i="2"/>
  <c r="N12" i="2"/>
  <c r="H25" i="6"/>
  <c r="B8" i="8"/>
  <c r="F7" i="2"/>
  <c r="B15" i="8"/>
  <c r="F14" i="2"/>
  <c r="C54" i="8"/>
  <c r="O14" i="6"/>
  <c r="K17" i="6" l="1"/>
  <c r="D16" i="2" s="1"/>
  <c r="N17" i="6"/>
  <c r="M16" i="2" s="1"/>
  <c r="L17" i="6"/>
  <c r="E16" i="2" s="1"/>
  <c r="B14" i="14"/>
  <c r="D6" i="14"/>
  <c r="P11" i="2"/>
  <c r="D44" i="14"/>
  <c r="B58" i="8"/>
  <c r="B48" i="14"/>
  <c r="C55" i="8"/>
  <c r="C45" i="14"/>
  <c r="G13" i="2"/>
  <c r="D12" i="14"/>
  <c r="G14" i="2"/>
  <c r="D13" i="14"/>
  <c r="C16" i="8"/>
  <c r="C14" i="14"/>
  <c r="G7" i="2"/>
  <c r="O12" i="2"/>
  <c r="B16" i="8"/>
  <c r="F15" i="2"/>
  <c r="H26" i="6"/>
  <c r="N13" i="2"/>
  <c r="O15" i="6"/>
  <c r="N18" i="6" l="1"/>
  <c r="M17" i="2" s="1"/>
  <c r="K18" i="6"/>
  <c r="D17" i="2" s="1"/>
  <c r="L18" i="6"/>
  <c r="B15" i="14"/>
  <c r="B59" i="8"/>
  <c r="B49" i="14"/>
  <c r="C46" i="14"/>
  <c r="P12" i="2"/>
  <c r="D45" i="14"/>
  <c r="G15" i="2"/>
  <c r="D14" i="14"/>
  <c r="C17" i="8"/>
  <c r="C15" i="14"/>
  <c r="N14" i="2"/>
  <c r="H27" i="6"/>
  <c r="B17" i="8"/>
  <c r="F16" i="2"/>
  <c r="O13" i="2"/>
  <c r="C56" i="8"/>
  <c r="O16" i="6"/>
  <c r="H28" i="6" l="1"/>
  <c r="N19" i="6"/>
  <c r="M18" i="2" s="1"/>
  <c r="K19" i="6"/>
  <c r="D18" i="2" s="1"/>
  <c r="L19" i="6"/>
  <c r="B16" i="14"/>
  <c r="D15" i="14"/>
  <c r="B60" i="8"/>
  <c r="B50" i="14"/>
  <c r="O14" i="2"/>
  <c r="C47" i="14"/>
  <c r="P13" i="2"/>
  <c r="D46" i="14"/>
  <c r="G16" i="2"/>
  <c r="E17" i="2"/>
  <c r="C57" i="8"/>
  <c r="N15" i="2"/>
  <c r="B18" i="8"/>
  <c r="O17" i="6"/>
  <c r="H29" i="6" l="1"/>
  <c r="K20" i="6"/>
  <c r="D19" i="2" s="1"/>
  <c r="N20" i="6"/>
  <c r="M19" i="2" s="1"/>
  <c r="L20" i="6"/>
  <c r="E19" i="2" s="1"/>
  <c r="D47" i="14"/>
  <c r="B17" i="14"/>
  <c r="P14" i="2"/>
  <c r="B61" i="8"/>
  <c r="B51" i="14"/>
  <c r="C58" i="8"/>
  <c r="C48" i="14"/>
  <c r="C18" i="8"/>
  <c r="C16" i="14"/>
  <c r="F17" i="2"/>
  <c r="N16" i="2"/>
  <c r="O15" i="2"/>
  <c r="E18" i="2"/>
  <c r="B19" i="8"/>
  <c r="O18" i="6"/>
  <c r="H30" i="6" l="1"/>
  <c r="K21" i="6"/>
  <c r="D20" i="2" s="1"/>
  <c r="L21" i="6"/>
  <c r="E20" i="2" s="1"/>
  <c r="B18" i="14"/>
  <c r="D16" i="14"/>
  <c r="N21" i="6"/>
  <c r="M20" i="2" s="1"/>
  <c r="B62" i="8"/>
  <c r="B52" i="14"/>
  <c r="P15" i="2"/>
  <c r="D48" i="14"/>
  <c r="C49" i="14"/>
  <c r="C20" i="8"/>
  <c r="C18" i="14"/>
  <c r="C17" i="14"/>
  <c r="G17" i="2"/>
  <c r="C19" i="8"/>
  <c r="F18" i="2"/>
  <c r="C59" i="8"/>
  <c r="O16" i="2"/>
  <c r="N17" i="2"/>
  <c r="B20" i="8"/>
  <c r="F19" i="2"/>
  <c r="O19" i="6"/>
  <c r="H31" i="6" l="1"/>
  <c r="K22" i="6"/>
  <c r="D21" i="2" s="1"/>
  <c r="L22" i="6"/>
  <c r="E21" i="2" s="1"/>
  <c r="B19" i="14"/>
  <c r="N22" i="6"/>
  <c r="M21" i="2" s="1"/>
  <c r="C50" i="14"/>
  <c r="P16" i="2"/>
  <c r="D49" i="14"/>
  <c r="B63" i="8"/>
  <c r="B53" i="14"/>
  <c r="G19" i="2"/>
  <c r="D18" i="14"/>
  <c r="C21" i="8"/>
  <c r="C19" i="14"/>
  <c r="G18" i="2"/>
  <c r="D17" i="14"/>
  <c r="O17" i="2"/>
  <c r="C60" i="8"/>
  <c r="N18" i="2"/>
  <c r="B21" i="8"/>
  <c r="F20" i="2"/>
  <c r="O20" i="6"/>
  <c r="H32" i="6" l="1"/>
  <c r="K23" i="6"/>
  <c r="D22" i="2" s="1"/>
  <c r="L23" i="6"/>
  <c r="E22" i="2" s="1"/>
  <c r="B20" i="14"/>
  <c r="C20" i="14"/>
  <c r="N23" i="6"/>
  <c r="M22" i="2" s="1"/>
  <c r="C51" i="14"/>
  <c r="P17" i="2"/>
  <c r="D50" i="14"/>
  <c r="B64" i="8"/>
  <c r="B54" i="14"/>
  <c r="G20" i="2"/>
  <c r="D19" i="14"/>
  <c r="C61" i="8"/>
  <c r="O18" i="2"/>
  <c r="N19" i="2"/>
  <c r="B22" i="8"/>
  <c r="F21" i="2"/>
  <c r="C22" i="8"/>
  <c r="O21" i="6"/>
  <c r="H33" i="6" l="1"/>
  <c r="K24" i="6"/>
  <c r="D23" i="2" s="1"/>
  <c r="L24" i="6"/>
  <c r="E23" i="2" s="1"/>
  <c r="B21" i="14"/>
  <c r="N24" i="6"/>
  <c r="M23" i="2" s="1"/>
  <c r="B65" i="8"/>
  <c r="B55" i="14"/>
  <c r="C52" i="14"/>
  <c r="P18" i="2"/>
  <c r="D51" i="14"/>
  <c r="C23" i="8"/>
  <c r="C21" i="14"/>
  <c r="G21" i="2"/>
  <c r="D20" i="14"/>
  <c r="C62" i="8"/>
  <c r="O19" i="2"/>
  <c r="N20" i="2"/>
  <c r="B23" i="8"/>
  <c r="F22" i="2"/>
  <c r="O22" i="6"/>
  <c r="H34" i="6" l="1"/>
  <c r="K25" i="6"/>
  <c r="D24" i="2" s="1"/>
  <c r="L25" i="6"/>
  <c r="E24" i="2" s="1"/>
  <c r="B22" i="14"/>
  <c r="N25" i="6"/>
  <c r="M24" i="2" s="1"/>
  <c r="P19" i="2"/>
  <c r="D52" i="14"/>
  <c r="C53" i="14"/>
  <c r="B66" i="8"/>
  <c r="B56" i="14"/>
  <c r="C24" i="8"/>
  <c r="C22" i="14"/>
  <c r="G22" i="2"/>
  <c r="D21" i="14"/>
  <c r="C63" i="8"/>
  <c r="O20" i="2"/>
  <c r="N21" i="2"/>
  <c r="B24" i="8"/>
  <c r="F23" i="2"/>
  <c r="O23" i="6"/>
  <c r="H35" i="6" l="1"/>
  <c r="K26" i="6"/>
  <c r="D25" i="2" s="1"/>
  <c r="L26" i="6"/>
  <c r="E25" i="2" s="1"/>
  <c r="C23" i="14"/>
  <c r="B23" i="14"/>
  <c r="N26" i="6"/>
  <c r="M25" i="2" s="1"/>
  <c r="C54" i="14"/>
  <c r="P20" i="2"/>
  <c r="D53" i="14"/>
  <c r="B67" i="8"/>
  <c r="B57" i="14"/>
  <c r="G23" i="2"/>
  <c r="D22" i="14"/>
  <c r="C64" i="8"/>
  <c r="O21" i="2"/>
  <c r="N22" i="2"/>
  <c r="C25" i="8"/>
  <c r="B25" i="8"/>
  <c r="F24" i="2"/>
  <c r="O24" i="6"/>
  <c r="B24" i="14" l="1"/>
  <c r="C55" i="14"/>
  <c r="P21" i="2"/>
  <c r="D54" i="14"/>
  <c r="B68" i="8"/>
  <c r="B58" i="14"/>
  <c r="C26" i="8"/>
  <c r="C24" i="14"/>
  <c r="E27" i="14" s="1"/>
  <c r="G24" i="2"/>
  <c r="D23" i="14"/>
  <c r="O22" i="2"/>
  <c r="C65" i="8"/>
  <c r="N23" i="2"/>
  <c r="J7" i="2"/>
  <c r="B26" i="8"/>
  <c r="F25" i="2"/>
  <c r="C29" i="8" s="1"/>
  <c r="O26" i="6"/>
  <c r="O25" i="6"/>
  <c r="D24" i="14" l="1"/>
  <c r="H27" i="14" s="1"/>
  <c r="H28" i="14" s="1"/>
  <c r="K4" i="14" s="1"/>
  <c r="P22" i="2"/>
  <c r="D55" i="14"/>
  <c r="C56" i="14"/>
  <c r="C66" i="8"/>
  <c r="O23" i="2"/>
  <c r="N25" i="2"/>
  <c r="N24" i="2"/>
  <c r="G25" i="2"/>
  <c r="G26" i="2" s="1"/>
  <c r="F26" i="2"/>
  <c r="E62" i="6"/>
  <c r="E29" i="14" l="1"/>
  <c r="D10" i="12" s="1"/>
  <c r="M28" i="14"/>
  <c r="M27" i="14"/>
  <c r="C57" i="14"/>
  <c r="P23" i="2"/>
  <c r="D56" i="14"/>
  <c r="C58" i="14"/>
  <c r="I5" i="14"/>
  <c r="S7" i="2"/>
  <c r="O24" i="2"/>
  <c r="C67" i="8"/>
  <c r="C68" i="8"/>
  <c r="O25" i="2"/>
  <c r="J12" i="2"/>
  <c r="F27" i="2" s="1"/>
  <c r="E64" i="6"/>
  <c r="E65" i="6" s="1"/>
  <c r="L12" i="1"/>
  <c r="Q13" i="1" s="1"/>
  <c r="C71" i="8" l="1"/>
  <c r="F10" i="12"/>
  <c r="H10" i="12" s="1"/>
  <c r="J10" i="12" s="1"/>
  <c r="L10" i="12" s="1"/>
  <c r="E61" i="14"/>
  <c r="P24" i="2"/>
  <c r="D57" i="14"/>
  <c r="P25" i="2"/>
  <c r="D58" i="14"/>
  <c r="I6" i="14"/>
  <c r="G5" i="14"/>
  <c r="O26" i="2"/>
  <c r="D8" i="8"/>
  <c r="H8" i="8" s="1"/>
  <c r="I8" i="8" s="1"/>
  <c r="J8" i="8" s="1" a="1"/>
  <c r="J8" i="8" s="1"/>
  <c r="E8" i="8" s="1"/>
  <c r="F8" i="8" s="1"/>
  <c r="K8" i="8" s="1"/>
  <c r="F122" i="6"/>
  <c r="E66" i="6" s="1"/>
  <c r="E63" i="14" l="1"/>
  <c r="D11" i="12" s="1"/>
  <c r="K10" i="12"/>
  <c r="I7" i="14"/>
  <c r="G7" i="14" s="1"/>
  <c r="G6" i="14"/>
  <c r="P26" i="2"/>
  <c r="S12" i="2" s="1"/>
  <c r="O27" i="2" s="1"/>
  <c r="M62" i="14"/>
  <c r="H61" i="14"/>
  <c r="M61" i="14"/>
  <c r="J6" i="14"/>
  <c r="H5" i="14" s="1"/>
  <c r="F5" i="14" s="1"/>
  <c r="D14" i="8"/>
  <c r="H14" i="8" s="1"/>
  <c r="I14" i="8" s="1"/>
  <c r="J14" i="8" s="1" a="1"/>
  <c r="J14" i="8" s="1"/>
  <c r="E14" i="8" s="1"/>
  <c r="F14" i="8" s="1"/>
  <c r="K14" i="8" s="1"/>
  <c r="D25" i="8"/>
  <c r="H25" i="8" s="1"/>
  <c r="I25" i="8" s="1"/>
  <c r="J25" i="8" s="1" a="1"/>
  <c r="J25" i="8" s="1"/>
  <c r="E25" i="8" s="1"/>
  <c r="F25" i="8" s="1"/>
  <c r="K25" i="8" s="1"/>
  <c r="D23" i="8"/>
  <c r="H23" i="8" s="1"/>
  <c r="I23" i="8" s="1"/>
  <c r="J23" i="8" s="1" a="1"/>
  <c r="J23" i="8" s="1"/>
  <c r="E23" i="8" s="1"/>
  <c r="F23" i="8" s="1"/>
  <c r="K23" i="8" s="1"/>
  <c r="D20" i="8"/>
  <c r="H20" i="8" s="1"/>
  <c r="I20" i="8" s="1"/>
  <c r="J20" i="8" s="1" a="1"/>
  <c r="J20" i="8" s="1"/>
  <c r="E20" i="8" s="1"/>
  <c r="F20" i="8" s="1"/>
  <c r="K20" i="8" s="1"/>
  <c r="D15" i="8"/>
  <c r="H15" i="8" s="1"/>
  <c r="I15" i="8" s="1"/>
  <c r="J15" i="8" s="1" a="1"/>
  <c r="J15" i="8" s="1"/>
  <c r="E15" i="8" s="1"/>
  <c r="F15" i="8" s="1"/>
  <c r="K15" i="8" s="1"/>
  <c r="D22" i="8"/>
  <c r="H22" i="8" s="1"/>
  <c r="I22" i="8" s="1"/>
  <c r="J22" i="8" s="1" a="1"/>
  <c r="J22" i="8" s="1"/>
  <c r="E22" i="8" s="1"/>
  <c r="F22" i="8" s="1"/>
  <c r="K22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18" i="8"/>
  <c r="H18" i="8" s="1"/>
  <c r="I18" i="8" s="1"/>
  <c r="J18" i="8" s="1" a="1"/>
  <c r="J18" i="8" s="1"/>
  <c r="E18" i="8" s="1"/>
  <c r="F18" i="8" s="1"/>
  <c r="K18" i="8" s="1"/>
  <c r="D7" i="8"/>
  <c r="H7" i="8" s="1"/>
  <c r="I7" i="8" s="1"/>
  <c r="J7" i="8" s="1" a="1"/>
  <c r="J7" i="8" s="1"/>
  <c r="E7" i="8" s="1"/>
  <c r="F7" i="8" s="1"/>
  <c r="K7" i="8" s="1"/>
  <c r="E34" i="8"/>
  <c r="D16" i="8"/>
  <c r="H16" i="8" s="1"/>
  <c r="I16" i="8" s="1"/>
  <c r="J16" i="8" s="1" a="1"/>
  <c r="J16" i="8" s="1"/>
  <c r="E16" i="8" s="1"/>
  <c r="F16" i="8" s="1"/>
  <c r="K16" i="8" s="1"/>
  <c r="D11" i="8"/>
  <c r="H11" i="8" s="1"/>
  <c r="I11" i="8" s="1"/>
  <c r="J11" i="8" s="1" a="1"/>
  <c r="J11" i="8" s="1"/>
  <c r="E11" i="8" s="1"/>
  <c r="F11" i="8" s="1"/>
  <c r="K11" i="8" s="1"/>
  <c r="D19" i="8"/>
  <c r="H19" i="8" s="1"/>
  <c r="I19" i="8" s="1"/>
  <c r="J19" i="8" s="1" a="1"/>
  <c r="J19" i="8" s="1"/>
  <c r="E19" i="8" s="1"/>
  <c r="F19" i="8" s="1"/>
  <c r="K19" i="8" s="1"/>
  <c r="D12" i="8"/>
  <c r="H12" i="8" s="1"/>
  <c r="I12" i="8" s="1"/>
  <c r="J12" i="8" s="1" a="1"/>
  <c r="J12" i="8" s="1"/>
  <c r="E12" i="8" s="1"/>
  <c r="F12" i="8" s="1"/>
  <c r="K12" i="8" s="1"/>
  <c r="D21" i="8"/>
  <c r="H21" i="8" s="1"/>
  <c r="I21" i="8" s="1"/>
  <c r="J21" i="8" s="1" a="1"/>
  <c r="J21" i="8" s="1"/>
  <c r="E21" i="8" s="1"/>
  <c r="F21" i="8" s="1"/>
  <c r="K21" i="8" s="1"/>
  <c r="D24" i="8"/>
  <c r="H24" i="8" s="1"/>
  <c r="I24" i="8" s="1"/>
  <c r="J24" i="8" s="1" a="1"/>
  <c r="J24" i="8" s="1"/>
  <c r="E24" i="8" s="1"/>
  <c r="F24" i="8" s="1"/>
  <c r="K24" i="8" s="1"/>
  <c r="D10" i="8"/>
  <c r="H10" i="8" s="1"/>
  <c r="I10" i="8" s="1"/>
  <c r="J10" i="8" s="1" a="1"/>
  <c r="J10" i="8" s="1"/>
  <c r="E10" i="8" s="1"/>
  <c r="F10" i="8" s="1"/>
  <c r="K10" i="8" s="1"/>
  <c r="D9" i="8"/>
  <c r="H9" i="8" s="1"/>
  <c r="I9" i="8" s="1"/>
  <c r="J9" i="8" s="1" a="1"/>
  <c r="J9" i="8" s="1"/>
  <c r="E9" i="8" s="1"/>
  <c r="F9" i="8" s="1"/>
  <c r="K9" i="8" s="1"/>
  <c r="D13" i="8"/>
  <c r="H13" i="8" s="1"/>
  <c r="I13" i="8" s="1"/>
  <c r="J13" i="8" s="1" a="1"/>
  <c r="J13" i="8" s="1"/>
  <c r="E13" i="8" s="1"/>
  <c r="F13" i="8" s="1"/>
  <c r="K13" i="8" s="1"/>
  <c r="F123" i="6"/>
  <c r="I8" i="14" l="1"/>
  <c r="G8" i="14" s="1"/>
  <c r="J7" i="14"/>
  <c r="H6" i="14" s="1"/>
  <c r="F6" i="14" s="1"/>
  <c r="E6" i="14" s="1"/>
  <c r="H62" i="14"/>
  <c r="K38" i="14" s="1"/>
  <c r="I39" i="14"/>
  <c r="E5" i="14"/>
  <c r="F27" i="8"/>
  <c r="K27" i="8"/>
  <c r="E35" i="8" s="1"/>
  <c r="D51" i="8"/>
  <c r="H51" i="8" s="1"/>
  <c r="I51" i="8" s="1"/>
  <c r="J51" i="8" s="1" a="1"/>
  <c r="J51" i="8" s="1"/>
  <c r="E51" i="8" s="1"/>
  <c r="F51" i="8" s="1"/>
  <c r="K51" i="8" s="1"/>
  <c r="E67" i="6"/>
  <c r="F124" i="6" s="1"/>
  <c r="E3" i="6" s="1"/>
  <c r="D3" i="6" s="1"/>
  <c r="E36" i="8" l="1"/>
  <c r="E37" i="8"/>
  <c r="I9" i="14"/>
  <c r="G9" i="14" s="1"/>
  <c r="J8" i="14"/>
  <c r="H7" i="14" s="1"/>
  <c r="F7" i="14" s="1"/>
  <c r="G39" i="14"/>
  <c r="I40" i="14"/>
  <c r="I41" i="14" s="1"/>
  <c r="I42" i="14" s="1"/>
  <c r="I43" i="14" s="1"/>
  <c r="F11" i="12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64" i="8"/>
  <c r="H64" i="8" s="1"/>
  <c r="I64" i="8" s="1"/>
  <c r="J64" i="8" s="1" a="1"/>
  <c r="J64" i="8" s="1"/>
  <c r="E64" i="8" s="1"/>
  <c r="F64" i="8" s="1"/>
  <c r="K64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50" i="8"/>
  <c r="H50" i="8" s="1"/>
  <c r="I50" i="8" s="1"/>
  <c r="J50" i="8" s="1" a="1"/>
  <c r="J50" i="8" s="1"/>
  <c r="E50" i="8" s="1"/>
  <c r="F50" i="8" s="1"/>
  <c r="K50" i="8" s="1"/>
  <c r="D57" i="8"/>
  <c r="H57" i="8" s="1"/>
  <c r="I57" i="8" s="1"/>
  <c r="J57" i="8" s="1" a="1"/>
  <c r="J57" i="8" s="1"/>
  <c r="E57" i="8" s="1"/>
  <c r="F57" i="8" s="1"/>
  <c r="K57" i="8" s="1"/>
  <c r="E76" i="8"/>
  <c r="D54" i="8"/>
  <c r="H54" i="8" s="1"/>
  <c r="I54" i="8" s="1"/>
  <c r="J54" i="8" s="1" a="1"/>
  <c r="J54" i="8" s="1"/>
  <c r="E54" i="8" s="1"/>
  <c r="F54" i="8" s="1"/>
  <c r="K54" i="8" s="1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62" i="8"/>
  <c r="H62" i="8" s="1"/>
  <c r="I62" i="8" s="1"/>
  <c r="J62" i="8" s="1" a="1"/>
  <c r="J62" i="8" s="1"/>
  <c r="E62" i="8" s="1"/>
  <c r="F62" i="8" s="1"/>
  <c r="K62" i="8" s="1"/>
  <c r="D55" i="8"/>
  <c r="H55" i="8" s="1"/>
  <c r="I55" i="8" s="1"/>
  <c r="J55" i="8" s="1" a="1"/>
  <c r="J55" i="8" s="1"/>
  <c r="E55" i="8" s="1"/>
  <c r="F55" i="8" s="1"/>
  <c r="K55" i="8" s="1"/>
  <c r="D56" i="8"/>
  <c r="H56" i="8" s="1"/>
  <c r="I56" i="8" s="1"/>
  <c r="J56" i="8" s="1" a="1"/>
  <c r="J56" i="8" s="1"/>
  <c r="E56" i="8" s="1"/>
  <c r="F56" i="8" s="1"/>
  <c r="K56" i="8" s="1"/>
  <c r="D60" i="8"/>
  <c r="H60" i="8" s="1"/>
  <c r="I60" i="8" s="1"/>
  <c r="J60" i="8" s="1" a="1"/>
  <c r="J60" i="8" s="1"/>
  <c r="E60" i="8" s="1"/>
  <c r="F60" i="8" s="1"/>
  <c r="K60" i="8" s="1"/>
  <c r="D68" i="8"/>
  <c r="H68" i="8" s="1"/>
  <c r="I68" i="8" s="1"/>
  <c r="J68" i="8" s="1" a="1"/>
  <c r="J68" i="8" s="1"/>
  <c r="E68" i="8" s="1"/>
  <c r="F68" i="8" s="1"/>
  <c r="K6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1" i="8"/>
  <c r="H61" i="8" s="1"/>
  <c r="I61" i="8" s="1"/>
  <c r="J61" i="8" s="1" a="1"/>
  <c r="J61" i="8" s="1"/>
  <c r="E61" i="8" s="1"/>
  <c r="F61" i="8" s="1"/>
  <c r="K61" i="8" s="1"/>
  <c r="E4" i="6"/>
  <c r="E9" i="6" s="1"/>
  <c r="E4" i="1" s="1"/>
  <c r="D4" i="6"/>
  <c r="D9" i="6" s="1"/>
  <c r="D4" i="1" s="1"/>
  <c r="C3" i="6"/>
  <c r="C4" i="6" s="1"/>
  <c r="C9" i="6" s="1"/>
  <c r="I11" i="12" l="1"/>
  <c r="H11" i="12"/>
  <c r="H12" i="12" s="1"/>
  <c r="H13" i="12" s="1"/>
  <c r="I10" i="14"/>
  <c r="G10" i="14" s="1"/>
  <c r="J9" i="14"/>
  <c r="H8" i="14" s="1"/>
  <c r="G40" i="14"/>
  <c r="J41" i="14"/>
  <c r="J40" i="14"/>
  <c r="E7" i="14"/>
  <c r="K69" i="8"/>
  <c r="E77" i="8" s="1"/>
  <c r="F69" i="8"/>
  <c r="C4" i="1"/>
  <c r="B61" i="6"/>
  <c r="E78" i="8" l="1"/>
  <c r="E79" i="8"/>
  <c r="H14" i="12"/>
  <c r="J11" i="12"/>
  <c r="K11" i="12" s="1"/>
  <c r="K13" i="12" s="1"/>
  <c r="I12" i="12"/>
  <c r="G21" i="12" s="1"/>
  <c r="J10" i="14"/>
  <c r="H9" i="14" s="1"/>
  <c r="I11" i="14"/>
  <c r="H40" i="14"/>
  <c r="F40" i="14" s="1"/>
  <c r="E40" i="14" s="1"/>
  <c r="H39" i="14"/>
  <c r="F39" i="14" s="1"/>
  <c r="E39" i="14" s="1"/>
  <c r="G41" i="14"/>
  <c r="J42" i="14"/>
  <c r="H41" i="14" s="1"/>
  <c r="F8" i="14"/>
  <c r="E8" i="14" s="1"/>
  <c r="Q4" i="1"/>
  <c r="G4" i="1"/>
  <c r="G7" i="1" s="1"/>
  <c r="G18" i="12" l="1"/>
  <c r="G24" i="12"/>
  <c r="E33" i="12" s="1"/>
  <c r="I14" i="12"/>
  <c r="G23" i="12" s="1"/>
  <c r="I13" i="12"/>
  <c r="G22" i="12" s="1"/>
  <c r="L11" i="12"/>
  <c r="J12" i="12"/>
  <c r="F41" i="14"/>
  <c r="E41" i="14" s="1"/>
  <c r="J11" i="14"/>
  <c r="H10" i="14" s="1"/>
  <c r="F10" i="14" s="1"/>
  <c r="E10" i="14" s="1"/>
  <c r="G42" i="14"/>
  <c r="J43" i="14"/>
  <c r="H42" i="14" s="1"/>
  <c r="F9" i="14"/>
  <c r="E9" i="14" s="1"/>
  <c r="Q6" i="1"/>
  <c r="G8" i="1"/>
  <c r="F41" i="12" l="1"/>
  <c r="E39" i="12"/>
  <c r="E35" i="12"/>
  <c r="E37" i="12" s="1"/>
  <c r="G19" i="12"/>
  <c r="G25" i="12"/>
  <c r="F39" i="12" s="1"/>
  <c r="G20" i="12"/>
  <c r="L14" i="12"/>
  <c r="G26" i="12"/>
  <c r="G33" i="12" s="1"/>
  <c r="F42" i="14"/>
  <c r="E42" i="14" s="1"/>
  <c r="L13" i="1"/>
  <c r="Q7" i="1"/>
  <c r="L8" i="1"/>
  <c r="G39" i="12" l="1"/>
  <c r="F35" i="12"/>
  <c r="F37" i="12" s="1"/>
  <c r="G35" i="12"/>
  <c r="G37" i="12" s="1"/>
  <c r="F33" i="12"/>
  <c r="F47" i="12" s="1"/>
  <c r="L9" i="1"/>
  <c r="Q10" i="1"/>
  <c r="F45" i="12"/>
  <c r="Q14" i="1"/>
  <c r="L15" i="1"/>
  <c r="Q15" i="1" l="1"/>
  <c r="I17" i="1"/>
  <c r="F43" i="12"/>
  <c r="Q12" i="1"/>
  <c r="F11" i="14"/>
  <c r="O5" i="14"/>
  <c r="O8" i="14"/>
  <c r="H11" i="14"/>
  <c r="N13" i="14"/>
  <c r="O11" i="14"/>
  <c r="E11" i="14"/>
  <c r="O6" i="14"/>
  <c r="O9" i="14"/>
  <c r="H43" i="14"/>
  <c r="F43" i="14"/>
  <c r="O39" i="14"/>
  <c r="O42" i="14"/>
  <c r="E43" i="14"/>
  <c r="O40" i="14"/>
  <c r="O43" i="14"/>
  <c r="O45" i="14"/>
  <c r="N4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<sst xmlns="http://schemas.openxmlformats.org/spreadsheetml/2006/main" count="278" uniqueCount="142">
  <si>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</si>
  <si>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</si>
  <si>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</si>
  <si>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</si>
  <si>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</si>
  <si>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</si>
  <si>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</si>
  <si>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</si>
  <si>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</si>
  <si>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</si>
  <si>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</si>
  <si>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</si>
  <si>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</si>
  <si>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</si>
  <si>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</si>
  <si>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</si>
  <si>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</si>
  <si>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</si>
  <si>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</si>
  <si>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</si>
  <si>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</si>
  <si>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</si>
  <si>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</si>
  <si>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</si>
  <si>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</si>
  <si>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</si>
  <si>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</si>
  <si>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</si>
  <si>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</si>
  <si>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</si>
  <si>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</si>
  <si>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</si>
  <si>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</si>
  <si>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</si>
  <si>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</si>
  <si>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</si>
  <si>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</si>
  <si>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</si>
  <si>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</si>
  <si>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</si>
  <si>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</si>
  <si>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</si>
  <si>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</si>
  <si>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</si>
  <si>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</si>
  <si>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</si>
  <si>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</si>
  <si>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</si>
  <si>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</si>
  <si>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</si>
  <si>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</si>
  <si>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</si>
  <si>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</si>
  <si>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</si>
  <si>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</si>
  <si>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</si>
  <si>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</si>
  <si>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</si>
  <si>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</si>
  <si>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</si>
  <si>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</si>
  <si>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</si>
  <si>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</si>
  <si>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</si>
  <si>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</si>
  <si>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</si>
  <si>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</si>
  <si>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</si>
  <si>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</si>
  <si>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</si>
  <si>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</si>
  <si>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</si>
  <si>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</si>
  <si>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</si>
  <si>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</si>
  <si>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</si>
  <si>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</si>
  <si>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</si>
  <si>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</si>
  <si>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</si>
  <si>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</si>
  <si>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</si>
  <si>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</si>
  <si>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</si>
  <si>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</si>
  <si>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</si>
  <si>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</si>
  <si>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</si>
  <si>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</si>
  <si>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</si>
  <si>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</si>
  <si>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</si>
  <si>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</si>
  <si>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</si>
  <si>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</si>
  <si>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</si>
  <si>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</si>
  <si>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</si>
  <si>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</si>
  <si>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</si>
  <si>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</si>
  <si>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</si>
  <si>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</si>
  <si>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</si>
  <si>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</si>
  <si>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</si>
  <si>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</si>
  <si>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</si>
  <si>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</si>
  <si>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</si>
  <si>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</si>
  <si>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</si>
  <si>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</si>
  <si>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</si>
  <si>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</si>
  <si>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</si>
  <si>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</si>
  <si>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Producción (Pijama/hora)</t>
  </si>
  <si>
    <t>Producción teórica  (Pijama/hora)</t>
  </si>
  <si>
    <t>Posicionar debajo de prensatela</t>
  </si>
  <si>
    <t>Posicionar media luna a espalda</t>
  </si>
  <si>
    <t>S</t>
  </si>
  <si>
    <t>Colocar espalda y media luna a maquina</t>
  </si>
  <si>
    <t>Pega media luna</t>
  </si>
  <si>
    <t>Pegar media luna</t>
  </si>
  <si>
    <t>TIPO</t>
  </si>
  <si>
    <t>II</t>
  </si>
  <si>
    <t>IIIIII</t>
  </si>
  <si>
    <t>III</t>
  </si>
  <si>
    <t>IIIII</t>
  </si>
  <si>
    <t>N° de Elementos en Operación Abrir Rollo de Tela</t>
  </si>
  <si>
    <t>Observaciones</t>
  </si>
  <si>
    <t>NP</t>
  </si>
  <si>
    <t>P</t>
  </si>
  <si>
    <t>F</t>
  </si>
  <si>
    <t>CA</t>
  </si>
  <si>
    <t>CI</t>
  </si>
  <si>
    <t>R</t>
  </si>
  <si>
    <t>TM</t>
  </si>
  <si>
    <t>M</t>
  </si>
  <si>
    <t>Incentivo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</si>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</sst>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4" fillId="2" borderId="0" xfId="0" applyFont="1" applyFill="1"/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9" xfId="0" applyFont="1" applyFill="1" applyBorder="1"/>
    <xf numFmtId="2" fontId="4" fillId="2" borderId="19" xfId="0" applyNumberFormat="1" applyFont="1" applyFill="1" applyBorder="1" applyAlignment="1">
      <alignment horizontal="center"/>
    </xf>
    <xf numFmtId="0" fontId="4" fillId="2" borderId="18" xfId="0" applyFont="1" applyFill="1" applyBorder="1"/>
    <xf numFmtId="2" fontId="4" fillId="2" borderId="18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1" xfId="0" applyFont="1" applyFill="1" applyBorder="1"/>
    <xf numFmtId="2" fontId="4" fillId="2" borderId="11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0" xfId="0" applyFill="1"/>
    <xf numFmtId="1" fontId="4" fillId="2" borderId="0" xfId="0" applyNumberFormat="1" applyFont="1" applyFill="1"/>
    <xf numFmtId="0" fontId="4" fillId="2" borderId="10" xfId="0" applyFont="1" applyFill="1" applyBorder="1"/>
    <xf numFmtId="2" fontId="4" fillId="2" borderId="16" xfId="0" applyNumberFormat="1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1" fontId="4" fillId="2" borderId="18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9" fontId="4" fillId="0" borderId="16" xfId="0" applyNumberFormat="1" applyFont="1" applyBorder="1" applyAlignment="1">
      <alignment horizontal="center" vertical="center" wrapText="1"/>
    </xf>
    <xf numFmtId="39" fontId="4" fillId="0" borderId="18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10" fontId="4" fillId="0" borderId="5" xfId="0" applyNumberFormat="1" applyFont="1" applyBorder="1" applyAlignment="1">
      <alignment horizontal="center" vertical="center" wrapText="1"/>
    </xf>
    <xf numFmtId="9" fontId="4" fillId="0" borderId="5" xfId="0" applyNumberFormat="1" applyFont="1" applyBorder="1" applyAlignment="1">
      <alignment horizontal="center" vertical="center" wrapText="1"/>
    </xf>
    <xf numFmtId="39" fontId="4" fillId="0" borderId="11" xfId="0" applyNumberFormat="1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10" fontId="4" fillId="0" borderId="18" xfId="0" applyNumberFormat="1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0" fontId="4" fillId="0" borderId="17" xfId="0" applyNumberFormat="1" applyFont="1" applyBorder="1" applyAlignment="1">
      <alignment horizontal="center" vertical="center" wrapText="1"/>
    </xf>
    <xf numFmtId="10" fontId="4" fillId="0" borderId="16" xfId="0" applyNumberFormat="1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10" fontId="4" fillId="0" borderId="10" xfId="0" applyNumberFormat="1" applyFont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/>
    </xf>
    <xf numFmtId="2" fontId="4" fillId="2" borderId="16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39" fontId="4" fillId="2" borderId="18" xfId="0" applyNumberFormat="1" applyFont="1" applyFill="1" applyBorder="1" applyAlignment="1">
      <alignment horizontal="center" vertical="center" wrapText="1"/>
    </xf>
    <xf numFmtId="13" fontId="4" fillId="2" borderId="18" xfId="0" quotePrefix="1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39" fontId="4" fillId="2" borderId="11" xfId="0" applyNumberFormat="1" applyFont="1" applyFill="1" applyBorder="1" applyAlignment="1">
      <alignment horizontal="center" vertical="center" wrapText="1"/>
    </xf>
    <xf numFmtId="13" fontId="4" fillId="2" borderId="11" xfId="0" quotePrefix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zoomScaleNormal="100" workbookViewId="0">
      <selection activeCell="E7" sqref="E7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ht="15.6" x14ac:dyDescent="0.3">
      <c r="A1" s="25"/>
      <c r="B1" s="25"/>
      <c r="C1" s="57"/>
      <c r="D1" s="57"/>
      <c r="E1" s="57"/>
      <c r="F1" s="57"/>
      <c r="G1" s="57"/>
      <c r="H1" s="57"/>
      <c r="I1" s="57"/>
    </row>
    <row r="2" spans="1:10" ht="15.6" x14ac:dyDescent="0.3">
      <c r="A2" s="25"/>
      <c r="B2" s="26" t="s">
        <v>95</v>
      </c>
      <c r="C2" s="57"/>
      <c r="D2" s="62" t="s">
        <v>56</v>
      </c>
      <c r="E2" s="62" t="s">
        <v>125</v>
      </c>
      <c r="F2" s="62" t="s">
        <v>57</v>
      </c>
      <c r="G2" s="62" t="s">
        <v>58</v>
      </c>
      <c r="H2" s="62" t="s">
        <v>59</v>
      </c>
      <c r="I2" s="57"/>
    </row>
    <row r="3" spans="1:10" ht="31.2" customHeight="1" x14ac:dyDescent="0.3">
      <c r="A3" s="25"/>
      <c r="B3" s="26" t="s">
        <v>124</v>
      </c>
      <c r="C3" s="57"/>
      <c r="D3" s="59" t="s">
        <v>120</v>
      </c>
      <c r="E3" s="59" t="s">
        <v>36</v>
      </c>
      <c r="F3" s="59" t="s">
        <v>121</v>
      </c>
      <c r="G3" s="59" t="s">
        <v>122</v>
      </c>
      <c r="H3" s="59" t="s">
        <v>119</v>
      </c>
      <c r="I3" s="57"/>
    </row>
    <row r="4" spans="1:10" ht="31.2" customHeight="1" x14ac:dyDescent="0.3">
      <c r="A4" s="25" t="s">
        <v>96</v>
      </c>
      <c r="B4" s="25"/>
      <c r="C4" s="57"/>
      <c r="D4" s="59" t="s">
        <v>123</v>
      </c>
      <c r="E4" s="59" t="s">
        <v>37</v>
      </c>
      <c r="F4" s="59" t="s">
        <v>83</v>
      </c>
      <c r="G4" s="59" t="s">
        <v>119</v>
      </c>
      <c r="H4" s="59" t="s">
        <v>123</v>
      </c>
      <c r="I4" s="57"/>
    </row>
    <row r="5" spans="1:10" ht="31.2" customHeight="1" x14ac:dyDescent="0.3">
      <c r="A5" s="25"/>
      <c r="B5" s="25"/>
      <c r="C5" s="57"/>
      <c r="D5" s="60"/>
      <c r="E5" s="60"/>
      <c r="F5" s="61"/>
      <c r="G5" s="60"/>
      <c r="H5" s="60"/>
      <c r="I5" s="57"/>
    </row>
    <row r="6" spans="1:10" ht="31.2" customHeight="1" x14ac:dyDescent="0.3">
      <c r="A6" s="25"/>
      <c r="B6" s="25"/>
      <c r="C6" s="25"/>
      <c r="D6" s="19"/>
      <c r="E6" s="19"/>
      <c r="F6" s="20"/>
      <c r="G6" s="19"/>
      <c r="H6" s="19"/>
      <c r="I6" s="25"/>
    </row>
    <row r="7" spans="1:10" ht="31.2" customHeight="1" x14ac:dyDescent="0.3">
      <c r="A7" s="25"/>
      <c r="B7" s="25"/>
      <c r="C7" s="25"/>
      <c r="D7" s="19"/>
      <c r="E7" s="19"/>
      <c r="F7" s="20"/>
      <c r="G7" s="19"/>
      <c r="H7" s="19"/>
      <c r="I7" s="25"/>
    </row>
    <row r="8" spans="1:10" ht="31.2" customHeight="1" x14ac:dyDescent="0.3">
      <c r="A8" s="25"/>
      <c r="B8" s="25"/>
      <c r="C8" s="25"/>
      <c r="D8" s="19"/>
      <c r="E8" s="19"/>
      <c r="F8" s="20"/>
      <c r="G8" s="19"/>
      <c r="H8" s="19"/>
      <c r="I8" s="25"/>
    </row>
    <row r="9" spans="1:10" ht="31.2" customHeight="1" x14ac:dyDescent="0.3">
      <c r="A9" s="25"/>
      <c r="B9" s="25"/>
      <c r="C9" s="25"/>
      <c r="D9" s="19"/>
      <c r="E9" s="19"/>
      <c r="F9" s="20" t="str">
        <f t="shared" ref="F9:F10" si="0">+MID(D9,1,1)</f>
        <v/>
      </c>
      <c r="G9" s="19"/>
      <c r="H9" s="19"/>
      <c r="I9" s="25"/>
    </row>
    <row r="10" spans="1:10" ht="31.2" customHeight="1" x14ac:dyDescent="0.3">
      <c r="A10" s="25"/>
      <c r="B10" s="25"/>
      <c r="C10" s="25"/>
      <c r="D10" s="19"/>
      <c r="E10" s="19"/>
      <c r="F10" s="20" t="str">
        <f t="shared" si="0"/>
        <v/>
      </c>
      <c r="G10" s="19"/>
      <c r="H10" s="19"/>
      <c r="I10" s="25"/>
    </row>
    <row r="11" spans="1:10" ht="31.2" customHeight="1" x14ac:dyDescent="0.3">
      <c r="D11" s="19"/>
      <c r="E11" s="19"/>
      <c r="F11" s="20" t="str">
        <f t="shared" ref="F11:F12" si="1">+MID(D11,1,1)</f>
        <v/>
      </c>
      <c r="G11" s="19"/>
      <c r="H11" s="19"/>
    </row>
    <row r="12" spans="1:10" ht="15.6" x14ac:dyDescent="0.3">
      <c r="D12" s="19"/>
      <c r="E12" s="19"/>
      <c r="F12" s="20" t="str">
        <f t="shared" si="1"/>
        <v/>
      </c>
      <c r="G12" s="19"/>
      <c r="H12" s="19"/>
    </row>
    <row r="13" spans="1:10" ht="15.6" x14ac:dyDescent="0.3">
      <c r="D13" s="19"/>
      <c r="E13" s="19"/>
      <c r="F13" s="20"/>
      <c r="G13" s="19"/>
      <c r="H13" s="19"/>
    </row>
    <row r="14" spans="1:10" ht="15.6" customHeight="1" x14ac:dyDescent="0.3">
      <c r="D14" s="19"/>
      <c r="E14" s="19"/>
      <c r="G14" s="19"/>
      <c r="H14" s="124"/>
      <c r="I14" s="124"/>
      <c r="J14" s="124"/>
    </row>
    <row r="15" spans="1:10" ht="15.6" x14ac:dyDescent="0.3">
      <c r="D15" s="19"/>
      <c r="E15" s="19"/>
      <c r="G15" s="19"/>
      <c r="H15" s="19"/>
    </row>
    <row r="16" spans="1:10" ht="15.6" x14ac:dyDescent="0.3">
      <c r="D16" s="19"/>
      <c r="E16" s="19"/>
      <c r="F16" s="20"/>
      <c r="G16" s="19"/>
      <c r="H16" s="19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1:V182"/>
  <sheetViews>
    <sheetView showGridLines="0" topLeftCell="A17" zoomScaleNormal="100" workbookViewId="0">
      <pane ySplit="3" topLeftCell="A45" activePane="bottomLeft" state="frozen"/>
      <selection activeCell="A17" sqref="A17"/>
      <selection pane="bottomLeft" activeCell="M59" sqref="M59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5" max="5" width="11.21875" customWidth="1"/>
    <col min="6" max="6" width="14.33203125" bestFit="1" customWidth="1"/>
  </cols>
  <sheetData>
    <row r="1" spans="1:19" ht="15.6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5.6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ht="15.6" x14ac:dyDescent="0.3">
      <c r="A3" s="25"/>
      <c r="B3" s="25"/>
      <c r="C3" s="27">
        <f>+C10+F122+IF(D3&gt;=60,1,0)</f>
        <v>9</v>
      </c>
      <c r="D3" s="27">
        <f>+D10+F123+IF(E3&gt;=60,1,0)</f>
        <v>55</v>
      </c>
      <c r="E3" s="28">
        <f>+E10+F124</f>
        <v>89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ht="15.6" x14ac:dyDescent="0.3">
      <c r="A4" s="25"/>
      <c r="B4" s="25"/>
      <c r="C4" s="29">
        <f>+C3</f>
        <v>9</v>
      </c>
      <c r="D4" s="29">
        <f>+IF(D3&gt;=60,D3-60,D3)</f>
        <v>55</v>
      </c>
      <c r="E4" s="30">
        <f>+IF(E3&gt;=60,E3-60,E3)</f>
        <v>29</v>
      </c>
      <c r="F4" s="31"/>
      <c r="G4" s="31"/>
      <c r="H4" s="31"/>
      <c r="I4" s="25"/>
      <c r="J4" s="25"/>
      <c r="K4" s="126" t="str">
        <f>+CONCATENATE("Elemento ",C21)</f>
        <v>Elemento S</v>
      </c>
      <c r="L4" s="127"/>
      <c r="M4" s="25"/>
      <c r="N4" s="126" t="str">
        <f>+CONCATENATE("Elemento ",C22)</f>
        <v>Elemento E</v>
      </c>
      <c r="O4" s="127"/>
      <c r="P4" s="25"/>
      <c r="Q4" s="25"/>
      <c r="R4" s="25"/>
      <c r="S4" s="25"/>
    </row>
    <row r="5" spans="1:19" ht="15.6" x14ac:dyDescent="0.3">
      <c r="A5" s="25"/>
      <c r="B5" s="25"/>
      <c r="C5" s="31"/>
      <c r="D5" s="31"/>
      <c r="E5" s="34"/>
      <c r="F5" s="31"/>
      <c r="G5" s="31"/>
      <c r="H5" s="31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ht="15.6" x14ac:dyDescent="0.3">
      <c r="A6" s="25"/>
      <c r="B6" s="25"/>
      <c r="C6" s="31"/>
      <c r="D6" s="31"/>
      <c r="E6" s="31"/>
      <c r="F6" s="31"/>
      <c r="G6" s="31"/>
      <c r="H6" s="31"/>
      <c r="I6" s="25"/>
      <c r="J6" s="25"/>
      <c r="K6" s="35" t="s">
        <v>18</v>
      </c>
      <c r="L6" s="35" t="s">
        <v>19</v>
      </c>
      <c r="M6" s="25"/>
      <c r="N6" s="35" t="s">
        <v>18</v>
      </c>
      <c r="O6" s="35" t="s">
        <v>19</v>
      </c>
      <c r="P6" s="25"/>
      <c r="Q6" s="25"/>
      <c r="R6" s="25"/>
      <c r="S6" s="25"/>
    </row>
    <row r="7" spans="1:19" ht="15.6" x14ac:dyDescent="0.3">
      <c r="A7" s="25"/>
      <c r="B7" s="25"/>
      <c r="C7" s="36"/>
      <c r="D7" s="31"/>
      <c r="E7" s="31"/>
      <c r="F7" s="31"/>
      <c r="G7" s="31"/>
      <c r="H7" s="31"/>
      <c r="I7" s="25"/>
      <c r="J7" s="25"/>
      <c r="K7" s="37">
        <f ca="1">+OFFSET(D21,H15,0)</f>
        <v>95</v>
      </c>
      <c r="L7" s="37">
        <f ca="1">+OFFSET(E21,H15,0)</f>
        <v>1226</v>
      </c>
      <c r="M7" s="25"/>
      <c r="N7" s="37">
        <f ca="1">+OFFSET(D22,H15,0)</f>
        <v>95</v>
      </c>
      <c r="O7" s="37">
        <f ca="1">+OFFSET(E22,H15,0)</f>
        <v>7424</v>
      </c>
      <c r="P7" s="25"/>
      <c r="Q7" s="25"/>
      <c r="R7" s="25"/>
      <c r="S7" s="25"/>
    </row>
    <row r="8" spans="1:19" ht="15.6" x14ac:dyDescent="0.3">
      <c r="A8" s="25"/>
      <c r="B8" s="25"/>
      <c r="C8" s="35" t="s">
        <v>0</v>
      </c>
      <c r="D8" s="35" t="s">
        <v>1</v>
      </c>
      <c r="E8" s="35" t="s">
        <v>2</v>
      </c>
      <c r="F8" s="25"/>
      <c r="G8" s="25"/>
      <c r="H8" s="25"/>
      <c r="I8" s="25"/>
      <c r="J8" s="25"/>
      <c r="K8" s="37">
        <f t="shared" ref="K8:K26" ca="1" si="0">+OFFSET(D22,H16,0)</f>
        <v>95</v>
      </c>
      <c r="L8" s="37">
        <f t="shared" ref="L8:L26" ca="1" si="1">+OFFSET(E22,H16,0)</f>
        <v>1190</v>
      </c>
      <c r="M8" s="25"/>
      <c r="N8" s="37">
        <f t="shared" ref="N8:N26" ca="1" si="2">+OFFSET(D23,H16,0)</f>
        <v>95</v>
      </c>
      <c r="O8" s="37">
        <f t="shared" ref="O8:O26" ca="1" si="3">+OFFSET(E23,H16,0)</f>
        <v>7461</v>
      </c>
      <c r="P8" s="25"/>
      <c r="Q8" s="25"/>
      <c r="R8" s="25"/>
      <c r="S8" s="25"/>
    </row>
    <row r="9" spans="1:19" ht="15.6" x14ac:dyDescent="0.3">
      <c r="A9" s="25"/>
      <c r="B9" s="38" t="s">
        <v>3</v>
      </c>
      <c r="C9" s="39">
        <f>+C4</f>
        <v>9</v>
      </c>
      <c r="D9" s="39">
        <f>+D4</f>
        <v>55</v>
      </c>
      <c r="E9" s="39">
        <f>+E4</f>
        <v>29</v>
      </c>
      <c r="F9" s="25"/>
      <c r="G9" s="25"/>
      <c r="H9" s="25"/>
      <c r="I9" s="25"/>
      <c r="J9" s="25"/>
      <c r="K9" s="37">
        <f t="shared" ca="1" si="0"/>
        <v>90</v>
      </c>
      <c r="L9" s="37">
        <f t="shared" ca="1" si="1"/>
        <v>1148</v>
      </c>
      <c r="M9" s="25"/>
      <c r="N9" s="37">
        <f t="shared" ca="1" si="2"/>
        <v>105</v>
      </c>
      <c r="O9" s="37">
        <f t="shared" ca="1" si="3"/>
        <v>7504</v>
      </c>
      <c r="P9" s="25"/>
      <c r="Q9" s="25"/>
      <c r="R9" s="25"/>
      <c r="S9" s="25"/>
    </row>
    <row r="10" spans="1:19" ht="15.6" x14ac:dyDescent="0.3">
      <c r="A10" s="25"/>
      <c r="B10" s="38" t="s">
        <v>6</v>
      </c>
      <c r="C10" s="39">
        <v>9</v>
      </c>
      <c r="D10" s="39">
        <v>25</v>
      </c>
      <c r="E10" s="39">
        <v>33</v>
      </c>
      <c r="F10" s="25"/>
      <c r="G10" s="31"/>
      <c r="H10" s="31"/>
      <c r="I10" s="25"/>
      <c r="J10" s="25"/>
      <c r="K10" s="37">
        <f t="shared" ca="1" si="0"/>
        <v>85</v>
      </c>
      <c r="L10" s="37">
        <f t="shared" ca="1" si="1"/>
        <v>1273</v>
      </c>
      <c r="M10" s="25"/>
      <c r="N10" s="37">
        <f t="shared" ca="1" si="2"/>
        <v>100</v>
      </c>
      <c r="O10" s="37">
        <f t="shared" ca="1" si="3"/>
        <v>7501</v>
      </c>
      <c r="P10" s="25"/>
      <c r="Q10" s="25"/>
      <c r="R10" s="25"/>
      <c r="S10" s="25"/>
    </row>
    <row r="11" spans="1:19" ht="15.6" x14ac:dyDescent="0.3">
      <c r="A11" s="25"/>
      <c r="B11" s="25"/>
      <c r="C11" s="25"/>
      <c r="D11" s="25"/>
      <c r="E11" s="25"/>
      <c r="F11" s="25"/>
      <c r="G11" s="31"/>
      <c r="H11" s="31"/>
      <c r="I11" s="25"/>
      <c r="J11" s="25"/>
      <c r="K11" s="37">
        <f t="shared" ca="1" si="0"/>
        <v>90</v>
      </c>
      <c r="L11" s="37">
        <f t="shared" ca="1" si="1"/>
        <v>1113</v>
      </c>
      <c r="M11" s="25"/>
      <c r="N11" s="37">
        <f t="shared" ca="1" si="2"/>
        <v>90</v>
      </c>
      <c r="O11" s="37">
        <f t="shared" ca="1" si="3"/>
        <v>7508</v>
      </c>
      <c r="P11" s="25"/>
      <c r="Q11" s="25"/>
      <c r="R11" s="25"/>
      <c r="S11" s="25"/>
    </row>
    <row r="12" spans="1:19" ht="15.6" x14ac:dyDescent="0.3">
      <c r="A12" s="25"/>
      <c r="B12" s="27"/>
      <c r="C12" s="25"/>
      <c r="D12" s="25"/>
      <c r="E12" s="25"/>
      <c r="F12" s="25"/>
      <c r="G12" s="31"/>
      <c r="H12" s="31"/>
      <c r="I12" s="25"/>
      <c r="J12" s="25"/>
      <c r="K12" s="37">
        <f t="shared" ca="1" si="0"/>
        <v>85</v>
      </c>
      <c r="L12" s="37">
        <f t="shared" ca="1" si="1"/>
        <v>1289</v>
      </c>
      <c r="M12" s="25"/>
      <c r="N12" s="37">
        <f t="shared" ca="1" si="2"/>
        <v>95</v>
      </c>
      <c r="O12" s="37">
        <f t="shared" ca="1" si="3"/>
        <v>7569</v>
      </c>
      <c r="P12" s="25"/>
      <c r="Q12" s="25"/>
      <c r="R12" s="25"/>
      <c r="S12" s="25"/>
    </row>
    <row r="13" spans="1:19" ht="15.6" x14ac:dyDescent="0.3">
      <c r="A13" s="25"/>
      <c r="B13" s="27"/>
      <c r="C13" s="25"/>
      <c r="D13" s="25"/>
      <c r="E13" s="25"/>
      <c r="F13" s="25"/>
      <c r="G13" s="31"/>
      <c r="H13" s="31"/>
      <c r="I13" s="25"/>
      <c r="J13" s="25"/>
      <c r="K13" s="37">
        <f t="shared" ca="1" si="0"/>
        <v>95</v>
      </c>
      <c r="L13" s="37">
        <f t="shared" ca="1" si="1"/>
        <v>1178</v>
      </c>
      <c r="M13" s="25"/>
      <c r="N13" s="37">
        <f t="shared" ca="1" si="2"/>
        <v>105</v>
      </c>
      <c r="O13" s="37">
        <f t="shared" ca="1" si="3"/>
        <v>7486</v>
      </c>
      <c r="P13" s="25"/>
      <c r="Q13" s="25"/>
      <c r="R13" s="25"/>
      <c r="S13" s="25"/>
    </row>
    <row r="14" spans="1:19" ht="15.6" x14ac:dyDescent="0.3">
      <c r="A14" s="25"/>
      <c r="B14" s="27"/>
      <c r="C14" s="25"/>
      <c r="D14" s="25"/>
      <c r="E14" s="25"/>
      <c r="F14" s="25"/>
      <c r="G14" s="25"/>
      <c r="H14" s="25"/>
      <c r="I14" s="25"/>
      <c r="J14" s="25"/>
      <c r="K14" s="37">
        <f t="shared" ca="1" si="0"/>
        <v>85</v>
      </c>
      <c r="L14" s="37">
        <f t="shared" ca="1" si="1"/>
        <v>1294</v>
      </c>
      <c r="M14" s="25"/>
      <c r="N14" s="37">
        <f t="shared" ca="1" si="2"/>
        <v>95</v>
      </c>
      <c r="O14" s="37">
        <f t="shared" ca="1" si="3"/>
        <v>7484</v>
      </c>
      <c r="P14" s="25"/>
      <c r="Q14" s="25"/>
      <c r="R14" s="25"/>
      <c r="S14" s="25"/>
    </row>
    <row r="15" spans="1:19" ht="15.6" x14ac:dyDescent="0.3">
      <c r="A15" s="25"/>
      <c r="B15" s="27"/>
      <c r="C15" s="128" t="s">
        <v>130</v>
      </c>
      <c r="D15" s="128"/>
      <c r="E15" s="128"/>
      <c r="F15" s="129"/>
      <c r="G15" s="40">
        <v>2</v>
      </c>
      <c r="H15" s="41">
        <v>0</v>
      </c>
      <c r="I15" s="25"/>
      <c r="J15" s="25"/>
      <c r="K15" s="37">
        <f t="shared" ca="1" si="0"/>
        <v>100</v>
      </c>
      <c r="L15" s="37">
        <f t="shared" ca="1" si="1"/>
        <v>1281</v>
      </c>
      <c r="M15" s="25"/>
      <c r="N15" s="37">
        <f t="shared" ca="1" si="2"/>
        <v>90</v>
      </c>
      <c r="O15" s="37">
        <f t="shared" ca="1" si="3"/>
        <v>7489</v>
      </c>
      <c r="P15" s="25"/>
      <c r="Q15" s="25"/>
      <c r="R15" s="25"/>
      <c r="S15" s="25"/>
    </row>
    <row r="16" spans="1:19" ht="15.6" x14ac:dyDescent="0.3">
      <c r="A16" s="25"/>
      <c r="B16" s="27"/>
      <c r="C16" s="25"/>
      <c r="D16" s="25"/>
      <c r="E16" s="25"/>
      <c r="F16" s="25"/>
      <c r="G16" s="25"/>
      <c r="H16" s="41">
        <f>+H15+$G$15-1</f>
        <v>1</v>
      </c>
      <c r="I16" s="25"/>
      <c r="J16" s="25"/>
      <c r="K16" s="37">
        <f t="shared" ca="1" si="0"/>
        <v>100</v>
      </c>
      <c r="L16" s="37">
        <f t="shared" ca="1" si="1"/>
        <v>1189</v>
      </c>
      <c r="M16" s="25"/>
      <c r="N16" s="37">
        <f t="shared" ca="1" si="2"/>
        <v>105</v>
      </c>
      <c r="O16" s="37">
        <f t="shared" ca="1" si="3"/>
        <v>7470</v>
      </c>
      <c r="P16" s="25"/>
      <c r="Q16" s="25"/>
      <c r="R16" s="25"/>
      <c r="S16" s="25"/>
    </row>
    <row r="17" spans="1:19" ht="15.6" x14ac:dyDescent="0.3">
      <c r="A17" s="31"/>
      <c r="B17" s="31"/>
      <c r="C17" s="31"/>
      <c r="D17" s="31"/>
      <c r="E17" s="31"/>
      <c r="F17" s="31"/>
      <c r="G17" s="25"/>
      <c r="H17" s="41">
        <f t="shared" ref="H17:H35" si="4">+H16+$G$15-1</f>
        <v>2</v>
      </c>
      <c r="I17" s="25"/>
      <c r="J17" s="25"/>
      <c r="K17" s="37">
        <f t="shared" ca="1" si="0"/>
        <v>90</v>
      </c>
      <c r="L17" s="37">
        <f t="shared" ca="1" si="1"/>
        <v>1131</v>
      </c>
      <c r="M17" s="25"/>
      <c r="N17" s="37">
        <f t="shared" ca="1" si="2"/>
        <v>100</v>
      </c>
      <c r="O17" s="37">
        <f t="shared" ca="1" si="3"/>
        <v>7562</v>
      </c>
      <c r="P17" s="25"/>
      <c r="Q17" s="25"/>
      <c r="R17" s="25"/>
      <c r="S17" s="25"/>
    </row>
    <row r="18" spans="1:19" ht="15.6" x14ac:dyDescent="0.3">
      <c r="A18" s="31"/>
      <c r="B18" s="31"/>
      <c r="C18" s="31"/>
      <c r="D18" s="31"/>
      <c r="E18" s="31"/>
      <c r="F18" s="31"/>
      <c r="G18" s="25"/>
      <c r="H18" s="41">
        <f t="shared" si="4"/>
        <v>3</v>
      </c>
      <c r="I18" s="25"/>
      <c r="J18" s="25"/>
      <c r="K18" s="37">
        <f t="shared" ca="1" si="0"/>
        <v>95</v>
      </c>
      <c r="L18" s="37">
        <f t="shared" ca="1" si="1"/>
        <v>1147</v>
      </c>
      <c r="M18" s="25"/>
      <c r="N18" s="37">
        <f t="shared" ca="1" si="2"/>
        <v>105</v>
      </c>
      <c r="O18" s="37">
        <f t="shared" ca="1" si="3"/>
        <v>7532</v>
      </c>
      <c r="P18" s="25"/>
      <c r="Q18" s="25"/>
      <c r="R18" s="25"/>
      <c r="S18" s="25"/>
    </row>
    <row r="19" spans="1:19" ht="15.6" x14ac:dyDescent="0.3">
      <c r="A19" s="31"/>
      <c r="B19" s="40"/>
      <c r="C19" s="35" t="s">
        <v>28</v>
      </c>
      <c r="D19" s="35" t="s">
        <v>18</v>
      </c>
      <c r="E19" s="35" t="s">
        <v>19</v>
      </c>
      <c r="F19" s="31"/>
      <c r="G19" s="25"/>
      <c r="H19" s="41">
        <f t="shared" si="4"/>
        <v>4</v>
      </c>
      <c r="I19" s="25"/>
      <c r="J19" s="25"/>
      <c r="K19" s="37">
        <f t="shared" ca="1" si="0"/>
        <v>95</v>
      </c>
      <c r="L19" s="37">
        <f t="shared" ca="1" si="1"/>
        <v>1282</v>
      </c>
      <c r="M19" s="25"/>
      <c r="N19" s="37">
        <f t="shared" ca="1" si="2"/>
        <v>100</v>
      </c>
      <c r="O19" s="37">
        <f t="shared" ca="1" si="3"/>
        <v>7555</v>
      </c>
      <c r="P19" s="25"/>
      <c r="Q19" s="25"/>
      <c r="R19" s="25"/>
      <c r="S19" s="25"/>
    </row>
    <row r="20" spans="1:19" ht="15.6" x14ac:dyDescent="0.3">
      <c r="A20" s="31"/>
      <c r="B20" s="32" t="str">
        <f>+CONCATENATE("E = ",C10,"h",D10,"'",E10,"''")</f>
        <v>E = 9h25'33''</v>
      </c>
      <c r="C20" s="40" t="s">
        <v>11</v>
      </c>
      <c r="D20" s="40" t="s">
        <v>52</v>
      </c>
      <c r="E20" s="40">
        <v>3251</v>
      </c>
      <c r="F20" s="31"/>
      <c r="G20" s="25"/>
      <c r="H20" s="41">
        <f t="shared" si="4"/>
        <v>5</v>
      </c>
      <c r="I20" s="25"/>
      <c r="J20" s="25"/>
      <c r="K20" s="37">
        <f t="shared" ca="1" si="0"/>
        <v>95</v>
      </c>
      <c r="L20" s="37">
        <f t="shared" ca="1" si="1"/>
        <v>1219</v>
      </c>
      <c r="M20" s="25"/>
      <c r="N20" s="37">
        <f t="shared" ca="1" si="2"/>
        <v>95</v>
      </c>
      <c r="O20" s="37">
        <f t="shared" ca="1" si="3"/>
        <v>7464</v>
      </c>
      <c r="P20" s="25"/>
      <c r="Q20" s="25"/>
      <c r="R20" s="25"/>
      <c r="S20" s="25"/>
    </row>
    <row r="21" spans="1:19" ht="15.6" x14ac:dyDescent="0.3">
      <c r="A21" s="31"/>
      <c r="B21" s="125" t="s">
        <v>60</v>
      </c>
      <c r="C21" s="40" t="str">
        <f>+'Elementos de la operación'!F3</f>
        <v>S</v>
      </c>
      <c r="D21" s="40">
        <v>95</v>
      </c>
      <c r="E21" s="40">
        <v>1226</v>
      </c>
      <c r="F21" s="31"/>
      <c r="G21" s="25"/>
      <c r="H21" s="41">
        <f t="shared" si="4"/>
        <v>6</v>
      </c>
      <c r="I21" s="25"/>
      <c r="J21" s="25"/>
      <c r="K21" s="37">
        <f t="shared" ca="1" si="0"/>
        <v>100</v>
      </c>
      <c r="L21" s="37">
        <f t="shared" ca="1" si="1"/>
        <v>1146</v>
      </c>
      <c r="M21" s="25"/>
      <c r="N21" s="37">
        <f t="shared" ca="1" si="2"/>
        <v>100</v>
      </c>
      <c r="O21" s="37">
        <f t="shared" ca="1" si="3"/>
        <v>7450</v>
      </c>
      <c r="P21" s="25"/>
      <c r="Q21" s="25"/>
      <c r="R21" s="25"/>
      <c r="S21" s="25"/>
    </row>
    <row r="22" spans="1:19" ht="15.6" x14ac:dyDescent="0.3">
      <c r="A22" s="31"/>
      <c r="B22" s="125"/>
      <c r="C22" s="40" t="str">
        <f>+'Elementos de la operación'!F4</f>
        <v>E</v>
      </c>
      <c r="D22" s="40">
        <v>95</v>
      </c>
      <c r="E22" s="40">
        <v>7424</v>
      </c>
      <c r="F22" s="31"/>
      <c r="G22" s="25"/>
      <c r="H22" s="41">
        <f t="shared" si="4"/>
        <v>7</v>
      </c>
      <c r="I22" s="25"/>
      <c r="J22" s="25"/>
      <c r="K22" s="37">
        <f t="shared" ca="1" si="0"/>
        <v>95</v>
      </c>
      <c r="L22" s="37">
        <f t="shared" ca="1" si="1"/>
        <v>1213</v>
      </c>
      <c r="M22" s="25"/>
      <c r="N22" s="37">
        <f t="shared" ca="1" si="2"/>
        <v>100</v>
      </c>
      <c r="O22" s="37">
        <f t="shared" ca="1" si="3"/>
        <v>7403</v>
      </c>
      <c r="P22" s="25"/>
      <c r="Q22" s="25"/>
      <c r="R22" s="25"/>
      <c r="S22" s="25"/>
    </row>
    <row r="23" spans="1:19" ht="15.6" x14ac:dyDescent="0.3">
      <c r="A23" s="31"/>
      <c r="B23" s="125" t="s">
        <v>61</v>
      </c>
      <c r="C23" s="40" t="str">
        <f>+C21</f>
        <v>S</v>
      </c>
      <c r="D23" s="40">
        <v>95</v>
      </c>
      <c r="E23" s="40">
        <v>1190</v>
      </c>
      <c r="F23" s="31"/>
      <c r="G23" s="25"/>
      <c r="H23" s="41">
        <f>+H22+$G$15-1</f>
        <v>8</v>
      </c>
      <c r="I23" s="25"/>
      <c r="J23" s="25"/>
      <c r="K23" s="37">
        <f t="shared" ca="1" si="0"/>
        <v>100</v>
      </c>
      <c r="L23" s="37">
        <f t="shared" ca="1" si="1"/>
        <v>1294</v>
      </c>
      <c r="M23" s="25"/>
      <c r="N23" s="37">
        <f t="shared" ca="1" si="2"/>
        <v>105</v>
      </c>
      <c r="O23" s="37">
        <f t="shared" ca="1" si="3"/>
        <v>7452</v>
      </c>
      <c r="P23" s="25"/>
      <c r="Q23" s="25"/>
      <c r="R23" s="25"/>
      <c r="S23" s="25"/>
    </row>
    <row r="24" spans="1:19" ht="15.6" x14ac:dyDescent="0.3">
      <c r="A24" s="31"/>
      <c r="B24" s="125"/>
      <c r="C24" s="40" t="str">
        <f>+C22</f>
        <v>E</v>
      </c>
      <c r="D24" s="40">
        <v>95</v>
      </c>
      <c r="E24" s="40">
        <v>7461</v>
      </c>
      <c r="F24" s="31"/>
      <c r="G24" s="25"/>
      <c r="H24" s="41">
        <f t="shared" si="4"/>
        <v>9</v>
      </c>
      <c r="I24" s="25"/>
      <c r="J24" s="25"/>
      <c r="K24" s="37">
        <f t="shared" ca="1" si="0"/>
        <v>95</v>
      </c>
      <c r="L24" s="37">
        <f t="shared" ca="1" si="1"/>
        <v>1142</v>
      </c>
      <c r="M24" s="25"/>
      <c r="N24" s="37">
        <f t="shared" ca="1" si="2"/>
        <v>100</v>
      </c>
      <c r="O24" s="37">
        <f t="shared" ca="1" si="3"/>
        <v>7493</v>
      </c>
      <c r="P24" s="25"/>
      <c r="Q24" s="25"/>
      <c r="R24" s="25"/>
      <c r="S24" s="25"/>
    </row>
    <row r="25" spans="1:19" ht="15.6" x14ac:dyDescent="0.3">
      <c r="A25" s="31"/>
      <c r="B25" s="125" t="s">
        <v>62</v>
      </c>
      <c r="C25" s="40" t="str">
        <f t="shared" ref="C25:C60" si="5">+C23</f>
        <v>S</v>
      </c>
      <c r="D25" s="40">
        <v>90</v>
      </c>
      <c r="E25" s="40">
        <v>1148</v>
      </c>
      <c r="F25" s="31"/>
      <c r="G25" s="25"/>
      <c r="H25" s="41">
        <f t="shared" si="4"/>
        <v>10</v>
      </c>
      <c r="I25" s="25"/>
      <c r="J25" s="25"/>
      <c r="K25" s="37">
        <f t="shared" ca="1" si="0"/>
        <v>90</v>
      </c>
      <c r="L25" s="37">
        <f t="shared" ca="1" si="1"/>
        <v>1274</v>
      </c>
      <c r="M25" s="25"/>
      <c r="N25" s="37">
        <f t="shared" ca="1" si="2"/>
        <v>105</v>
      </c>
      <c r="O25" s="37">
        <f t="shared" ca="1" si="3"/>
        <v>7555</v>
      </c>
      <c r="P25" s="25"/>
      <c r="Q25" s="25"/>
      <c r="R25" s="25"/>
      <c r="S25" s="25"/>
    </row>
    <row r="26" spans="1:19" ht="15.6" x14ac:dyDescent="0.3">
      <c r="A26" s="31"/>
      <c r="B26" s="125"/>
      <c r="C26" s="40" t="str">
        <f t="shared" si="5"/>
        <v>E</v>
      </c>
      <c r="D26" s="40">
        <v>105</v>
      </c>
      <c r="E26" s="40">
        <v>7504</v>
      </c>
      <c r="F26" s="31"/>
      <c r="G26" s="25"/>
      <c r="H26" s="41">
        <f>+H25+$G$15-1</f>
        <v>11</v>
      </c>
      <c r="I26" s="25"/>
      <c r="J26" s="25"/>
      <c r="K26" s="37">
        <f t="shared" ca="1" si="0"/>
        <v>100</v>
      </c>
      <c r="L26" s="37">
        <f t="shared" ca="1" si="1"/>
        <v>1191</v>
      </c>
      <c r="M26" s="25"/>
      <c r="N26" s="37">
        <f t="shared" ca="1" si="2"/>
        <v>90</v>
      </c>
      <c r="O26" s="37">
        <f t="shared" ca="1" si="3"/>
        <v>7477</v>
      </c>
      <c r="P26" s="25"/>
      <c r="Q26" s="25"/>
      <c r="R26" s="25"/>
      <c r="S26" s="25"/>
    </row>
    <row r="27" spans="1:19" ht="15.6" x14ac:dyDescent="0.3">
      <c r="A27" s="31"/>
      <c r="B27" s="125" t="s">
        <v>63</v>
      </c>
      <c r="C27" s="40" t="str">
        <f t="shared" si="5"/>
        <v>S</v>
      </c>
      <c r="D27" s="40">
        <v>85</v>
      </c>
      <c r="E27" s="40">
        <v>1273</v>
      </c>
      <c r="F27" s="31"/>
      <c r="G27" s="25"/>
      <c r="H27" s="41">
        <f t="shared" si="4"/>
        <v>12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15.6" x14ac:dyDescent="0.3">
      <c r="A28" s="31"/>
      <c r="B28" s="125"/>
      <c r="C28" s="40" t="str">
        <f t="shared" si="5"/>
        <v>E</v>
      </c>
      <c r="D28" s="40">
        <v>100</v>
      </c>
      <c r="E28" s="40">
        <v>7501</v>
      </c>
      <c r="F28" s="31"/>
      <c r="G28" s="25"/>
      <c r="H28" s="41">
        <f t="shared" si="4"/>
        <v>13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 ht="15.6" x14ac:dyDescent="0.3">
      <c r="A29" s="31"/>
      <c r="B29" s="125" t="s">
        <v>64</v>
      </c>
      <c r="C29" s="40" t="str">
        <f t="shared" si="5"/>
        <v>S</v>
      </c>
      <c r="D29" s="40">
        <v>90</v>
      </c>
      <c r="E29" s="40">
        <v>1113</v>
      </c>
      <c r="F29" s="31"/>
      <c r="G29" s="25"/>
      <c r="H29" s="41">
        <f t="shared" si="4"/>
        <v>14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 ht="15.6" x14ac:dyDescent="0.3">
      <c r="A30" s="31"/>
      <c r="B30" s="125"/>
      <c r="C30" s="40" t="str">
        <f t="shared" si="5"/>
        <v>E</v>
      </c>
      <c r="D30" s="40">
        <v>90</v>
      </c>
      <c r="E30" s="40">
        <v>7508</v>
      </c>
      <c r="F30" s="31"/>
      <c r="G30" s="25"/>
      <c r="H30" s="41">
        <f t="shared" si="4"/>
        <v>15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 ht="15.6" x14ac:dyDescent="0.3">
      <c r="A31" s="31"/>
      <c r="B31" s="125" t="s">
        <v>65</v>
      </c>
      <c r="C31" s="40" t="str">
        <f t="shared" si="5"/>
        <v>S</v>
      </c>
      <c r="D31" s="40">
        <v>85</v>
      </c>
      <c r="E31" s="40">
        <v>1289</v>
      </c>
      <c r="F31" s="31"/>
      <c r="G31" s="25"/>
      <c r="H31" s="41">
        <f t="shared" si="4"/>
        <v>16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 ht="15.6" x14ac:dyDescent="0.3">
      <c r="A32" s="31"/>
      <c r="B32" s="125"/>
      <c r="C32" s="40" t="str">
        <f t="shared" si="5"/>
        <v>E</v>
      </c>
      <c r="D32" s="40">
        <v>95</v>
      </c>
      <c r="E32" s="40">
        <v>7569</v>
      </c>
      <c r="F32" s="31"/>
      <c r="G32" s="25"/>
      <c r="H32" s="41">
        <f t="shared" si="4"/>
        <v>17</v>
      </c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 ht="15.6" x14ac:dyDescent="0.3">
      <c r="A33" s="31"/>
      <c r="B33" s="125" t="s">
        <v>66</v>
      </c>
      <c r="C33" s="40" t="str">
        <f t="shared" si="5"/>
        <v>S</v>
      </c>
      <c r="D33" s="40">
        <v>95</v>
      </c>
      <c r="E33" s="40">
        <v>1178</v>
      </c>
      <c r="F33" s="31"/>
      <c r="G33" s="25"/>
      <c r="H33" s="41">
        <f t="shared" si="4"/>
        <v>18</v>
      </c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 ht="15.6" x14ac:dyDescent="0.3">
      <c r="A34" s="31"/>
      <c r="B34" s="125"/>
      <c r="C34" s="40" t="str">
        <f t="shared" si="5"/>
        <v>E</v>
      </c>
      <c r="D34" s="40">
        <v>105</v>
      </c>
      <c r="E34" s="40">
        <v>7486</v>
      </c>
      <c r="F34" s="31"/>
      <c r="G34" s="25"/>
      <c r="H34" s="41">
        <f t="shared" si="4"/>
        <v>19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 ht="15.6" x14ac:dyDescent="0.3">
      <c r="A35" s="31"/>
      <c r="B35" s="125" t="s">
        <v>67</v>
      </c>
      <c r="C35" s="40" t="str">
        <f t="shared" si="5"/>
        <v>S</v>
      </c>
      <c r="D35" s="40">
        <v>85</v>
      </c>
      <c r="E35" s="40">
        <v>1294</v>
      </c>
      <c r="F35" s="31"/>
      <c r="G35" s="25"/>
      <c r="H35" s="41">
        <f t="shared" si="4"/>
        <v>20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1:19" ht="15.6" x14ac:dyDescent="0.3">
      <c r="A36" s="31"/>
      <c r="B36" s="125"/>
      <c r="C36" s="40" t="str">
        <f t="shared" si="5"/>
        <v>E</v>
      </c>
      <c r="D36" s="40">
        <v>95</v>
      </c>
      <c r="E36" s="40">
        <v>7484</v>
      </c>
      <c r="F36" s="31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1:19" ht="15.6" x14ac:dyDescent="0.3">
      <c r="A37" s="31"/>
      <c r="B37" s="125" t="s">
        <v>68</v>
      </c>
      <c r="C37" s="40" t="str">
        <f t="shared" si="5"/>
        <v>S</v>
      </c>
      <c r="D37" s="40">
        <v>100</v>
      </c>
      <c r="E37" s="40">
        <v>1281</v>
      </c>
      <c r="F37" s="31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 ht="15.6" x14ac:dyDescent="0.3">
      <c r="A38" s="31"/>
      <c r="B38" s="125"/>
      <c r="C38" s="40" t="str">
        <f t="shared" si="5"/>
        <v>E</v>
      </c>
      <c r="D38" s="40">
        <v>90</v>
      </c>
      <c r="E38" s="40">
        <v>7489</v>
      </c>
      <c r="F38" s="31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spans="1:19" ht="15.6" x14ac:dyDescent="0.3">
      <c r="A39" s="31"/>
      <c r="B39" s="125" t="s">
        <v>69</v>
      </c>
      <c r="C39" s="40" t="str">
        <f t="shared" si="5"/>
        <v>S</v>
      </c>
      <c r="D39" s="40">
        <v>100</v>
      </c>
      <c r="E39" s="40">
        <v>1189</v>
      </c>
      <c r="F39" s="31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1:19" ht="15.6" x14ac:dyDescent="0.3">
      <c r="A40" s="31"/>
      <c r="B40" s="125"/>
      <c r="C40" s="40" t="str">
        <f t="shared" si="5"/>
        <v>E</v>
      </c>
      <c r="D40" s="40">
        <v>105</v>
      </c>
      <c r="E40" s="40">
        <v>7470</v>
      </c>
      <c r="F40" s="31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1:19" ht="15.6" x14ac:dyDescent="0.3">
      <c r="A41" s="31"/>
      <c r="B41" s="125" t="s">
        <v>70</v>
      </c>
      <c r="C41" s="40" t="str">
        <f t="shared" si="5"/>
        <v>S</v>
      </c>
      <c r="D41" s="40">
        <v>90</v>
      </c>
      <c r="E41" s="40">
        <v>1131</v>
      </c>
      <c r="F41" s="31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1:19" ht="15.6" x14ac:dyDescent="0.3">
      <c r="A42" s="31"/>
      <c r="B42" s="125"/>
      <c r="C42" s="40" t="str">
        <f t="shared" si="5"/>
        <v>E</v>
      </c>
      <c r="D42" s="40">
        <v>100</v>
      </c>
      <c r="E42" s="40">
        <v>7562</v>
      </c>
      <c r="F42" s="31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spans="1:19" ht="15.6" x14ac:dyDescent="0.3">
      <c r="A43" s="31"/>
      <c r="B43" s="125" t="s">
        <v>71</v>
      </c>
      <c r="C43" s="40" t="str">
        <f t="shared" si="5"/>
        <v>S</v>
      </c>
      <c r="D43" s="40">
        <v>95</v>
      </c>
      <c r="E43" s="40">
        <v>1147</v>
      </c>
      <c r="F43" s="31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1:19" ht="15.6" x14ac:dyDescent="0.3">
      <c r="A44" s="31"/>
      <c r="B44" s="125"/>
      <c r="C44" s="40" t="str">
        <f t="shared" si="5"/>
        <v>E</v>
      </c>
      <c r="D44" s="40">
        <v>105</v>
      </c>
      <c r="E44" s="40">
        <v>7532</v>
      </c>
      <c r="F44" s="31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1:19" ht="15.6" x14ac:dyDescent="0.3">
      <c r="A45" s="31"/>
      <c r="B45" s="125" t="s">
        <v>72</v>
      </c>
      <c r="C45" s="40" t="str">
        <f t="shared" si="5"/>
        <v>S</v>
      </c>
      <c r="D45" s="40">
        <v>95</v>
      </c>
      <c r="E45" s="40">
        <v>1282</v>
      </c>
      <c r="F45" s="31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1:19" ht="15.6" x14ac:dyDescent="0.3">
      <c r="A46" s="31"/>
      <c r="B46" s="125"/>
      <c r="C46" s="40" t="str">
        <f t="shared" si="5"/>
        <v>E</v>
      </c>
      <c r="D46" s="40">
        <v>100</v>
      </c>
      <c r="E46" s="40">
        <v>7555</v>
      </c>
      <c r="F46" s="31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spans="1:19" ht="15.6" x14ac:dyDescent="0.3">
      <c r="A47" s="31"/>
      <c r="B47" s="125" t="s">
        <v>73</v>
      </c>
      <c r="C47" s="40" t="str">
        <f t="shared" si="5"/>
        <v>S</v>
      </c>
      <c r="D47" s="40">
        <v>95</v>
      </c>
      <c r="E47" s="40">
        <v>1219</v>
      </c>
      <c r="F47" s="31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19" ht="15.6" x14ac:dyDescent="0.3">
      <c r="A48" s="31"/>
      <c r="B48" s="125"/>
      <c r="C48" s="40" t="str">
        <f t="shared" si="5"/>
        <v>E</v>
      </c>
      <c r="D48" s="40">
        <v>95</v>
      </c>
      <c r="E48" s="40">
        <v>7464</v>
      </c>
      <c r="F48" s="31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spans="1:19" ht="15.6" x14ac:dyDescent="0.3">
      <c r="A49" s="31"/>
      <c r="B49" s="125" t="s">
        <v>74</v>
      </c>
      <c r="C49" s="40" t="str">
        <f t="shared" si="5"/>
        <v>S</v>
      </c>
      <c r="D49" s="40">
        <v>100</v>
      </c>
      <c r="E49" s="40">
        <v>1146</v>
      </c>
      <c r="F49" s="31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1:19" ht="15.6" x14ac:dyDescent="0.3">
      <c r="A50" s="31"/>
      <c r="B50" s="125"/>
      <c r="C50" s="40" t="str">
        <f t="shared" si="5"/>
        <v>E</v>
      </c>
      <c r="D50" s="40">
        <v>100</v>
      </c>
      <c r="E50" s="40">
        <v>7450</v>
      </c>
      <c r="F50" s="31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1:19" ht="15.6" x14ac:dyDescent="0.3">
      <c r="A51" s="31"/>
      <c r="B51" s="125" t="s">
        <v>75</v>
      </c>
      <c r="C51" s="40" t="str">
        <f t="shared" si="5"/>
        <v>S</v>
      </c>
      <c r="D51" s="40">
        <v>95</v>
      </c>
      <c r="E51" s="40">
        <v>1213</v>
      </c>
      <c r="F51" s="31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1:19" ht="15.6" x14ac:dyDescent="0.3">
      <c r="A52" s="31"/>
      <c r="B52" s="125"/>
      <c r="C52" s="40" t="str">
        <f t="shared" si="5"/>
        <v>E</v>
      </c>
      <c r="D52" s="40">
        <v>100</v>
      </c>
      <c r="E52" s="40">
        <v>7403</v>
      </c>
      <c r="F52" s="31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1:19" ht="15.6" x14ac:dyDescent="0.3">
      <c r="A53" s="31"/>
      <c r="B53" s="125" t="s">
        <v>76</v>
      </c>
      <c r="C53" s="40" t="str">
        <f t="shared" si="5"/>
        <v>S</v>
      </c>
      <c r="D53" s="40">
        <v>100</v>
      </c>
      <c r="E53" s="40">
        <v>1294</v>
      </c>
      <c r="F53" s="31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1:19" ht="15.6" x14ac:dyDescent="0.3">
      <c r="A54" s="31"/>
      <c r="B54" s="125"/>
      <c r="C54" s="40" t="str">
        <f t="shared" si="5"/>
        <v>E</v>
      </c>
      <c r="D54" s="40">
        <v>105</v>
      </c>
      <c r="E54" s="40">
        <v>7452</v>
      </c>
      <c r="F54" s="31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spans="1:19" ht="15.6" x14ac:dyDescent="0.3">
      <c r="A55" s="31"/>
      <c r="B55" s="125" t="s">
        <v>77</v>
      </c>
      <c r="C55" s="40" t="str">
        <f t="shared" si="5"/>
        <v>S</v>
      </c>
      <c r="D55" s="40">
        <v>95</v>
      </c>
      <c r="E55" s="40">
        <v>1142</v>
      </c>
      <c r="F55" s="31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spans="1:19" ht="15.6" x14ac:dyDescent="0.3">
      <c r="A56" s="31"/>
      <c r="B56" s="125"/>
      <c r="C56" s="40" t="str">
        <f t="shared" si="5"/>
        <v>E</v>
      </c>
      <c r="D56" s="40">
        <v>100</v>
      </c>
      <c r="E56" s="40">
        <v>7493</v>
      </c>
      <c r="F56" s="31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spans="1:19" ht="15.6" x14ac:dyDescent="0.3">
      <c r="A57" s="31"/>
      <c r="B57" s="125" t="s">
        <v>78</v>
      </c>
      <c r="C57" s="40" t="str">
        <f t="shared" si="5"/>
        <v>S</v>
      </c>
      <c r="D57" s="40">
        <v>90</v>
      </c>
      <c r="E57" s="40">
        <v>1274</v>
      </c>
      <c r="F57" s="31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spans="1:19" ht="15.6" x14ac:dyDescent="0.3">
      <c r="A58" s="31"/>
      <c r="B58" s="125"/>
      <c r="C58" s="40" t="str">
        <f t="shared" si="5"/>
        <v>E</v>
      </c>
      <c r="D58" s="40">
        <v>105</v>
      </c>
      <c r="E58" s="40">
        <v>7555</v>
      </c>
      <c r="F58" s="31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spans="1:19" ht="15.6" x14ac:dyDescent="0.3">
      <c r="A59" s="31"/>
      <c r="B59" s="125" t="s">
        <v>79</v>
      </c>
      <c r="C59" s="40" t="str">
        <f t="shared" si="5"/>
        <v>S</v>
      </c>
      <c r="D59" s="40">
        <v>100</v>
      </c>
      <c r="E59" s="40">
        <v>1191</v>
      </c>
      <c r="F59" s="31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spans="1:19" ht="15.6" x14ac:dyDescent="0.3">
      <c r="A60" s="31"/>
      <c r="B60" s="125"/>
      <c r="C60" s="40" t="str">
        <f t="shared" si="5"/>
        <v>E</v>
      </c>
      <c r="D60" s="40">
        <v>90</v>
      </c>
      <c r="E60" s="40">
        <v>7477</v>
      </c>
      <c r="F60" s="31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spans="1:19" ht="15.6" x14ac:dyDescent="0.3">
      <c r="A61" s="31"/>
      <c r="B61" s="40" t="str">
        <f>+CONCATENATE("T = ",C9,"h",D9,"'",E9,"''")</f>
        <v>T = 9h55'29''</v>
      </c>
      <c r="C61" s="40" t="s">
        <v>12</v>
      </c>
      <c r="D61" s="40" t="s">
        <v>52</v>
      </c>
      <c r="E61" s="40">
        <v>2269</v>
      </c>
      <c r="F61" s="31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</row>
    <row r="62" spans="1:19" ht="15.6" x14ac:dyDescent="0.3">
      <c r="A62" s="31"/>
      <c r="B62" s="40"/>
      <c r="C62" s="40"/>
      <c r="D62" s="40" t="s">
        <v>16</v>
      </c>
      <c r="E62" s="40">
        <f>+SUM(E20:E61)</f>
        <v>179579</v>
      </c>
      <c r="F62" s="31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spans="1:19" ht="15.6" x14ac:dyDescent="0.3">
      <c r="A63" s="31"/>
      <c r="B63" s="31"/>
      <c r="C63" s="31"/>
      <c r="D63" s="31"/>
      <c r="E63" s="31"/>
      <c r="F63" s="31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ht="15.6" x14ac:dyDescent="0.3">
      <c r="A64" s="25"/>
      <c r="B64" s="25"/>
      <c r="C64" s="25"/>
      <c r="D64" s="25"/>
      <c r="E64" s="25">
        <f>+E62/100</f>
        <v>1795.79</v>
      </c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ht="15.6" x14ac:dyDescent="0.3">
      <c r="A65" s="25"/>
      <c r="B65" s="25"/>
      <c r="C65" s="25"/>
      <c r="D65" s="25"/>
      <c r="E65" s="25">
        <f>+E64/3600</f>
        <v>0.49883055555555555</v>
      </c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spans="1:19" ht="15.6" x14ac:dyDescent="0.3">
      <c r="A66" s="25"/>
      <c r="B66" s="41"/>
      <c r="C66" s="41"/>
      <c r="D66" s="41"/>
      <c r="E66" s="41">
        <f>+(E65-F122)*60</f>
        <v>29.929833333333335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spans="1:19" ht="15.6" x14ac:dyDescent="0.3">
      <c r="A67" s="25"/>
      <c r="B67" s="42"/>
      <c r="C67" s="42"/>
      <c r="D67" s="42"/>
      <c r="E67" s="42">
        <f>+(E66-F123)*60</f>
        <v>55.790000000000077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spans="1:19" ht="15.6" x14ac:dyDescent="0.3">
      <c r="A68" s="25"/>
      <c r="B68" s="42"/>
      <c r="C68" s="42"/>
      <c r="D68" s="42"/>
      <c r="E68" s="42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spans="1:19" ht="15.6" x14ac:dyDescent="0.3">
      <c r="A69" s="25"/>
      <c r="B69" s="42"/>
      <c r="C69" s="42"/>
      <c r="D69" s="42"/>
      <c r="E69" s="42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1:19" ht="15.6" x14ac:dyDescent="0.3">
      <c r="A70" s="25"/>
      <c r="B70" s="42"/>
      <c r="C70" s="42"/>
      <c r="D70" s="42"/>
      <c r="E70" s="42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spans="1:19" ht="15.6" x14ac:dyDescent="0.3">
      <c r="A71" s="25"/>
      <c r="B71" s="42"/>
      <c r="C71" s="42"/>
      <c r="D71" s="42"/>
      <c r="E71" s="42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spans="1:19" ht="15.6" x14ac:dyDescent="0.3">
      <c r="A72" s="25"/>
      <c r="B72" s="42"/>
      <c r="C72" s="42"/>
      <c r="D72" s="42"/>
      <c r="E72" s="42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spans="1:19" ht="15.6" x14ac:dyDescent="0.3">
      <c r="A73" s="25"/>
      <c r="B73" s="42"/>
      <c r="C73" s="42"/>
      <c r="D73" s="42"/>
      <c r="E73" s="42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spans="1:19" ht="15.6" x14ac:dyDescent="0.3">
      <c r="A74" s="25"/>
      <c r="B74" s="42"/>
      <c r="C74" s="42"/>
      <c r="D74" s="42"/>
      <c r="E74" s="42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spans="1:19" ht="15.6" x14ac:dyDescent="0.3">
      <c r="A75" s="25"/>
      <c r="B75" s="42"/>
      <c r="C75" s="42"/>
      <c r="D75" s="42"/>
      <c r="E75" s="42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spans="1:19" ht="15.6" x14ac:dyDescent="0.3">
      <c r="A76" s="25"/>
      <c r="B76" s="42"/>
      <c r="C76" s="42"/>
      <c r="D76" s="42"/>
      <c r="E76" s="42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spans="1:19" x14ac:dyDescent="0.3">
      <c r="B77" s="16"/>
      <c r="C77" s="16"/>
      <c r="D77" s="16"/>
      <c r="E77" s="16"/>
    </row>
    <row r="78" spans="1:19" x14ac:dyDescent="0.3">
      <c r="B78" s="16"/>
      <c r="C78" s="16"/>
      <c r="D78" s="16"/>
      <c r="E78" s="16"/>
    </row>
    <row r="79" spans="1:19" x14ac:dyDescent="0.3">
      <c r="B79" s="16"/>
      <c r="C79" s="16"/>
      <c r="D79" s="16"/>
      <c r="E79" s="16"/>
    </row>
    <row r="80" spans="1:19" x14ac:dyDescent="0.3">
      <c r="B80" s="16"/>
      <c r="C80" s="16"/>
      <c r="D80" s="16"/>
      <c r="E80" s="16"/>
    </row>
    <row r="81" spans="2:5" x14ac:dyDescent="0.3">
      <c r="B81" s="16"/>
      <c r="C81" s="16"/>
      <c r="D81" s="16"/>
      <c r="E81" s="16"/>
    </row>
    <row r="82" spans="2:5" x14ac:dyDescent="0.3">
      <c r="B82" s="16"/>
      <c r="C82" s="16"/>
      <c r="D82" s="16"/>
      <c r="E82" s="16"/>
    </row>
    <row r="83" spans="2:5" x14ac:dyDescent="0.3">
      <c r="B83" s="16"/>
      <c r="C83" s="16"/>
      <c r="D83" s="16"/>
      <c r="E83" s="16"/>
    </row>
    <row r="84" spans="2:5" x14ac:dyDescent="0.3">
      <c r="B84" s="16"/>
      <c r="C84" s="16"/>
      <c r="D84" s="16"/>
      <c r="E84" s="16"/>
    </row>
    <row r="85" spans="2:5" x14ac:dyDescent="0.3">
      <c r="B85" s="16"/>
      <c r="C85" s="16"/>
      <c r="D85" s="16"/>
      <c r="E85" s="16"/>
    </row>
    <row r="86" spans="2:5" x14ac:dyDescent="0.3">
      <c r="B86" s="16"/>
      <c r="C86" s="16"/>
      <c r="D86" s="16"/>
      <c r="E86" s="16"/>
    </row>
    <row r="88" spans="2:5" x14ac:dyDescent="0.3">
      <c r="B88" s="15"/>
      <c r="C88" s="15"/>
      <c r="D88" s="15"/>
      <c r="E88" s="15"/>
    </row>
    <row r="89" spans="2:5" x14ac:dyDescent="0.3">
      <c r="B89" s="15"/>
      <c r="C89" s="15"/>
      <c r="D89" s="15"/>
      <c r="E89" s="15"/>
    </row>
    <row r="90" spans="2:5" x14ac:dyDescent="0.3">
      <c r="B90" s="15"/>
      <c r="C90" s="15"/>
      <c r="D90" s="15"/>
      <c r="E90" s="15"/>
    </row>
    <row r="91" spans="2:5" x14ac:dyDescent="0.3">
      <c r="B91" s="15"/>
      <c r="C91" s="15"/>
      <c r="D91" s="15"/>
      <c r="E91" s="15"/>
    </row>
    <row r="92" spans="2:5" x14ac:dyDescent="0.3">
      <c r="B92" s="15"/>
      <c r="C92" s="15"/>
      <c r="D92" s="15"/>
      <c r="E92" s="15"/>
    </row>
    <row r="122" spans="6:6" x14ac:dyDescent="0.3">
      <c r="F122">
        <f>+INT(E65)</f>
        <v>0</v>
      </c>
    </row>
    <row r="123" spans="6:6" x14ac:dyDescent="0.3">
      <c r="F123" s="1">
        <f>+INT(E66)</f>
        <v>29</v>
      </c>
    </row>
    <row r="124" spans="6:6" x14ac:dyDescent="0.3">
      <c r="F124" s="17">
        <f>+ROUND(E67,0)</f>
        <v>56</v>
      </c>
    </row>
    <row r="125" spans="6:6" x14ac:dyDescent="0.3">
      <c r="F125" s="16"/>
    </row>
    <row r="126" spans="6:6" x14ac:dyDescent="0.3">
      <c r="F126" s="16"/>
    </row>
    <row r="127" spans="6:6" x14ac:dyDescent="0.3">
      <c r="F127" s="16"/>
    </row>
    <row r="128" spans="6:6" x14ac:dyDescent="0.3">
      <c r="F128" s="16"/>
    </row>
    <row r="129" spans="6:6" x14ac:dyDescent="0.3">
      <c r="F129" s="16"/>
    </row>
    <row r="130" spans="6:6" x14ac:dyDescent="0.3">
      <c r="F130" s="16"/>
    </row>
    <row r="131" spans="6:6" x14ac:dyDescent="0.3">
      <c r="F131" s="16"/>
    </row>
    <row r="132" spans="6:6" x14ac:dyDescent="0.3">
      <c r="F132" s="16"/>
    </row>
    <row r="133" spans="6:6" x14ac:dyDescent="0.3">
      <c r="F133" s="16"/>
    </row>
    <row r="134" spans="6:6" x14ac:dyDescent="0.3">
      <c r="F134" s="16"/>
    </row>
    <row r="135" spans="6:6" x14ac:dyDescent="0.3">
      <c r="F135" s="16"/>
    </row>
    <row r="136" spans="6:6" x14ac:dyDescent="0.3">
      <c r="F136" s="16"/>
    </row>
    <row r="137" spans="6:6" x14ac:dyDescent="0.3">
      <c r="F137" s="16"/>
    </row>
    <row r="138" spans="6:6" x14ac:dyDescent="0.3">
      <c r="F138" s="16"/>
    </row>
    <row r="139" spans="6:6" x14ac:dyDescent="0.3">
      <c r="F139" s="16"/>
    </row>
    <row r="140" spans="6:6" x14ac:dyDescent="0.3">
      <c r="F140" s="16"/>
    </row>
    <row r="141" spans="6:6" x14ac:dyDescent="0.3">
      <c r="F141" s="16"/>
    </row>
    <row r="142" spans="6:6" x14ac:dyDescent="0.3">
      <c r="F142" s="16"/>
    </row>
    <row r="143" spans="6:6" x14ac:dyDescent="0.3">
      <c r="F143" s="16"/>
    </row>
    <row r="145" spans="6:8" x14ac:dyDescent="0.3">
      <c r="F145" s="15"/>
      <c r="G145" s="15"/>
      <c r="H145" s="15"/>
    </row>
    <row r="146" spans="6:8" x14ac:dyDescent="0.3">
      <c r="F146" s="15"/>
      <c r="G146" s="15"/>
      <c r="H146" s="15"/>
    </row>
    <row r="147" spans="6:8" x14ac:dyDescent="0.3">
      <c r="F147" s="15"/>
      <c r="G147" s="15"/>
      <c r="H147" s="15"/>
    </row>
    <row r="148" spans="6:8" x14ac:dyDescent="0.3">
      <c r="F148" s="15"/>
      <c r="G148" s="15"/>
      <c r="H148" s="15"/>
    </row>
    <row r="149" spans="6:8" x14ac:dyDescent="0.3">
      <c r="F149" s="15"/>
      <c r="G149" s="15"/>
      <c r="H149" s="15"/>
    </row>
    <row r="178" spans="9:22" x14ac:dyDescent="0.3"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</row>
    <row r="179" spans="9:22" x14ac:dyDescent="0.3"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 spans="9:22" x14ac:dyDescent="0.3"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 spans="9:22" x14ac:dyDescent="0.3"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 spans="9:22" x14ac:dyDescent="0.3"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</sheetData>
  <mergeCells count="23">
    <mergeCell ref="K4:L4"/>
    <mergeCell ref="N4:O4"/>
    <mergeCell ref="B21:B22"/>
    <mergeCell ref="B23:B24"/>
    <mergeCell ref="B25:B26"/>
    <mergeCell ref="C15:F15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57:B58"/>
    <mergeCell ref="B59:B60"/>
    <mergeCell ref="B47:B48"/>
    <mergeCell ref="B49:B50"/>
    <mergeCell ref="B51:B52"/>
    <mergeCell ref="B53:B54"/>
    <mergeCell ref="B55:B5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S19"/>
  <sheetViews>
    <sheetView showGridLines="0" zoomScaleNormal="100" workbookViewId="0">
      <selection activeCell="M31" sqref="M31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9" x14ac:dyDescent="0.3">
      <c r="A1" s="1"/>
    </row>
    <row r="2" spans="1:19" ht="16.2" thickBot="1" x14ac:dyDescent="0.35">
      <c r="A2" s="1"/>
      <c r="C2" s="1"/>
      <c r="O2" s="31"/>
      <c r="P2" s="48"/>
      <c r="Q2" s="48"/>
      <c r="R2" s="31"/>
      <c r="S2" s="31"/>
    </row>
    <row r="3" spans="1:19" ht="16.2" thickBot="1" x14ac:dyDescent="0.35">
      <c r="A3" s="1"/>
      <c r="B3" s="6"/>
      <c r="C3" s="21" t="s">
        <v>0</v>
      </c>
      <c r="D3" s="21" t="s">
        <v>1</v>
      </c>
      <c r="E3" s="21" t="s">
        <v>2</v>
      </c>
      <c r="J3" s="9" t="s">
        <v>11</v>
      </c>
      <c r="K3" s="10" t="s">
        <v>4</v>
      </c>
      <c r="L3" s="23">
        <f>+'Hoja de cronometraje'!E20</f>
        <v>3251</v>
      </c>
      <c r="M3" s="8" t="s">
        <v>7</v>
      </c>
      <c r="O3" s="31"/>
      <c r="P3" s="49" t="s">
        <v>80</v>
      </c>
      <c r="Q3" s="46" t="s">
        <v>81</v>
      </c>
      <c r="R3" s="31"/>
      <c r="S3" s="31"/>
    </row>
    <row r="4" spans="1:19" ht="16.2" thickBot="1" x14ac:dyDescent="0.35">
      <c r="A4" s="1"/>
      <c r="B4" s="13" t="s">
        <v>3</v>
      </c>
      <c r="C4" s="3">
        <f>+'Hoja de cronometraje'!C9</f>
        <v>9</v>
      </c>
      <c r="D4" s="3">
        <f>+'Hoja de cronometraje'!D9</f>
        <v>55</v>
      </c>
      <c r="E4" s="3">
        <f>+'Hoja de cronometraje'!E9</f>
        <v>29</v>
      </c>
      <c r="F4" t="s">
        <v>4</v>
      </c>
      <c r="G4" s="4">
        <f>(C4*3600)+(D4*60)+E4</f>
        <v>35729</v>
      </c>
      <c r="H4" s="5" t="s">
        <v>5</v>
      </c>
      <c r="J4" s="9" t="s">
        <v>12</v>
      </c>
      <c r="K4" s="10" t="s">
        <v>4</v>
      </c>
      <c r="L4" s="22">
        <f>+'Hoja de cronometraje'!E61</f>
        <v>2269</v>
      </c>
      <c r="M4" s="8" t="s">
        <v>7</v>
      </c>
      <c r="O4" s="31"/>
      <c r="P4" s="50" t="s">
        <v>82</v>
      </c>
      <c r="Q4" s="44" t="str">
        <f>+CONCATENATE(C4,"h ",D4,"'",E4,"""")</f>
        <v>9h 55'29"</v>
      </c>
      <c r="R4" s="31"/>
      <c r="S4" s="31"/>
    </row>
    <row r="5" spans="1:19" ht="16.2" thickBot="1" x14ac:dyDescent="0.35">
      <c r="A5" s="1"/>
      <c r="B5" s="14" t="s">
        <v>6</v>
      </c>
      <c r="C5" s="3">
        <f>+'Hoja de cronometraje'!C10</f>
        <v>9</v>
      </c>
      <c r="D5" s="3">
        <f>+'Hoja de cronometraje'!D10</f>
        <v>25</v>
      </c>
      <c r="E5" s="3">
        <f>+'Hoja de cronometraje'!E10</f>
        <v>33</v>
      </c>
      <c r="F5" t="s">
        <v>4</v>
      </c>
      <c r="G5" s="7">
        <f>(C5*3600)+(D5*60)+E5</f>
        <v>33933</v>
      </c>
      <c r="H5" s="8" t="s">
        <v>5</v>
      </c>
      <c r="J5" s="9" t="s">
        <v>14</v>
      </c>
      <c r="K5" s="10" t="s">
        <v>4</v>
      </c>
      <c r="L5" s="24">
        <v>0</v>
      </c>
      <c r="M5" s="8" t="s">
        <v>7</v>
      </c>
      <c r="O5" s="31"/>
      <c r="P5" s="50" t="s">
        <v>83</v>
      </c>
      <c r="Q5" s="44" t="str">
        <f>+CONCATENATE(C5,"h ",D5,"'",E5,"""")</f>
        <v>9h 25'33"</v>
      </c>
      <c r="R5" s="31"/>
      <c r="S5" s="31"/>
    </row>
    <row r="6" spans="1:19" ht="15.6" x14ac:dyDescent="0.3">
      <c r="E6" s="1"/>
      <c r="J6" s="1"/>
      <c r="O6" s="31"/>
      <c r="P6" s="47" t="s">
        <v>10</v>
      </c>
      <c r="Q6" s="45" t="str">
        <f>+CONCATENATE(G7," seg")</f>
        <v>1796 seg</v>
      </c>
      <c r="R6" s="31"/>
      <c r="S6" s="31"/>
    </row>
    <row r="7" spans="1:19" ht="16.2" thickBot="1" x14ac:dyDescent="0.35">
      <c r="E7" s="9" t="s">
        <v>10</v>
      </c>
      <c r="F7" s="10" t="s">
        <v>4</v>
      </c>
      <c r="G7" s="10">
        <f>G4-G5</f>
        <v>1796</v>
      </c>
      <c r="H7" s="8" t="s">
        <v>5</v>
      </c>
      <c r="J7" s="1"/>
      <c r="O7" s="31"/>
      <c r="P7" s="47" t="s">
        <v>10</v>
      </c>
      <c r="Q7" s="45" t="str">
        <f>+CONCATENATE(G8," c.s.")</f>
        <v>179600 c.s.</v>
      </c>
      <c r="R7" s="31"/>
      <c r="S7" s="31"/>
    </row>
    <row r="8" spans="1:19" ht="16.2" thickBot="1" x14ac:dyDescent="0.35">
      <c r="E8" s="9" t="s">
        <v>10</v>
      </c>
      <c r="F8" s="10" t="s">
        <v>4</v>
      </c>
      <c r="G8" s="22">
        <f>G7*100</f>
        <v>179600</v>
      </c>
      <c r="H8" s="8" t="s">
        <v>7</v>
      </c>
      <c r="J8" s="9" t="s">
        <v>13</v>
      </c>
      <c r="K8" s="10" t="s">
        <v>4</v>
      </c>
      <c r="L8" s="10">
        <f>G8-L3-L4</f>
        <v>174080</v>
      </c>
      <c r="M8" s="8" t="s">
        <v>7</v>
      </c>
      <c r="O8" s="31"/>
      <c r="P8" s="50" t="s">
        <v>11</v>
      </c>
      <c r="Q8" s="44" t="str">
        <f>+CONCATENATE(L3," c.s.")</f>
        <v>3251 c.s.</v>
      </c>
      <c r="R8" s="31"/>
      <c r="S8" s="31"/>
    </row>
    <row r="9" spans="1:19" ht="15.6" x14ac:dyDescent="0.3">
      <c r="J9" s="9" t="s">
        <v>15</v>
      </c>
      <c r="K9" s="10" t="s">
        <v>4</v>
      </c>
      <c r="L9" s="10">
        <f>L8-L5</f>
        <v>174080</v>
      </c>
      <c r="M9" s="8" t="s">
        <v>7</v>
      </c>
      <c r="O9" s="31"/>
      <c r="P9" s="50" t="s">
        <v>12</v>
      </c>
      <c r="Q9" s="44" t="str">
        <f>+CONCATENATE(L4," c.s.")</f>
        <v>2269 c.s.</v>
      </c>
      <c r="R9" s="31"/>
      <c r="S9" s="31"/>
    </row>
    <row r="10" spans="1:19" ht="15.6" x14ac:dyDescent="0.3">
      <c r="O10" s="31"/>
      <c r="P10" s="47" t="s">
        <v>13</v>
      </c>
      <c r="Q10" s="45" t="str">
        <f>+CONCATENATE(L8," c.s.")</f>
        <v>174080 c.s.</v>
      </c>
      <c r="R10" s="31"/>
      <c r="S10" s="31"/>
    </row>
    <row r="11" spans="1:19" ht="15.6" x14ac:dyDescent="0.3">
      <c r="J11" s="1"/>
      <c r="O11" s="31"/>
      <c r="P11" s="47" t="s">
        <v>84</v>
      </c>
      <c r="Q11" s="45" t="str">
        <f>+CONCATENATE(L5," c.s.")</f>
        <v>0 c.s.</v>
      </c>
      <c r="R11" s="31"/>
      <c r="S11" s="31"/>
    </row>
    <row r="12" spans="1:19" ht="15.6" x14ac:dyDescent="0.3">
      <c r="J12" s="12" t="s">
        <v>16</v>
      </c>
      <c r="K12" s="10" t="s">
        <v>4</v>
      </c>
      <c r="L12" s="10">
        <f>+'Hoja de cronometraje'!E62</f>
        <v>179579</v>
      </c>
      <c r="M12" s="8" t="s">
        <v>7</v>
      </c>
      <c r="O12" s="31"/>
      <c r="P12" s="47" t="s">
        <v>15</v>
      </c>
      <c r="Q12" s="45" t="str">
        <f>+CONCATENATE(L9," c.s.")</f>
        <v>174080 c.s.</v>
      </c>
      <c r="R12" s="31"/>
      <c r="S12" s="31"/>
    </row>
    <row r="13" spans="1:19" ht="15.6" x14ac:dyDescent="0.3">
      <c r="J13" s="12" t="s">
        <v>17</v>
      </c>
      <c r="K13" s="10" t="s">
        <v>4</v>
      </c>
      <c r="L13" s="10">
        <f>G8-L12</f>
        <v>21</v>
      </c>
      <c r="M13" s="8" t="s">
        <v>7</v>
      </c>
      <c r="O13" s="31"/>
      <c r="P13" s="50" t="s">
        <v>16</v>
      </c>
      <c r="Q13" s="44" t="str">
        <f>+CONCATENATE(L12," c.s.")</f>
        <v>179579 c.s.</v>
      </c>
      <c r="R13" s="31"/>
      <c r="S13" s="31"/>
    </row>
    <row r="14" spans="1:19" ht="15.6" x14ac:dyDescent="0.3">
      <c r="J14" s="1"/>
      <c r="O14" s="31"/>
      <c r="P14" s="47" t="s">
        <v>85</v>
      </c>
      <c r="Q14" s="45" t="str">
        <f>+CONCATENATE(L13," c.s.")</f>
        <v>21 c.s.</v>
      </c>
      <c r="R14" s="31"/>
      <c r="S14" s="31"/>
    </row>
    <row r="15" spans="1:19" ht="15.6" x14ac:dyDescent="0.3">
      <c r="J15" s="9" t="s">
        <v>9</v>
      </c>
      <c r="K15" s="10" t="s">
        <v>4</v>
      </c>
      <c r="L15" s="11">
        <f>(L13/G8)*100</f>
        <v>1.1692650334075724E-2</v>
      </c>
      <c r="M15" s="8" t="s">
        <v>8</v>
      </c>
      <c r="O15" s="31"/>
      <c r="P15" s="47" t="s">
        <v>9</v>
      </c>
      <c r="Q15" s="63" t="str">
        <f>+CONCATENATE(ROUND(L15,2)," %")</f>
        <v>0.01 %</v>
      </c>
      <c r="R15" s="31"/>
      <c r="S15" s="31"/>
    </row>
    <row r="16" spans="1:19" ht="15.6" x14ac:dyDescent="0.3">
      <c r="G16" s="2"/>
      <c r="O16" s="31"/>
      <c r="P16" s="31"/>
      <c r="Q16" s="31"/>
      <c r="R16" s="31"/>
      <c r="S16" s="31"/>
    </row>
    <row r="17" spans="9:19" ht="15.6" x14ac:dyDescent="0.3">
      <c r="I17" s="130" t="str">
        <f>IF(ABS(L15)&lt;1,"Los tiempos son confiables","Los tiempos no son confiables")</f>
        <v>Los tiempos son confiables</v>
      </c>
      <c r="J17" s="131"/>
      <c r="K17" s="131"/>
      <c r="L17" s="131"/>
      <c r="M17" s="131"/>
      <c r="N17" s="132"/>
      <c r="O17" s="31"/>
      <c r="P17" s="31"/>
      <c r="Q17" s="31"/>
      <c r="R17" s="31"/>
      <c r="S17" s="31"/>
    </row>
    <row r="18" spans="9:19" ht="15.6" x14ac:dyDescent="0.3">
      <c r="I18" s="133"/>
      <c r="J18" s="134"/>
      <c r="K18" s="134"/>
      <c r="L18" s="134"/>
      <c r="M18" s="134"/>
      <c r="N18" s="135"/>
      <c r="O18" s="31"/>
      <c r="P18" s="31"/>
      <c r="Q18" s="31"/>
      <c r="R18" s="31"/>
      <c r="S18" s="31"/>
    </row>
    <row r="19" spans="9:19" ht="15.6" x14ac:dyDescent="0.3">
      <c r="O19" s="31"/>
      <c r="P19" s="31"/>
      <c r="Q19" s="31"/>
      <c r="R19" s="31"/>
      <c r="S19" s="31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A1:T29"/>
  <sheetViews>
    <sheetView showGridLines="0" zoomScaleNormal="100" workbookViewId="0">
      <selection activeCell="T27" sqref="T27"/>
    </sheetView>
  </sheetViews>
  <sheetFormatPr baseColWidth="10" defaultRowHeight="14.4" x14ac:dyDescent="0.3"/>
  <cols>
    <col min="7" max="7" width="14.44140625" bestFit="1" customWidth="1"/>
    <col min="16" max="16" width="14.44140625" bestFit="1" customWidth="1"/>
  </cols>
  <sheetData>
    <row r="1" spans="1:20" ht="15.6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5.6" x14ac:dyDescent="0.3">
      <c r="A2" s="25"/>
      <c r="B2" s="41"/>
      <c r="C2" s="25"/>
      <c r="D2" s="25"/>
      <c r="E2" s="25"/>
      <c r="F2" s="25"/>
      <c r="G2" s="136" t="str">
        <f>+'Hoja de cronometraje'!K4</f>
        <v>Elemento S</v>
      </c>
      <c r="H2" s="137"/>
      <c r="I2" s="25"/>
      <c r="J2" s="25"/>
      <c r="K2" s="25"/>
      <c r="L2" s="25"/>
      <c r="M2" s="25"/>
      <c r="N2" s="25"/>
      <c r="O2" s="25"/>
      <c r="P2" s="136" t="str">
        <f>+'Hoja de cronometraje'!N4</f>
        <v>Elemento E</v>
      </c>
      <c r="Q2" s="137"/>
      <c r="R2" s="25"/>
      <c r="S2" s="25"/>
      <c r="T2" s="25"/>
    </row>
    <row r="3" spans="1:20" ht="15.6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5.6" x14ac:dyDescent="0.3">
      <c r="A4" s="25"/>
      <c r="B4" s="25"/>
      <c r="C4" s="31"/>
      <c r="D4" s="31"/>
      <c r="E4" s="31"/>
      <c r="F4" s="31"/>
      <c r="G4" s="31"/>
      <c r="H4" s="31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ht="15.6" x14ac:dyDescent="0.3">
      <c r="A5" s="25"/>
      <c r="B5" s="25"/>
      <c r="C5" s="31"/>
      <c r="D5" s="46" t="s">
        <v>18</v>
      </c>
      <c r="E5" s="46" t="s">
        <v>19</v>
      </c>
      <c r="F5" s="46" t="s">
        <v>20</v>
      </c>
      <c r="G5" s="46" t="s">
        <v>21</v>
      </c>
      <c r="H5" s="31"/>
      <c r="I5" s="25"/>
      <c r="J5" s="25"/>
      <c r="K5" s="25"/>
      <c r="L5" s="25"/>
      <c r="M5" s="46" t="s">
        <v>18</v>
      </c>
      <c r="N5" s="46" t="s">
        <v>19</v>
      </c>
      <c r="O5" s="46" t="s">
        <v>20</v>
      </c>
      <c r="P5" s="46" t="s">
        <v>21</v>
      </c>
      <c r="Q5" s="25"/>
      <c r="R5" s="25"/>
      <c r="S5" s="25"/>
      <c r="T5" s="25"/>
    </row>
    <row r="6" spans="1:20" ht="15.6" x14ac:dyDescent="0.3">
      <c r="A6" s="25"/>
      <c r="B6" s="25"/>
      <c r="C6" s="31"/>
      <c r="D6" s="64">
        <f ca="1">+'Hoja de cronometraje'!K7</f>
        <v>95</v>
      </c>
      <c r="E6" s="64">
        <f ca="1">+'Hoja de cronometraje'!L7</f>
        <v>1226</v>
      </c>
      <c r="F6" s="64">
        <f ca="1">(D6*E6)/100</f>
        <v>1164.7</v>
      </c>
      <c r="G6" s="64">
        <f ca="1">POWER(F6,2)</f>
        <v>1356526.09</v>
      </c>
      <c r="H6" s="31"/>
      <c r="I6" s="25"/>
      <c r="J6" s="25"/>
      <c r="K6" s="25"/>
      <c r="L6" s="25"/>
      <c r="M6" s="64">
        <f ca="1">+'Hoja de cronometraje'!N7</f>
        <v>95</v>
      </c>
      <c r="N6" s="64">
        <f ca="1">+'Hoja de cronometraje'!O7</f>
        <v>7424</v>
      </c>
      <c r="O6" s="64">
        <f ca="1">(M6*N6)/100</f>
        <v>7052.8</v>
      </c>
      <c r="P6" s="64">
        <f ca="1">POWER(O6,2)</f>
        <v>49741987.840000004</v>
      </c>
      <c r="Q6" s="25"/>
      <c r="R6" s="25"/>
      <c r="S6" s="25"/>
      <c r="T6" s="25"/>
    </row>
    <row r="7" spans="1:20" ht="15.6" x14ac:dyDescent="0.3">
      <c r="A7" s="25"/>
      <c r="B7" s="25"/>
      <c r="C7" s="31"/>
      <c r="D7" s="64">
        <f ca="1">+'Hoja de cronometraje'!K8</f>
        <v>95</v>
      </c>
      <c r="E7" s="64">
        <f ca="1">+'Hoja de cronometraje'!L8</f>
        <v>1190</v>
      </c>
      <c r="F7" s="64">
        <f t="shared" ref="F7:F25" ca="1" si="0">(D7*E7)/100</f>
        <v>1130.5</v>
      </c>
      <c r="G7" s="64">
        <f t="shared" ref="G7:G25" ca="1" si="1">POWER(F7,2)</f>
        <v>1278030.25</v>
      </c>
      <c r="H7" s="31"/>
      <c r="I7" s="43" t="s">
        <v>23</v>
      </c>
      <c r="J7" s="37">
        <f ca="1">COUNTA(E6:E25)</f>
        <v>20</v>
      </c>
      <c r="K7" s="25"/>
      <c r="L7" s="25"/>
      <c r="M7" s="64">
        <f ca="1">+'Hoja de cronometraje'!N8</f>
        <v>95</v>
      </c>
      <c r="N7" s="64">
        <f ca="1">+'Hoja de cronometraje'!O8</f>
        <v>7461</v>
      </c>
      <c r="O7" s="64">
        <f t="shared" ref="O7:O25" ca="1" si="2">(M7*N7)/100</f>
        <v>7087.95</v>
      </c>
      <c r="P7" s="64">
        <f t="shared" ref="P7:P25" ca="1" si="3">POWER(O7,2)</f>
        <v>50239035.202500001</v>
      </c>
      <c r="Q7" s="25"/>
      <c r="R7" s="43" t="s">
        <v>23</v>
      </c>
      <c r="S7" s="37">
        <f ca="1">COUNTA(N6:N25)</f>
        <v>20</v>
      </c>
      <c r="T7" s="25"/>
    </row>
    <row r="8" spans="1:20" ht="15.6" x14ac:dyDescent="0.3">
      <c r="A8" s="25"/>
      <c r="B8" s="25"/>
      <c r="C8" s="31"/>
      <c r="D8" s="64">
        <f ca="1">+'Hoja de cronometraje'!K9</f>
        <v>90</v>
      </c>
      <c r="E8" s="64">
        <f ca="1">+'Hoja de cronometraje'!L9</f>
        <v>1148</v>
      </c>
      <c r="F8" s="64">
        <f t="shared" ca="1" si="0"/>
        <v>1033.2</v>
      </c>
      <c r="G8" s="64">
        <f t="shared" ca="1" si="1"/>
        <v>1067502.24</v>
      </c>
      <c r="H8" s="31"/>
      <c r="I8" s="27"/>
      <c r="J8" s="25"/>
      <c r="K8" s="25"/>
      <c r="L8" s="25"/>
      <c r="M8" s="64">
        <f ca="1">+'Hoja de cronometraje'!N9</f>
        <v>105</v>
      </c>
      <c r="N8" s="64">
        <f ca="1">+'Hoja de cronometraje'!O9</f>
        <v>7504</v>
      </c>
      <c r="O8" s="64">
        <f t="shared" ca="1" si="2"/>
        <v>7879.2</v>
      </c>
      <c r="P8" s="64">
        <f t="shared" ca="1" si="3"/>
        <v>62081792.640000001</v>
      </c>
      <c r="Q8" s="25"/>
      <c r="R8" s="27"/>
      <c r="S8" s="25"/>
      <c r="T8" s="25"/>
    </row>
    <row r="9" spans="1:20" ht="15.6" x14ac:dyDescent="0.3">
      <c r="A9" s="25"/>
      <c r="B9" s="25"/>
      <c r="C9" s="31"/>
      <c r="D9" s="64">
        <f ca="1">+'Hoja de cronometraje'!K10</f>
        <v>85</v>
      </c>
      <c r="E9" s="64">
        <f ca="1">+'Hoja de cronometraje'!L10</f>
        <v>1273</v>
      </c>
      <c r="F9" s="64">
        <f t="shared" ca="1" si="0"/>
        <v>1082.05</v>
      </c>
      <c r="G9" s="64">
        <f t="shared" ca="1" si="1"/>
        <v>1170832.2024999999</v>
      </c>
      <c r="H9" s="31"/>
      <c r="I9" s="27"/>
      <c r="J9" s="25"/>
      <c r="K9" s="25"/>
      <c r="L9" s="25"/>
      <c r="M9" s="64">
        <f ca="1">+'Hoja de cronometraje'!N10</f>
        <v>100</v>
      </c>
      <c r="N9" s="64">
        <f ca="1">+'Hoja de cronometraje'!O10</f>
        <v>7501</v>
      </c>
      <c r="O9" s="64">
        <f t="shared" ca="1" si="2"/>
        <v>7501</v>
      </c>
      <c r="P9" s="64">
        <f t="shared" ca="1" si="3"/>
        <v>56265001</v>
      </c>
      <c r="Q9" s="25"/>
      <c r="R9" s="27"/>
      <c r="S9" s="25"/>
      <c r="T9" s="25"/>
    </row>
    <row r="10" spans="1:20" ht="15.6" x14ac:dyDescent="0.3">
      <c r="A10" s="25"/>
      <c r="B10" s="25"/>
      <c r="C10" s="31"/>
      <c r="D10" s="64">
        <f ca="1">+'Hoja de cronometraje'!K11</f>
        <v>90</v>
      </c>
      <c r="E10" s="64">
        <f ca="1">+'Hoja de cronometraje'!L11</f>
        <v>1113</v>
      </c>
      <c r="F10" s="64">
        <f t="shared" ca="1" si="0"/>
        <v>1001.7</v>
      </c>
      <c r="G10" s="64">
        <f t="shared" ca="1" si="1"/>
        <v>1003402.8900000001</v>
      </c>
      <c r="H10" s="31"/>
      <c r="I10" s="25"/>
      <c r="J10" s="25"/>
      <c r="K10" s="25"/>
      <c r="L10" s="25"/>
      <c r="M10" s="64">
        <f ca="1">+'Hoja de cronometraje'!N11</f>
        <v>90</v>
      </c>
      <c r="N10" s="64">
        <f ca="1">+'Hoja de cronometraje'!O11</f>
        <v>7508</v>
      </c>
      <c r="O10" s="64">
        <f t="shared" ca="1" si="2"/>
        <v>6757.2</v>
      </c>
      <c r="P10" s="64">
        <f t="shared" ca="1" si="3"/>
        <v>45659751.839999996</v>
      </c>
      <c r="Q10" s="25"/>
      <c r="R10" s="25"/>
      <c r="S10" s="25"/>
      <c r="T10" s="25"/>
    </row>
    <row r="11" spans="1:20" ht="15.6" x14ac:dyDescent="0.3">
      <c r="A11" s="25"/>
      <c r="B11" s="25"/>
      <c r="C11" s="31"/>
      <c r="D11" s="64">
        <f ca="1">+'Hoja de cronometraje'!K12</f>
        <v>85</v>
      </c>
      <c r="E11" s="64">
        <f ca="1">+'Hoja de cronometraje'!L12</f>
        <v>1289</v>
      </c>
      <c r="F11" s="64">
        <f t="shared" ca="1" si="0"/>
        <v>1095.6500000000001</v>
      </c>
      <c r="G11" s="64">
        <f t="shared" ca="1" si="1"/>
        <v>1200448.9225000001</v>
      </c>
      <c r="H11" s="31"/>
      <c r="I11" s="25"/>
      <c r="J11" s="25"/>
      <c r="K11" s="25"/>
      <c r="L11" s="25"/>
      <c r="M11" s="64">
        <f ca="1">+'Hoja de cronometraje'!N12</f>
        <v>95</v>
      </c>
      <c r="N11" s="64">
        <f ca="1">+'Hoja de cronometraje'!O12</f>
        <v>7569</v>
      </c>
      <c r="O11" s="64">
        <f t="shared" ca="1" si="2"/>
        <v>7190.55</v>
      </c>
      <c r="P11" s="64">
        <f t="shared" ca="1" si="3"/>
        <v>51704009.302500002</v>
      </c>
      <c r="Q11" s="25"/>
      <c r="R11" s="25"/>
      <c r="S11" s="25"/>
      <c r="T11" s="25"/>
    </row>
    <row r="12" spans="1:20" ht="15.6" x14ac:dyDescent="0.3">
      <c r="A12" s="25"/>
      <c r="B12" s="25"/>
      <c r="C12" s="31"/>
      <c r="D12" s="64">
        <f ca="1">+'Hoja de cronometraje'!K13</f>
        <v>95</v>
      </c>
      <c r="E12" s="64">
        <f ca="1">+'Hoja de cronometraje'!L13</f>
        <v>1178</v>
      </c>
      <c r="F12" s="64">
        <f t="shared" ca="1" si="0"/>
        <v>1119.0999999999999</v>
      </c>
      <c r="G12" s="64">
        <f t="shared" ca="1" si="1"/>
        <v>1252384.8099999998</v>
      </c>
      <c r="H12" s="31"/>
      <c r="I12" s="43" t="s">
        <v>22</v>
      </c>
      <c r="J12" s="37">
        <f ca="1">ROUNDUP(POWER(((40*SQRT((J7*G26)-POWER(F26,2)))/F26),2),0)</f>
        <v>8</v>
      </c>
      <c r="K12" s="25"/>
      <c r="L12" s="25"/>
      <c r="M12" s="64">
        <f ca="1">+'Hoja de cronometraje'!N13</f>
        <v>105</v>
      </c>
      <c r="N12" s="64">
        <f ca="1">+'Hoja de cronometraje'!O13</f>
        <v>7486</v>
      </c>
      <c r="O12" s="64">
        <f t="shared" ca="1" si="2"/>
        <v>7860.3</v>
      </c>
      <c r="P12" s="64">
        <f t="shared" ca="1" si="3"/>
        <v>61784316.090000004</v>
      </c>
      <c r="Q12" s="25"/>
      <c r="R12" s="43" t="s">
        <v>22</v>
      </c>
      <c r="S12" s="37">
        <f ca="1">ROUNDUP(POWER(((40*SQRT((S7*P26)-POWER(O26,2)))/O26),2),0)</f>
        <v>5</v>
      </c>
      <c r="T12" s="25"/>
    </row>
    <row r="13" spans="1:20" ht="15.6" x14ac:dyDescent="0.3">
      <c r="A13" s="25"/>
      <c r="B13" s="25"/>
      <c r="C13" s="31"/>
      <c r="D13" s="64">
        <f ca="1">+'Hoja de cronometraje'!K14</f>
        <v>85</v>
      </c>
      <c r="E13" s="64">
        <f ca="1">+'Hoja de cronometraje'!L14</f>
        <v>1294</v>
      </c>
      <c r="F13" s="64">
        <f t="shared" ca="1" si="0"/>
        <v>1099.9000000000001</v>
      </c>
      <c r="G13" s="64">
        <f t="shared" ca="1" si="1"/>
        <v>1209780.0100000002</v>
      </c>
      <c r="H13" s="31"/>
      <c r="I13" s="25"/>
      <c r="J13" s="25"/>
      <c r="K13" s="25"/>
      <c r="L13" s="25"/>
      <c r="M13" s="64">
        <f ca="1">+'Hoja de cronometraje'!N14</f>
        <v>95</v>
      </c>
      <c r="N13" s="64">
        <f ca="1">+'Hoja de cronometraje'!O14</f>
        <v>7484</v>
      </c>
      <c r="O13" s="64">
        <f t="shared" ca="1" si="2"/>
        <v>7109.8</v>
      </c>
      <c r="P13" s="64">
        <f t="shared" ca="1" si="3"/>
        <v>50549256.039999999</v>
      </c>
      <c r="Q13" s="25"/>
      <c r="R13" s="25"/>
      <c r="S13" s="25"/>
      <c r="T13" s="25"/>
    </row>
    <row r="14" spans="1:20" ht="15.6" x14ac:dyDescent="0.3">
      <c r="A14" s="25"/>
      <c r="B14" s="25"/>
      <c r="C14" s="31"/>
      <c r="D14" s="64">
        <f ca="1">+'Hoja de cronometraje'!K15</f>
        <v>100</v>
      </c>
      <c r="E14" s="64">
        <f ca="1">+'Hoja de cronometraje'!L15</f>
        <v>1281</v>
      </c>
      <c r="F14" s="64">
        <f t="shared" ca="1" si="0"/>
        <v>1281</v>
      </c>
      <c r="G14" s="64">
        <f t="shared" ca="1" si="1"/>
        <v>1640961</v>
      </c>
      <c r="H14" s="31"/>
      <c r="I14" s="25"/>
      <c r="J14" s="25"/>
      <c r="K14" s="25"/>
      <c r="L14" s="25"/>
      <c r="M14" s="64">
        <f ca="1">+'Hoja de cronometraje'!N15</f>
        <v>90</v>
      </c>
      <c r="N14" s="64">
        <f ca="1">+'Hoja de cronometraje'!O15</f>
        <v>7489</v>
      </c>
      <c r="O14" s="64">
        <f t="shared" ca="1" si="2"/>
        <v>6740.1</v>
      </c>
      <c r="P14" s="64">
        <f t="shared" ca="1" si="3"/>
        <v>45428948.010000005</v>
      </c>
      <c r="Q14" s="25"/>
      <c r="R14" s="25"/>
      <c r="S14" s="25"/>
      <c r="T14" s="25"/>
    </row>
    <row r="15" spans="1:20" ht="15.6" x14ac:dyDescent="0.3">
      <c r="A15" s="25"/>
      <c r="B15" s="25"/>
      <c r="C15" s="31"/>
      <c r="D15" s="64">
        <f ca="1">+'Hoja de cronometraje'!K16</f>
        <v>100</v>
      </c>
      <c r="E15" s="64">
        <f ca="1">+'Hoja de cronometraje'!L16</f>
        <v>1189</v>
      </c>
      <c r="F15" s="64">
        <f t="shared" ca="1" si="0"/>
        <v>1189</v>
      </c>
      <c r="G15" s="64">
        <f t="shared" ca="1" si="1"/>
        <v>1413721</v>
      </c>
      <c r="H15" s="31"/>
      <c r="I15" s="25"/>
      <c r="J15" s="25"/>
      <c r="K15" s="25"/>
      <c r="L15" s="25"/>
      <c r="M15" s="64">
        <f ca="1">+'Hoja de cronometraje'!N16</f>
        <v>105</v>
      </c>
      <c r="N15" s="64">
        <f ca="1">+'Hoja de cronometraje'!O16</f>
        <v>7470</v>
      </c>
      <c r="O15" s="64">
        <f t="shared" ca="1" si="2"/>
        <v>7843.5</v>
      </c>
      <c r="P15" s="64">
        <f t="shared" ca="1" si="3"/>
        <v>61520492.25</v>
      </c>
      <c r="Q15" s="25"/>
      <c r="R15" s="25"/>
      <c r="S15" s="25"/>
      <c r="T15" s="25"/>
    </row>
    <row r="16" spans="1:20" ht="15.6" x14ac:dyDescent="0.3">
      <c r="A16" s="25"/>
      <c r="B16" s="25"/>
      <c r="C16" s="31"/>
      <c r="D16" s="64">
        <f ca="1">+'Hoja de cronometraje'!K17</f>
        <v>90</v>
      </c>
      <c r="E16" s="64">
        <f ca="1">+'Hoja de cronometraje'!L17</f>
        <v>1131</v>
      </c>
      <c r="F16" s="64">
        <f t="shared" ca="1" si="0"/>
        <v>1017.9</v>
      </c>
      <c r="G16" s="64">
        <f t="shared" ca="1" si="1"/>
        <v>1036120.4099999999</v>
      </c>
      <c r="H16" s="31"/>
      <c r="I16" s="25"/>
      <c r="J16" s="25"/>
      <c r="K16" s="37"/>
      <c r="L16" s="25"/>
      <c r="M16" s="64">
        <f ca="1">+'Hoja de cronometraje'!N17</f>
        <v>100</v>
      </c>
      <c r="N16" s="64">
        <f ca="1">+'Hoja de cronometraje'!O17</f>
        <v>7562</v>
      </c>
      <c r="O16" s="64">
        <f t="shared" ca="1" si="2"/>
        <v>7562</v>
      </c>
      <c r="P16" s="64">
        <f t="shared" ca="1" si="3"/>
        <v>57183844</v>
      </c>
      <c r="Q16" s="25"/>
      <c r="R16" s="25"/>
      <c r="S16" s="25"/>
      <c r="T16" s="25"/>
    </row>
    <row r="17" spans="1:20" ht="15.6" x14ac:dyDescent="0.3">
      <c r="A17" s="25"/>
      <c r="B17" s="25"/>
      <c r="C17" s="31"/>
      <c r="D17" s="64">
        <f ca="1">+'Hoja de cronometraje'!K18</f>
        <v>95</v>
      </c>
      <c r="E17" s="64">
        <f ca="1">+'Hoja de cronometraje'!L18</f>
        <v>1147</v>
      </c>
      <c r="F17" s="64">
        <f t="shared" ca="1" si="0"/>
        <v>1089.6500000000001</v>
      </c>
      <c r="G17" s="64">
        <f t="shared" ca="1" si="1"/>
        <v>1187337.1225000003</v>
      </c>
      <c r="H17" s="31"/>
      <c r="I17" s="25"/>
      <c r="J17" s="25"/>
      <c r="K17" s="25"/>
      <c r="L17" s="25"/>
      <c r="M17" s="64">
        <f ca="1">+'Hoja de cronometraje'!N18</f>
        <v>105</v>
      </c>
      <c r="N17" s="64">
        <f ca="1">+'Hoja de cronometraje'!O18</f>
        <v>7532</v>
      </c>
      <c r="O17" s="64">
        <f t="shared" ca="1" si="2"/>
        <v>7908.6</v>
      </c>
      <c r="P17" s="64">
        <f t="shared" ca="1" si="3"/>
        <v>62545953.960000008</v>
      </c>
      <c r="Q17" s="25"/>
      <c r="R17" s="25"/>
      <c r="S17" s="25"/>
      <c r="T17" s="25"/>
    </row>
    <row r="18" spans="1:20" ht="15.6" x14ac:dyDescent="0.3">
      <c r="A18" s="25"/>
      <c r="B18" s="25"/>
      <c r="C18" s="31"/>
      <c r="D18" s="64">
        <f ca="1">+'Hoja de cronometraje'!K19</f>
        <v>95</v>
      </c>
      <c r="E18" s="64">
        <f ca="1">+'Hoja de cronometraje'!L19</f>
        <v>1282</v>
      </c>
      <c r="F18" s="64">
        <f t="shared" ca="1" si="0"/>
        <v>1217.9000000000001</v>
      </c>
      <c r="G18" s="64">
        <f t="shared" ca="1" si="1"/>
        <v>1483280.4100000001</v>
      </c>
      <c r="H18" s="31"/>
      <c r="I18" s="25"/>
      <c r="J18" s="25"/>
      <c r="K18" s="25"/>
      <c r="L18" s="25"/>
      <c r="M18" s="64">
        <f ca="1">+'Hoja de cronometraje'!N19</f>
        <v>100</v>
      </c>
      <c r="N18" s="64">
        <f ca="1">+'Hoja de cronometraje'!O19</f>
        <v>7555</v>
      </c>
      <c r="O18" s="64">
        <f t="shared" ca="1" si="2"/>
        <v>7555</v>
      </c>
      <c r="P18" s="64">
        <f t="shared" ca="1" si="3"/>
        <v>57078025</v>
      </c>
      <c r="Q18" s="25"/>
      <c r="R18" s="25"/>
      <c r="S18" s="25"/>
      <c r="T18" s="25"/>
    </row>
    <row r="19" spans="1:20" ht="15.6" x14ac:dyDescent="0.3">
      <c r="A19" s="25"/>
      <c r="B19" s="25"/>
      <c r="C19" s="31"/>
      <c r="D19" s="64">
        <f ca="1">+'Hoja de cronometraje'!K20</f>
        <v>95</v>
      </c>
      <c r="E19" s="64">
        <f ca="1">+'Hoja de cronometraje'!L20</f>
        <v>1219</v>
      </c>
      <c r="F19" s="64">
        <f t="shared" ca="1" si="0"/>
        <v>1158.05</v>
      </c>
      <c r="G19" s="64">
        <f t="shared" ca="1" si="1"/>
        <v>1341079.8025</v>
      </c>
      <c r="H19" s="31"/>
      <c r="I19" s="25"/>
      <c r="J19" s="25"/>
      <c r="K19" s="25"/>
      <c r="L19" s="25"/>
      <c r="M19" s="64">
        <f ca="1">+'Hoja de cronometraje'!N20</f>
        <v>95</v>
      </c>
      <c r="N19" s="64">
        <f ca="1">+'Hoja de cronometraje'!O20</f>
        <v>7464</v>
      </c>
      <c r="O19" s="64">
        <f t="shared" ca="1" si="2"/>
        <v>7090.8</v>
      </c>
      <c r="P19" s="64">
        <f t="shared" ca="1" si="3"/>
        <v>50279444.640000001</v>
      </c>
      <c r="Q19" s="25"/>
      <c r="R19" s="25"/>
      <c r="S19" s="25"/>
      <c r="T19" s="25"/>
    </row>
    <row r="20" spans="1:20" ht="15.6" x14ac:dyDescent="0.3">
      <c r="A20" s="25"/>
      <c r="B20" s="25"/>
      <c r="C20" s="31"/>
      <c r="D20" s="64">
        <f ca="1">+'Hoja de cronometraje'!K21</f>
        <v>100</v>
      </c>
      <c r="E20" s="64">
        <f ca="1">+'Hoja de cronometraje'!L21</f>
        <v>1146</v>
      </c>
      <c r="F20" s="64">
        <f t="shared" ca="1" si="0"/>
        <v>1146</v>
      </c>
      <c r="G20" s="64">
        <f t="shared" ca="1" si="1"/>
        <v>1313316</v>
      </c>
      <c r="H20" s="31"/>
      <c r="I20" s="25"/>
      <c r="J20" s="25"/>
      <c r="K20" s="25"/>
      <c r="L20" s="25"/>
      <c r="M20" s="64">
        <f ca="1">+'Hoja de cronometraje'!N21</f>
        <v>100</v>
      </c>
      <c r="N20" s="64">
        <f ca="1">+'Hoja de cronometraje'!O21</f>
        <v>7450</v>
      </c>
      <c r="O20" s="64">
        <f t="shared" ca="1" si="2"/>
        <v>7450</v>
      </c>
      <c r="P20" s="64">
        <f t="shared" ca="1" si="3"/>
        <v>55502500</v>
      </c>
      <c r="Q20" s="25"/>
      <c r="R20" s="25"/>
      <c r="S20" s="25"/>
      <c r="T20" s="25"/>
    </row>
    <row r="21" spans="1:20" ht="15.6" x14ac:dyDescent="0.3">
      <c r="A21" s="25"/>
      <c r="B21" s="25"/>
      <c r="C21" s="31"/>
      <c r="D21" s="64">
        <f ca="1">+'Hoja de cronometraje'!K22</f>
        <v>95</v>
      </c>
      <c r="E21" s="64">
        <f ca="1">+'Hoja de cronometraje'!L22</f>
        <v>1213</v>
      </c>
      <c r="F21" s="64">
        <f t="shared" ca="1" si="0"/>
        <v>1152.3499999999999</v>
      </c>
      <c r="G21" s="64">
        <f t="shared" ca="1" si="1"/>
        <v>1327910.5224999997</v>
      </c>
      <c r="H21" s="31"/>
      <c r="I21" s="25"/>
      <c r="J21" s="25"/>
      <c r="K21" s="25"/>
      <c r="L21" s="25"/>
      <c r="M21" s="64">
        <f ca="1">+'Hoja de cronometraje'!N22</f>
        <v>100</v>
      </c>
      <c r="N21" s="64">
        <f ca="1">+'Hoja de cronometraje'!O22</f>
        <v>7403</v>
      </c>
      <c r="O21" s="64">
        <f t="shared" ca="1" si="2"/>
        <v>7403</v>
      </c>
      <c r="P21" s="64">
        <f t="shared" ca="1" si="3"/>
        <v>54804409</v>
      </c>
      <c r="Q21" s="25"/>
      <c r="R21" s="37"/>
      <c r="S21" s="25"/>
      <c r="T21" s="25"/>
    </row>
    <row r="22" spans="1:20" ht="15.6" x14ac:dyDescent="0.3">
      <c r="A22" s="25"/>
      <c r="B22" s="25"/>
      <c r="C22" s="31"/>
      <c r="D22" s="64">
        <f ca="1">+'Hoja de cronometraje'!K23</f>
        <v>100</v>
      </c>
      <c r="E22" s="64">
        <f ca="1">+'Hoja de cronometraje'!L23</f>
        <v>1294</v>
      </c>
      <c r="F22" s="64">
        <f t="shared" ca="1" si="0"/>
        <v>1294</v>
      </c>
      <c r="G22" s="64">
        <f t="shared" ca="1" si="1"/>
        <v>1674436</v>
      </c>
      <c r="H22" s="31"/>
      <c r="I22" s="25"/>
      <c r="J22" s="25"/>
      <c r="K22" s="25"/>
      <c r="L22" s="25"/>
      <c r="M22" s="64">
        <f ca="1">+'Hoja de cronometraje'!N23</f>
        <v>105</v>
      </c>
      <c r="N22" s="64">
        <f ca="1">+'Hoja de cronometraje'!O23</f>
        <v>7452</v>
      </c>
      <c r="O22" s="64">
        <f t="shared" ca="1" si="2"/>
        <v>7824.6</v>
      </c>
      <c r="P22" s="64">
        <f t="shared" ca="1" si="3"/>
        <v>61224365.160000004</v>
      </c>
      <c r="Q22" s="25"/>
      <c r="R22" s="25"/>
      <c r="S22" s="25"/>
      <c r="T22" s="25"/>
    </row>
    <row r="23" spans="1:20" ht="15.6" x14ac:dyDescent="0.3">
      <c r="A23" s="25"/>
      <c r="B23" s="25"/>
      <c r="C23" s="31"/>
      <c r="D23" s="64">
        <f ca="1">+'Hoja de cronometraje'!K24</f>
        <v>95</v>
      </c>
      <c r="E23" s="64">
        <f ca="1">+'Hoja de cronometraje'!L24</f>
        <v>1142</v>
      </c>
      <c r="F23" s="64">
        <f t="shared" ca="1" si="0"/>
        <v>1084.9000000000001</v>
      </c>
      <c r="G23" s="64">
        <f t="shared" ca="1" si="1"/>
        <v>1177008.0100000002</v>
      </c>
      <c r="H23" s="31"/>
      <c r="I23" s="25"/>
      <c r="J23" s="25"/>
      <c r="K23" s="25"/>
      <c r="L23" s="25"/>
      <c r="M23" s="64">
        <f ca="1">+'Hoja de cronometraje'!N24</f>
        <v>100</v>
      </c>
      <c r="N23" s="64">
        <f ca="1">+'Hoja de cronometraje'!O24</f>
        <v>7493</v>
      </c>
      <c r="O23" s="64">
        <f t="shared" ca="1" si="2"/>
        <v>7493</v>
      </c>
      <c r="P23" s="64">
        <f t="shared" ca="1" si="3"/>
        <v>56145049</v>
      </c>
      <c r="Q23" s="25"/>
      <c r="R23" s="25"/>
      <c r="S23" s="25"/>
      <c r="T23" s="25"/>
    </row>
    <row r="24" spans="1:20" ht="15.6" x14ac:dyDescent="0.3">
      <c r="A24" s="25"/>
      <c r="B24" s="25"/>
      <c r="C24" s="31"/>
      <c r="D24" s="64">
        <f ca="1">+'Hoja de cronometraje'!K25</f>
        <v>90</v>
      </c>
      <c r="E24" s="64">
        <f ca="1">+'Hoja de cronometraje'!L25</f>
        <v>1274</v>
      </c>
      <c r="F24" s="64">
        <f t="shared" ca="1" si="0"/>
        <v>1146.5999999999999</v>
      </c>
      <c r="G24" s="64">
        <f t="shared" ca="1" si="1"/>
        <v>1314691.5599999998</v>
      </c>
      <c r="H24" s="31"/>
      <c r="I24" s="25"/>
      <c r="J24" s="25"/>
      <c r="K24" s="25"/>
      <c r="L24" s="25"/>
      <c r="M24" s="64">
        <f ca="1">+'Hoja de cronometraje'!N25</f>
        <v>105</v>
      </c>
      <c r="N24" s="64">
        <f ca="1">+'Hoja de cronometraje'!O25</f>
        <v>7555</v>
      </c>
      <c r="O24" s="64">
        <f t="shared" ca="1" si="2"/>
        <v>7932.75</v>
      </c>
      <c r="P24" s="64">
        <f t="shared" ca="1" si="3"/>
        <v>62928522.5625</v>
      </c>
      <c r="Q24" s="25"/>
      <c r="R24" s="25"/>
      <c r="S24" s="25"/>
      <c r="T24" s="25"/>
    </row>
    <row r="25" spans="1:20" ht="15.6" x14ac:dyDescent="0.3">
      <c r="A25" s="25"/>
      <c r="B25" s="25"/>
      <c r="C25" s="31"/>
      <c r="D25" s="65">
        <f ca="1">+'Hoja de cronometraje'!K26</f>
        <v>100</v>
      </c>
      <c r="E25" s="65">
        <f ca="1">+'Hoja de cronometraje'!L26</f>
        <v>1191</v>
      </c>
      <c r="F25" s="65">
        <f t="shared" ca="1" si="0"/>
        <v>1191</v>
      </c>
      <c r="G25" s="65">
        <f t="shared" ca="1" si="1"/>
        <v>1418481</v>
      </c>
      <c r="H25" s="31"/>
      <c r="I25" s="25"/>
      <c r="J25" s="25"/>
      <c r="K25" s="25"/>
      <c r="L25" s="25"/>
      <c r="M25" s="65">
        <f ca="1">+'Hoja de cronometraje'!N26</f>
        <v>90</v>
      </c>
      <c r="N25" s="65">
        <f ca="1">+'Hoja de cronometraje'!O26</f>
        <v>7477</v>
      </c>
      <c r="O25" s="64">
        <f t="shared" ca="1" si="2"/>
        <v>6729.3</v>
      </c>
      <c r="P25" s="64">
        <f t="shared" ca="1" si="3"/>
        <v>45283478.490000002</v>
      </c>
      <c r="Q25" s="25"/>
      <c r="R25" s="25"/>
      <c r="S25" s="25"/>
      <c r="T25" s="25"/>
    </row>
    <row r="26" spans="1:20" ht="15.6" x14ac:dyDescent="0.3">
      <c r="A26" s="25"/>
      <c r="B26" s="25"/>
      <c r="C26" s="31"/>
      <c r="D26" s="141" t="s">
        <v>86</v>
      </c>
      <c r="E26" s="142"/>
      <c r="F26" s="68">
        <f ca="1">SUM(F6:F25)</f>
        <v>22695.149999999994</v>
      </c>
      <c r="G26" s="68">
        <f ca="1">SUM(G6:G25)</f>
        <v>25867250.252500001</v>
      </c>
      <c r="H26" s="31"/>
      <c r="I26" s="25"/>
      <c r="J26" s="25"/>
      <c r="K26" s="25"/>
      <c r="L26" s="25"/>
      <c r="M26" s="138" t="s">
        <v>86</v>
      </c>
      <c r="N26" s="139"/>
      <c r="O26" s="71">
        <f ca="1">SUM(O6:O25)</f>
        <v>147971.45000000001</v>
      </c>
      <c r="P26" s="71">
        <f ca="1">SUM(P6:P25)</f>
        <v>1097950182.0274999</v>
      </c>
      <c r="Q26" s="25"/>
      <c r="R26" s="25"/>
      <c r="S26" s="25"/>
      <c r="T26" s="25"/>
    </row>
    <row r="27" spans="1:20" ht="15.6" x14ac:dyDescent="0.3">
      <c r="A27" s="25"/>
      <c r="B27" s="25"/>
      <c r="C27" s="31"/>
      <c r="D27" s="126" t="s">
        <v>87</v>
      </c>
      <c r="E27" s="140"/>
      <c r="F27" s="67">
        <f ca="1">+J12</f>
        <v>8</v>
      </c>
      <c r="G27" s="33" t="s">
        <v>131</v>
      </c>
      <c r="H27" s="31"/>
      <c r="I27" s="25"/>
      <c r="J27" s="25"/>
      <c r="K27" s="25"/>
      <c r="L27" s="25"/>
      <c r="M27" s="126" t="s">
        <v>87</v>
      </c>
      <c r="N27" s="140"/>
      <c r="O27" s="67">
        <f ca="1">+S12</f>
        <v>5</v>
      </c>
      <c r="P27" s="33" t="s">
        <v>131</v>
      </c>
      <c r="Q27" s="25"/>
      <c r="R27" s="25"/>
      <c r="S27" s="25"/>
      <c r="T27" s="25"/>
    </row>
    <row r="28" spans="1:20" ht="15.6" x14ac:dyDescent="0.3">
      <c r="A28" s="25"/>
      <c r="B28" s="25"/>
      <c r="C28" s="31"/>
      <c r="D28" s="31"/>
      <c r="E28" s="31"/>
      <c r="F28" s="31"/>
      <c r="G28" s="31"/>
      <c r="H28" s="31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spans="1:20" ht="15.6" x14ac:dyDescent="0.3">
      <c r="C29" s="31"/>
      <c r="D29" s="31"/>
      <c r="E29" s="31"/>
      <c r="F29" s="31"/>
      <c r="G29" s="31"/>
      <c r="H29" s="31"/>
    </row>
  </sheetData>
  <mergeCells count="6">
    <mergeCell ref="P2:Q2"/>
    <mergeCell ref="M26:N26"/>
    <mergeCell ref="M27:N27"/>
    <mergeCell ref="G2:H2"/>
    <mergeCell ref="D26:E26"/>
    <mergeCell ref="D27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Q83"/>
  <sheetViews>
    <sheetView topLeftCell="A56" zoomScaleNormal="100" workbookViewId="0">
      <selection activeCell="K77" sqref="K77"/>
    </sheetView>
  </sheetViews>
  <sheetFormatPr baseColWidth="10" defaultRowHeight="14.4" x14ac:dyDescent="0.3"/>
  <cols>
    <col min="4" max="4" width="14.44140625" bestFit="1" customWidth="1"/>
  </cols>
  <sheetData>
    <row r="1" spans="1:14" ht="15.6" x14ac:dyDescent="0.3">
      <c r="A1" s="25"/>
      <c r="B1" s="25"/>
      <c r="C1" s="31"/>
      <c r="D1" s="31"/>
      <c r="E1" s="31"/>
      <c r="F1" s="31"/>
      <c r="G1" s="31"/>
      <c r="H1" s="25"/>
      <c r="I1" s="25"/>
      <c r="J1" s="25"/>
      <c r="K1" s="25"/>
      <c r="L1" s="25"/>
      <c r="M1" s="25"/>
      <c r="N1" s="25"/>
    </row>
    <row r="2" spans="1:14" ht="15.6" x14ac:dyDescent="0.3">
      <c r="A2" s="25"/>
      <c r="B2" s="25"/>
      <c r="C2" s="31"/>
      <c r="D2" s="31"/>
      <c r="E2" s="31"/>
      <c r="F2" s="31"/>
      <c r="G2" s="31"/>
      <c r="H2" s="25"/>
      <c r="I2" s="25"/>
      <c r="J2" s="25"/>
      <c r="K2" s="25"/>
      <c r="L2" s="25"/>
      <c r="M2" s="25"/>
      <c r="N2" s="25"/>
    </row>
    <row r="3" spans="1:14" ht="15.6" x14ac:dyDescent="0.3">
      <c r="A3" s="25"/>
      <c r="B3" s="25"/>
      <c r="C3" s="31"/>
      <c r="D3" s="31"/>
      <c r="E3" s="136" t="str">
        <f>+'Hoja de cronometraje'!K4</f>
        <v>Elemento S</v>
      </c>
      <c r="F3" s="137"/>
      <c r="G3" s="31"/>
      <c r="H3" s="25"/>
      <c r="I3" s="25"/>
      <c r="J3" s="25"/>
      <c r="K3" s="25"/>
      <c r="L3" s="25"/>
      <c r="M3" s="25"/>
      <c r="N3" s="25"/>
    </row>
    <row r="4" spans="1:14" ht="15.6" x14ac:dyDescent="0.3">
      <c r="A4" s="25"/>
      <c r="B4" s="25"/>
      <c r="C4" s="31"/>
      <c r="D4" s="31"/>
      <c r="E4" s="31"/>
      <c r="F4" s="31"/>
      <c r="G4" s="31"/>
      <c r="H4" s="25"/>
      <c r="I4" s="25"/>
      <c r="J4" s="25"/>
      <c r="K4" s="25"/>
      <c r="L4" s="25"/>
      <c r="M4" s="25"/>
      <c r="N4" s="25"/>
    </row>
    <row r="5" spans="1:14" s="82" customFormat="1" ht="15.6" x14ac:dyDescent="0.3">
      <c r="A5" s="57"/>
      <c r="B5" s="70"/>
      <c r="C5" s="70"/>
      <c r="D5" s="70"/>
      <c r="E5" s="70"/>
      <c r="F5" s="70"/>
      <c r="G5" s="70"/>
      <c r="H5" s="57"/>
      <c r="I5" s="57"/>
      <c r="J5" s="57"/>
      <c r="K5" s="57"/>
      <c r="L5" s="57"/>
      <c r="M5" s="57"/>
      <c r="N5" s="57"/>
    </row>
    <row r="6" spans="1:14" ht="15.6" x14ac:dyDescent="0.3">
      <c r="A6" s="57"/>
      <c r="B6" s="46" t="s">
        <v>26</v>
      </c>
      <c r="C6" s="46" t="s">
        <v>88</v>
      </c>
      <c r="D6" s="46" t="s">
        <v>89</v>
      </c>
      <c r="E6" s="46" t="s">
        <v>27</v>
      </c>
      <c r="F6" s="46" t="s">
        <v>90</v>
      </c>
      <c r="G6" s="70"/>
      <c r="H6" s="25"/>
      <c r="I6" s="25"/>
      <c r="J6" s="25"/>
      <c r="K6" s="25"/>
      <c r="L6" s="25"/>
      <c r="M6" s="25"/>
      <c r="N6" s="25"/>
    </row>
    <row r="7" spans="1:14" ht="15.6" x14ac:dyDescent="0.3">
      <c r="A7" s="57"/>
      <c r="B7" s="64">
        <f ca="1">+'N° de Obs.'!D6</f>
        <v>95</v>
      </c>
      <c r="C7" s="64">
        <f ca="1">+'N° de Obs.'!E6</f>
        <v>1226</v>
      </c>
      <c r="D7" s="64">
        <f ca="1">+ROUND($B$29*$C$29/C7,2)</f>
        <v>92.58</v>
      </c>
      <c r="E7" s="64">
        <f ca="1">+J7</f>
        <v>95</v>
      </c>
      <c r="F7" s="64">
        <f ca="1">+B7-E7</f>
        <v>0</v>
      </c>
      <c r="G7" s="70"/>
      <c r="H7" s="72">
        <f ca="1">+ROUND(D7,1)</f>
        <v>92.6</v>
      </c>
      <c r="I7" s="73" t="str">
        <f ca="1">+RIGHT(H7*10,2)</f>
        <v>26</v>
      </c>
      <c r="J7" s="71" cm="1">
        <f t="array" aca="1" ref="J7" ca="1">+_xlfn.IFS(AND(I7&gt;="0",I7&lt;"25"),H7-(I7/10),AND(I7&gt;="25",I7&lt;"50"),H7+(5-(I7/10)),AND(I7&gt;="50",I7&lt;"75"),H7-((I7-50)/10),I7&gt;="75",H7+(10-(I7/10)))</f>
        <v>95</v>
      </c>
      <c r="K7" s="71">
        <f ca="1">+ABS(F7)</f>
        <v>0</v>
      </c>
      <c r="L7" s="57"/>
      <c r="M7" s="57"/>
      <c r="N7" s="57"/>
    </row>
    <row r="8" spans="1:14" ht="15.6" x14ac:dyDescent="0.3">
      <c r="A8" s="57"/>
      <c r="B8" s="64">
        <f ca="1">+'N° de Obs.'!D7</f>
        <v>95</v>
      </c>
      <c r="C8" s="64">
        <f ca="1">+'N° de Obs.'!E7</f>
        <v>1190</v>
      </c>
      <c r="D8" s="64">
        <f t="shared" ref="D8:D26" ca="1" si="0">+ROUND($B$29*$C$29/C8,2)</f>
        <v>95.38</v>
      </c>
      <c r="E8" s="64">
        <f t="shared" ref="E8:E26" ca="1" si="1">+J8</f>
        <v>95</v>
      </c>
      <c r="F8" s="64">
        <f t="shared" ref="F8:F26" ca="1" si="2">+B8-E8</f>
        <v>0</v>
      </c>
      <c r="G8" s="70"/>
      <c r="H8" s="74">
        <f t="shared" ref="H8:H26" ca="1" si="3">+ROUND(D8,1)</f>
        <v>95.4</v>
      </c>
      <c r="I8" s="75" t="str">
        <f t="shared" ref="I8:I26" ca="1" si="4">+RIGHT(H8*10,2)</f>
        <v>54</v>
      </c>
      <c r="J8" s="64" cm="1">
        <f t="array" aca="1" ref="J8" ca="1">+_xlfn.IFS(AND(I8&gt;="0",I8&lt;"25"),H8-(I8/10),AND(I8&gt;="25",I8&lt;"50"),H8+(5-(I8/10)),AND(I8&gt;="50",I8&lt;"75"),H8-((I8-50)/10),I8&gt;="75",H8+(10-(I8/10)))</f>
        <v>95</v>
      </c>
      <c r="K8" s="64">
        <f t="shared" ref="K8:K26" ca="1" si="5">+ABS(F8)</f>
        <v>0</v>
      </c>
      <c r="L8" s="57"/>
      <c r="M8" s="57"/>
      <c r="N8" s="57"/>
    </row>
    <row r="9" spans="1:14" ht="15.6" x14ac:dyDescent="0.3">
      <c r="A9" s="57"/>
      <c r="B9" s="64">
        <f ca="1">+'N° de Obs.'!D8</f>
        <v>90</v>
      </c>
      <c r="C9" s="64">
        <f ca="1">+'N° de Obs.'!E8</f>
        <v>1148</v>
      </c>
      <c r="D9" s="64">
        <f t="shared" ca="1" si="0"/>
        <v>98.87</v>
      </c>
      <c r="E9" s="64">
        <f t="shared" ca="1" si="1"/>
        <v>100</v>
      </c>
      <c r="F9" s="64">
        <f t="shared" ca="1" si="2"/>
        <v>-10</v>
      </c>
      <c r="G9" s="70"/>
      <c r="H9" s="74">
        <f t="shared" ca="1" si="3"/>
        <v>98.9</v>
      </c>
      <c r="I9" s="75" t="str">
        <f t="shared" ca="1" si="4"/>
        <v>89</v>
      </c>
      <c r="J9" s="64" cm="1">
        <f t="array" aca="1" ref="J9" ca="1">+_xlfn.IFS(AND(I9&gt;="0",I9&lt;"25"),H9-(I9/10),AND(I9&gt;="25",I9&lt;"50"),H9+(5-(I9/10)),AND(I9&gt;="50",I9&lt;"75"),H9-((I9-50)/10),I9&gt;="75",H9+(10-(I9/10)))</f>
        <v>100</v>
      </c>
      <c r="K9" s="64">
        <f t="shared" ca="1" si="5"/>
        <v>10</v>
      </c>
      <c r="L9" s="57"/>
      <c r="M9" s="57"/>
      <c r="N9" s="57"/>
    </row>
    <row r="10" spans="1:14" ht="15.6" x14ac:dyDescent="0.3">
      <c r="A10" s="57"/>
      <c r="B10" s="64">
        <f ca="1">+'N° de Obs.'!D9</f>
        <v>85</v>
      </c>
      <c r="C10" s="64">
        <f ca="1">+'N° de Obs.'!E9</f>
        <v>1273</v>
      </c>
      <c r="D10" s="64">
        <f t="shared" ca="1" si="0"/>
        <v>89.16</v>
      </c>
      <c r="E10" s="64">
        <f t="shared" ca="1" si="1"/>
        <v>90</v>
      </c>
      <c r="F10" s="64">
        <f t="shared" ca="1" si="2"/>
        <v>-5</v>
      </c>
      <c r="G10" s="70"/>
      <c r="H10" s="74">
        <f t="shared" ca="1" si="3"/>
        <v>89.2</v>
      </c>
      <c r="I10" s="75" t="str">
        <f t="shared" ca="1" si="4"/>
        <v>92</v>
      </c>
      <c r="J10" s="64" cm="1">
        <f t="array" aca="1" ref="J10" ca="1">+_xlfn.IFS(AND(I10&gt;="0",I10&lt;"25"),H10-(I10/10),AND(I10&gt;="25",I10&lt;"50"),H10+(5-(I10/10)),AND(I10&gt;="50",I10&lt;"75"),H10-((I10-50)/10),I10&gt;="75",H10+(10-(I10/10)))</f>
        <v>90</v>
      </c>
      <c r="K10" s="64">
        <f t="shared" ca="1" si="5"/>
        <v>5</v>
      </c>
      <c r="L10" s="57"/>
      <c r="M10" s="76"/>
      <c r="N10" s="57"/>
    </row>
    <row r="11" spans="1:14" ht="15.6" x14ac:dyDescent="0.3">
      <c r="A11" s="57"/>
      <c r="B11" s="64">
        <f ca="1">+'N° de Obs.'!D10</f>
        <v>90</v>
      </c>
      <c r="C11" s="64">
        <f ca="1">+'N° de Obs.'!E10</f>
        <v>1113</v>
      </c>
      <c r="D11" s="64">
        <f t="shared" ca="1" si="0"/>
        <v>101.98</v>
      </c>
      <c r="E11" s="64">
        <f t="shared" ca="1" si="1"/>
        <v>100</v>
      </c>
      <c r="F11" s="64">
        <f t="shared" ca="1" si="2"/>
        <v>-10</v>
      </c>
      <c r="G11" s="70"/>
      <c r="H11" s="74">
        <f t="shared" ca="1" si="3"/>
        <v>102</v>
      </c>
      <c r="I11" s="75" t="str">
        <f t="shared" ca="1" si="4"/>
        <v>20</v>
      </c>
      <c r="J11" s="64" cm="1">
        <f t="array" aca="1" ref="J11" ca="1">+_xlfn.IFS(AND(I11&gt;="0",I11&lt;"25"),H11-(I11/10),AND(I11&gt;="25",I11&lt;"50"),H11+(5-(I11/10)),AND(I11&gt;="50",I11&lt;"75"),H11-((I11-50)/10),I11&gt;="75",H11+(10-(I11/10)))</f>
        <v>100</v>
      </c>
      <c r="K11" s="64">
        <f t="shared" ca="1" si="5"/>
        <v>10</v>
      </c>
      <c r="L11" s="57"/>
      <c r="M11" s="57"/>
      <c r="N11" s="57"/>
    </row>
    <row r="12" spans="1:14" ht="15.6" x14ac:dyDescent="0.3">
      <c r="A12" s="57"/>
      <c r="B12" s="64">
        <f ca="1">+'N° de Obs.'!D11</f>
        <v>85</v>
      </c>
      <c r="C12" s="64">
        <f ca="1">+'N° de Obs.'!E11</f>
        <v>1289</v>
      </c>
      <c r="D12" s="64">
        <f t="shared" ca="1" si="0"/>
        <v>88.05</v>
      </c>
      <c r="E12" s="64">
        <f t="shared" ca="1" si="1"/>
        <v>90</v>
      </c>
      <c r="F12" s="64">
        <f t="shared" ca="1" si="2"/>
        <v>-5</v>
      </c>
      <c r="G12" s="70"/>
      <c r="H12" s="74">
        <f t="shared" ca="1" si="3"/>
        <v>88.1</v>
      </c>
      <c r="I12" s="75" t="str">
        <f t="shared" ca="1" si="4"/>
        <v>81</v>
      </c>
      <c r="J12" s="64" cm="1">
        <f t="array" aca="1" ref="J12" ca="1">+_xlfn.IFS(AND(I12&gt;="0",I12&lt;"25"),H12-(I12/10),AND(I12&gt;="25",I12&lt;"50"),H12+(5-(I12/10)),AND(I12&gt;="50",I12&lt;"75"),H12-((I12-50)/10),I12&gt;="75",H12+(10-(I12/10)))</f>
        <v>90</v>
      </c>
      <c r="K12" s="64">
        <f t="shared" ca="1" si="5"/>
        <v>5</v>
      </c>
      <c r="L12" s="57"/>
      <c r="M12" s="57"/>
      <c r="N12" s="57"/>
    </row>
    <row r="13" spans="1:14" ht="15.6" x14ac:dyDescent="0.3">
      <c r="A13" s="57"/>
      <c r="B13" s="64">
        <f ca="1">+'N° de Obs.'!D12</f>
        <v>95</v>
      </c>
      <c r="C13" s="64">
        <f ca="1">+'N° de Obs.'!E12</f>
        <v>1178</v>
      </c>
      <c r="D13" s="64">
        <f t="shared" ca="1" si="0"/>
        <v>96.35</v>
      </c>
      <c r="E13" s="64">
        <f t="shared" ca="1" si="1"/>
        <v>95</v>
      </c>
      <c r="F13" s="64">
        <f t="shared" ca="1" si="2"/>
        <v>0</v>
      </c>
      <c r="G13" s="70"/>
      <c r="H13" s="74">
        <f t="shared" ca="1" si="3"/>
        <v>96.4</v>
      </c>
      <c r="I13" s="75" t="str">
        <f t="shared" ca="1" si="4"/>
        <v>64</v>
      </c>
      <c r="J13" s="64" cm="1">
        <f t="array" aca="1" ref="J13" ca="1">+_xlfn.IFS(AND(I13&gt;="0",I13&lt;"25"),H13-(I13/10),AND(I13&gt;="25",I13&lt;"50"),H13+(5-(I13/10)),AND(I13&gt;="50",I13&lt;"75"),H13-((I13-50)/10),I13&gt;="75",H13+(10-(I13/10)))</f>
        <v>95</v>
      </c>
      <c r="K13" s="64">
        <f t="shared" ca="1" si="5"/>
        <v>0</v>
      </c>
      <c r="L13" s="57"/>
      <c r="M13" s="57"/>
      <c r="N13" s="57"/>
    </row>
    <row r="14" spans="1:14" ht="15.6" x14ac:dyDescent="0.3">
      <c r="A14" s="57"/>
      <c r="B14" s="64">
        <f ca="1">+'N° de Obs.'!D13</f>
        <v>85</v>
      </c>
      <c r="C14" s="64">
        <f ca="1">+'N° de Obs.'!E13</f>
        <v>1294</v>
      </c>
      <c r="D14" s="64">
        <f t="shared" ca="1" si="0"/>
        <v>87.71</v>
      </c>
      <c r="E14" s="64">
        <f t="shared" ca="1" si="1"/>
        <v>90</v>
      </c>
      <c r="F14" s="64">
        <f t="shared" ca="1" si="2"/>
        <v>-5</v>
      </c>
      <c r="G14" s="70"/>
      <c r="H14" s="74">
        <f t="shared" ca="1" si="3"/>
        <v>87.7</v>
      </c>
      <c r="I14" s="75" t="str">
        <f t="shared" ca="1" si="4"/>
        <v>77</v>
      </c>
      <c r="J14" s="64" cm="1">
        <f t="array" aca="1" ref="J14" ca="1">+_xlfn.IFS(AND(I14&gt;="0",I14&lt;"25"),H14-(I14/10),AND(I14&gt;="25",I14&lt;"50"),H14+(5-(I14/10)),AND(I14&gt;="50",I14&lt;"75"),H14-((I14-50)/10),I14&gt;="75",H14+(10-(I14/10)))</f>
        <v>90</v>
      </c>
      <c r="K14" s="64">
        <f t="shared" ca="1" si="5"/>
        <v>5</v>
      </c>
      <c r="L14" s="57"/>
      <c r="M14" s="57"/>
      <c r="N14" s="57"/>
    </row>
    <row r="15" spans="1:14" ht="15.6" x14ac:dyDescent="0.3">
      <c r="A15" s="57"/>
      <c r="B15" s="64">
        <f ca="1">+'N° de Obs.'!D14</f>
        <v>100</v>
      </c>
      <c r="C15" s="64">
        <f ca="1">+'N° de Obs.'!E14</f>
        <v>1281</v>
      </c>
      <c r="D15" s="64">
        <f t="shared" ca="1" si="0"/>
        <v>88.6</v>
      </c>
      <c r="E15" s="64">
        <f t="shared" ca="1" si="1"/>
        <v>90</v>
      </c>
      <c r="F15" s="64">
        <f t="shared" ca="1" si="2"/>
        <v>10</v>
      </c>
      <c r="G15" s="70"/>
      <c r="H15" s="74">
        <f t="shared" ca="1" si="3"/>
        <v>88.6</v>
      </c>
      <c r="I15" s="75" t="str">
        <f t="shared" ca="1" si="4"/>
        <v>86</v>
      </c>
      <c r="J15" s="64" cm="1">
        <f t="array" aca="1" ref="J15" ca="1">+_xlfn.IFS(AND(I15&gt;="0",I15&lt;"25"),H15-(I15/10),AND(I15&gt;="25",I15&lt;"50"),H15+(5-(I15/10)),AND(I15&gt;="50",I15&lt;"75"),H15-((I15-50)/10),I15&gt;="75",H15+(10-(I15/10)))</f>
        <v>90</v>
      </c>
      <c r="K15" s="64">
        <f t="shared" ca="1" si="5"/>
        <v>10</v>
      </c>
      <c r="L15" s="57"/>
      <c r="M15" s="57"/>
      <c r="N15" s="57"/>
    </row>
    <row r="16" spans="1:14" ht="15.6" x14ac:dyDescent="0.3">
      <c r="A16" s="57"/>
      <c r="B16" s="64">
        <f ca="1">+'N° de Obs.'!D15</f>
        <v>100</v>
      </c>
      <c r="C16" s="64">
        <f ca="1">+'N° de Obs.'!E15</f>
        <v>1189</v>
      </c>
      <c r="D16" s="64">
        <f t="shared" ca="1" si="0"/>
        <v>95.46</v>
      </c>
      <c r="E16" s="64">
        <f t="shared" ca="1" si="1"/>
        <v>95</v>
      </c>
      <c r="F16" s="64">
        <f t="shared" ca="1" si="2"/>
        <v>5</v>
      </c>
      <c r="G16" s="70"/>
      <c r="H16" s="74">
        <f t="shared" ca="1" si="3"/>
        <v>95.5</v>
      </c>
      <c r="I16" s="75" t="str">
        <f t="shared" ca="1" si="4"/>
        <v>55</v>
      </c>
      <c r="J16" s="64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64">
        <f t="shared" ca="1" si="5"/>
        <v>5</v>
      </c>
      <c r="L16" s="57"/>
      <c r="M16" s="57"/>
      <c r="N16" s="57"/>
    </row>
    <row r="17" spans="1:16" ht="15.6" x14ac:dyDescent="0.3">
      <c r="A17" s="57"/>
      <c r="B17" s="64">
        <f ca="1">+'N° de Obs.'!D16</f>
        <v>90</v>
      </c>
      <c r="C17" s="64">
        <f ca="1">+'N° de Obs.'!E16</f>
        <v>1131</v>
      </c>
      <c r="D17" s="64">
        <f t="shared" ca="1" si="0"/>
        <v>100.35</v>
      </c>
      <c r="E17" s="64">
        <f t="shared" ca="1" si="1"/>
        <v>100</v>
      </c>
      <c r="F17" s="64">
        <f t="shared" ca="1" si="2"/>
        <v>-10</v>
      </c>
      <c r="G17" s="70"/>
      <c r="H17" s="74">
        <f t="shared" ca="1" si="3"/>
        <v>100.4</v>
      </c>
      <c r="I17" s="75" t="str">
        <f t="shared" ca="1" si="4"/>
        <v>04</v>
      </c>
      <c r="J17" s="64" cm="1">
        <f t="array" aca="1" ref="J17" ca="1">+_xlfn.IFS(AND(I17&gt;="0",I17&lt;"25"),H17-(I17/10),AND(I17&gt;="25",I17&lt;"50"),H17+(5-(I17/10)),AND(I17&gt;="50",I17&lt;"75"),H17-((I17-50)/10),I17&gt;="75",H17+(10-(I17/10)))</f>
        <v>100</v>
      </c>
      <c r="K17" s="64">
        <f t="shared" ca="1" si="5"/>
        <v>10</v>
      </c>
      <c r="L17" s="57"/>
      <c r="M17" s="57"/>
      <c r="N17" s="57"/>
    </row>
    <row r="18" spans="1:16" ht="15.6" x14ac:dyDescent="0.3">
      <c r="A18" s="57"/>
      <c r="B18" s="64">
        <f ca="1">+'N° de Obs.'!D17</f>
        <v>95</v>
      </c>
      <c r="C18" s="64">
        <f ca="1">+'N° de Obs.'!E17</f>
        <v>1147</v>
      </c>
      <c r="D18" s="64">
        <f t="shared" ca="1" si="0"/>
        <v>98.95</v>
      </c>
      <c r="E18" s="64">
        <f t="shared" ca="1" si="1"/>
        <v>100</v>
      </c>
      <c r="F18" s="64">
        <f t="shared" ca="1" si="2"/>
        <v>-5</v>
      </c>
      <c r="G18" s="70"/>
      <c r="H18" s="74">
        <f t="shared" ca="1" si="3"/>
        <v>99</v>
      </c>
      <c r="I18" s="75" t="str">
        <f t="shared" ca="1" si="4"/>
        <v>90</v>
      </c>
      <c r="J18" s="64" cm="1">
        <f t="array" aca="1" ref="J18" ca="1">+_xlfn.IFS(AND(I18&gt;="0",I18&lt;"25"),H18-(I18/10),AND(I18&gt;="25",I18&lt;"50"),H18+(5-(I18/10)),AND(I18&gt;="50",I18&lt;"75"),H18-((I18-50)/10),I18&gt;="75",H18+(10-(I18/10)))</f>
        <v>100</v>
      </c>
      <c r="K18" s="64">
        <f t="shared" ca="1" si="5"/>
        <v>5</v>
      </c>
      <c r="L18" s="57"/>
      <c r="M18" s="57"/>
      <c r="N18" s="57"/>
    </row>
    <row r="19" spans="1:16" ht="15.6" x14ac:dyDescent="0.3">
      <c r="A19" s="57"/>
      <c r="B19" s="64">
        <f ca="1">+'N° de Obs.'!D18</f>
        <v>95</v>
      </c>
      <c r="C19" s="64">
        <f ca="1">+'N° de Obs.'!E18</f>
        <v>1282</v>
      </c>
      <c r="D19" s="64">
        <f t="shared" ca="1" si="0"/>
        <v>88.53</v>
      </c>
      <c r="E19" s="64">
        <f t="shared" ca="1" si="1"/>
        <v>90</v>
      </c>
      <c r="F19" s="64">
        <f t="shared" ca="1" si="2"/>
        <v>5</v>
      </c>
      <c r="G19" s="57"/>
      <c r="H19" s="74">
        <f t="shared" ca="1" si="3"/>
        <v>88.5</v>
      </c>
      <c r="I19" s="75" t="str">
        <f t="shared" ca="1" si="4"/>
        <v>85</v>
      </c>
      <c r="J19" s="64" cm="1">
        <f t="array" aca="1" ref="J19" ca="1">+_xlfn.IFS(AND(I19&gt;="0",I19&lt;"25"),H19-(I19/10),AND(I19&gt;="25",I19&lt;"50"),H19+(5-(I19/10)),AND(I19&gt;="50",I19&lt;"75"),H19-((I19-50)/10),I19&gt;="75",H19+(10-(I19/10)))</f>
        <v>90</v>
      </c>
      <c r="K19" s="64">
        <f t="shared" ca="1" si="5"/>
        <v>5</v>
      </c>
      <c r="L19" s="57"/>
      <c r="M19" s="57"/>
      <c r="N19" s="57"/>
    </row>
    <row r="20" spans="1:16" ht="15.6" x14ac:dyDescent="0.3">
      <c r="A20" s="57"/>
      <c r="B20" s="64">
        <f ca="1">+'N° de Obs.'!D19</f>
        <v>95</v>
      </c>
      <c r="C20" s="64">
        <f ca="1">+'N° de Obs.'!E19</f>
        <v>1219</v>
      </c>
      <c r="D20" s="64">
        <f t="shared" ca="1" si="0"/>
        <v>93.11</v>
      </c>
      <c r="E20" s="64">
        <f t="shared" ca="1" si="1"/>
        <v>95</v>
      </c>
      <c r="F20" s="64">
        <f t="shared" ca="1" si="2"/>
        <v>0</v>
      </c>
      <c r="G20" s="57"/>
      <c r="H20" s="74">
        <f t="shared" ca="1" si="3"/>
        <v>93.1</v>
      </c>
      <c r="I20" s="75" t="str">
        <f t="shared" ca="1" si="4"/>
        <v>31</v>
      </c>
      <c r="J20" s="64" cm="1">
        <f t="array" aca="1" ref="J20" ca="1">+_xlfn.IFS(AND(I20&gt;="0",I20&lt;"25"),H20-(I20/10),AND(I20&gt;="25",I20&lt;"50"),H20+(5-(I20/10)),AND(I20&gt;="50",I20&lt;"75"),H20-((I20-50)/10),I20&gt;="75",H20+(10-(I20/10)))</f>
        <v>95</v>
      </c>
      <c r="K20" s="64">
        <f t="shared" ca="1" si="5"/>
        <v>0</v>
      </c>
      <c r="L20" s="57"/>
      <c r="M20" s="57"/>
      <c r="N20" s="57"/>
    </row>
    <row r="21" spans="1:16" ht="15.6" x14ac:dyDescent="0.3">
      <c r="A21" s="57"/>
      <c r="B21" s="64">
        <f ca="1">+'N° de Obs.'!D20</f>
        <v>100</v>
      </c>
      <c r="C21" s="64">
        <f ca="1">+'N° de Obs.'!E20</f>
        <v>1146</v>
      </c>
      <c r="D21" s="64">
        <f t="shared" ca="1" si="0"/>
        <v>99.04</v>
      </c>
      <c r="E21" s="64">
        <f t="shared" ca="1" si="1"/>
        <v>100</v>
      </c>
      <c r="F21" s="64">
        <f t="shared" ca="1" si="2"/>
        <v>0</v>
      </c>
      <c r="G21" s="57"/>
      <c r="H21" s="74">
        <f t="shared" ca="1" si="3"/>
        <v>99</v>
      </c>
      <c r="I21" s="75" t="str">
        <f t="shared" ca="1" si="4"/>
        <v>90</v>
      </c>
      <c r="J21" s="64" cm="1">
        <f t="array" aca="1" ref="J21" ca="1">+_xlfn.IFS(AND(I21&gt;="0",I21&lt;"25"),H21-(I21/10),AND(I21&gt;="25",I21&lt;"50"),H21+(5-(I21/10)),AND(I21&gt;="50",I21&lt;"75"),H21-((I21-50)/10),I21&gt;="75",H21+(10-(I21/10)))</f>
        <v>100</v>
      </c>
      <c r="K21" s="64">
        <f t="shared" ca="1" si="5"/>
        <v>0</v>
      </c>
      <c r="L21" s="57"/>
      <c r="M21" s="57"/>
      <c r="N21" s="57"/>
    </row>
    <row r="22" spans="1:16" ht="15.6" x14ac:dyDescent="0.3">
      <c r="A22" s="57"/>
      <c r="B22" s="64">
        <f ca="1">+'N° de Obs.'!D21</f>
        <v>95</v>
      </c>
      <c r="C22" s="64">
        <f ca="1">+'N° de Obs.'!E21</f>
        <v>1213</v>
      </c>
      <c r="D22" s="64">
        <f t="shared" ca="1" si="0"/>
        <v>93.57</v>
      </c>
      <c r="E22" s="64">
        <f t="shared" ca="1" si="1"/>
        <v>95</v>
      </c>
      <c r="F22" s="64">
        <f t="shared" ca="1" si="2"/>
        <v>0</v>
      </c>
      <c r="G22" s="57"/>
      <c r="H22" s="74">
        <f t="shared" ca="1" si="3"/>
        <v>93.6</v>
      </c>
      <c r="I22" s="75" t="str">
        <f t="shared" ca="1" si="4"/>
        <v>36</v>
      </c>
      <c r="J22" s="64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64">
        <f t="shared" ca="1" si="5"/>
        <v>0</v>
      </c>
      <c r="L22" s="57"/>
      <c r="M22" s="57"/>
      <c r="N22" s="57"/>
    </row>
    <row r="23" spans="1:16" ht="15.6" x14ac:dyDescent="0.3">
      <c r="A23" s="57"/>
      <c r="B23" s="64">
        <f ca="1">+'N° de Obs.'!D22</f>
        <v>100</v>
      </c>
      <c r="C23" s="64">
        <f ca="1">+'N° de Obs.'!E22</f>
        <v>1294</v>
      </c>
      <c r="D23" s="64">
        <f t="shared" ca="1" si="0"/>
        <v>87.71</v>
      </c>
      <c r="E23" s="64">
        <f t="shared" ca="1" si="1"/>
        <v>90</v>
      </c>
      <c r="F23" s="64">
        <f t="shared" ca="1" si="2"/>
        <v>10</v>
      </c>
      <c r="G23" s="57"/>
      <c r="H23" s="74">
        <f t="shared" ca="1" si="3"/>
        <v>87.7</v>
      </c>
      <c r="I23" s="75" t="str">
        <f t="shared" ca="1" si="4"/>
        <v>77</v>
      </c>
      <c r="J23" s="64" cm="1">
        <f t="array" aca="1" ref="J23" ca="1">+_xlfn.IFS(AND(I23&gt;="0",I23&lt;"25"),H23-(I23/10),AND(I23&gt;="25",I23&lt;"50"),H23+(5-(I23/10)),AND(I23&gt;="50",I23&lt;"75"),H23-((I23-50)/10),I23&gt;="75",H23+(10-(I23/10)))</f>
        <v>90</v>
      </c>
      <c r="K23" s="64">
        <f t="shared" ca="1" si="5"/>
        <v>10</v>
      </c>
      <c r="L23" s="57"/>
      <c r="M23" s="57"/>
      <c r="N23" s="57"/>
    </row>
    <row r="24" spans="1:16" ht="15.6" x14ac:dyDescent="0.3">
      <c r="A24" s="57"/>
      <c r="B24" s="64">
        <f ca="1">+'N° de Obs.'!D23</f>
        <v>95</v>
      </c>
      <c r="C24" s="64">
        <f ca="1">+'N° de Obs.'!E23</f>
        <v>1142</v>
      </c>
      <c r="D24" s="64">
        <f t="shared" ca="1" si="0"/>
        <v>99.39</v>
      </c>
      <c r="E24" s="64">
        <f t="shared" ca="1" si="1"/>
        <v>100</v>
      </c>
      <c r="F24" s="64">
        <f t="shared" ca="1" si="2"/>
        <v>-5</v>
      </c>
      <c r="G24" s="57"/>
      <c r="H24" s="74">
        <f t="shared" ca="1" si="3"/>
        <v>99.4</v>
      </c>
      <c r="I24" s="75" t="str">
        <f t="shared" ca="1" si="4"/>
        <v>94</v>
      </c>
      <c r="J24" s="64" cm="1">
        <f t="array" aca="1" ref="J24" ca="1">+_xlfn.IFS(AND(I24&gt;="0",I24&lt;"25"),H24-(I24/10),AND(I24&gt;="25",I24&lt;"50"),H24+(5-(I24/10)),AND(I24&gt;="50",I24&lt;"75"),H24-((I24-50)/10),I24&gt;="75",H24+(10-(I24/10)))</f>
        <v>100</v>
      </c>
      <c r="K24" s="64">
        <f t="shared" ca="1" si="5"/>
        <v>5</v>
      </c>
      <c r="L24" s="57"/>
      <c r="M24" s="57"/>
      <c r="N24" s="57"/>
    </row>
    <row r="25" spans="1:16" ht="15.6" x14ac:dyDescent="0.3">
      <c r="A25" s="57"/>
      <c r="B25" s="64">
        <f ca="1">+'N° de Obs.'!D24</f>
        <v>90</v>
      </c>
      <c r="C25" s="64">
        <f ca="1">+'N° de Obs.'!E24</f>
        <v>1274</v>
      </c>
      <c r="D25" s="64">
        <f t="shared" ca="1" si="0"/>
        <v>89.09</v>
      </c>
      <c r="E25" s="64">
        <f t="shared" ca="1" si="1"/>
        <v>90</v>
      </c>
      <c r="F25" s="64">
        <f t="shared" ca="1" si="2"/>
        <v>0</v>
      </c>
      <c r="G25" s="57"/>
      <c r="H25" s="74">
        <f t="shared" ca="1" si="3"/>
        <v>89.1</v>
      </c>
      <c r="I25" s="75" t="str">
        <f t="shared" ca="1" si="4"/>
        <v>91</v>
      </c>
      <c r="J25" s="64" cm="1">
        <f t="array" aca="1" ref="J25" ca="1">+_xlfn.IFS(AND(I25&gt;="0",I25&lt;"25"),H25-(I25/10),AND(I25&gt;="25",I25&lt;"50"),H25+(5-(I25/10)),AND(I25&gt;="50",I25&lt;"75"),H25-((I25-50)/10),I25&gt;="75",H25+(10-(I25/10)))</f>
        <v>90</v>
      </c>
      <c r="K25" s="64">
        <f t="shared" ca="1" si="5"/>
        <v>0</v>
      </c>
      <c r="L25" s="57"/>
      <c r="M25" s="57"/>
      <c r="N25" s="57"/>
    </row>
    <row r="26" spans="1:16" ht="15.6" x14ac:dyDescent="0.3">
      <c r="A26" s="57"/>
      <c r="B26" s="65">
        <f ca="1">+'N° de Obs.'!D25</f>
        <v>100</v>
      </c>
      <c r="C26" s="65">
        <f ca="1">+'N° de Obs.'!E25</f>
        <v>1191</v>
      </c>
      <c r="D26" s="65">
        <f t="shared" ca="1" si="0"/>
        <v>95.3</v>
      </c>
      <c r="E26" s="65">
        <f t="shared" ca="1" si="1"/>
        <v>95</v>
      </c>
      <c r="F26" s="65">
        <f t="shared" ca="1" si="2"/>
        <v>5</v>
      </c>
      <c r="G26" s="57"/>
      <c r="H26" s="77">
        <f t="shared" ca="1" si="3"/>
        <v>95.3</v>
      </c>
      <c r="I26" s="78" t="str">
        <f t="shared" ca="1" si="4"/>
        <v>53</v>
      </c>
      <c r="J26" s="65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64">
        <f t="shared" ca="1" si="5"/>
        <v>5</v>
      </c>
      <c r="L26" s="57"/>
      <c r="M26" s="57"/>
      <c r="N26" s="57"/>
    </row>
    <row r="27" spans="1:16" ht="15.6" x14ac:dyDescent="0.3">
      <c r="A27" s="57"/>
      <c r="B27" s="144" t="s">
        <v>86</v>
      </c>
      <c r="C27" s="145"/>
      <c r="D27" s="145"/>
      <c r="E27" s="145"/>
      <c r="F27" s="81">
        <f ca="1">+SUMIF(K7:K26,"&lt;=10",F7:F26)</f>
        <v>-20</v>
      </c>
      <c r="G27" s="57"/>
      <c r="H27" s="57"/>
      <c r="I27" s="57"/>
      <c r="J27" s="57"/>
      <c r="K27" s="65">
        <f ca="1">+COUNTIF(K7:K26,"&lt;=10")</f>
        <v>20</v>
      </c>
      <c r="L27" s="57"/>
      <c r="M27" s="57"/>
      <c r="N27" s="57"/>
    </row>
    <row r="28" spans="1:16" ht="15.6" x14ac:dyDescent="0.3">
      <c r="A28" s="57"/>
      <c r="B28" s="70"/>
      <c r="C28" s="70"/>
      <c r="D28" s="57"/>
      <c r="E28" s="70"/>
      <c r="F28" s="70"/>
      <c r="G28" s="57"/>
      <c r="H28" s="57"/>
      <c r="I28" s="57"/>
      <c r="J28" s="57"/>
      <c r="K28" s="70"/>
      <c r="L28" s="57"/>
      <c r="M28" s="57"/>
      <c r="N28" s="57"/>
    </row>
    <row r="29" spans="1:16" ht="15.6" x14ac:dyDescent="0.3">
      <c r="A29" s="57"/>
      <c r="B29" s="83">
        <v>100</v>
      </c>
      <c r="C29" s="57">
        <f ca="1">+ROUND(AVERAGE('N° de Obs.'!F6:F25),0)</f>
        <v>1135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</row>
    <row r="30" spans="1:16" s="82" customFormat="1" ht="15.6" x14ac:dyDescent="0.3">
      <c r="A30" s="57"/>
      <c r="B30" s="57"/>
      <c r="C30" s="57"/>
      <c r="D30" s="84"/>
      <c r="E30" s="84"/>
      <c r="F30" s="57"/>
      <c r="G30" s="57"/>
      <c r="H30" s="57"/>
      <c r="I30" s="57"/>
      <c r="J30" s="57"/>
      <c r="K30" s="57"/>
      <c r="L30" s="57"/>
      <c r="M30" s="57"/>
      <c r="N30" s="57"/>
    </row>
    <row r="31" spans="1:16" ht="15.6" x14ac:dyDescent="0.3">
      <c r="A31" s="25"/>
      <c r="B31" s="57"/>
      <c r="C31" s="57"/>
      <c r="D31" s="49" t="s">
        <v>80</v>
      </c>
      <c r="E31" s="46" t="s">
        <v>81</v>
      </c>
      <c r="F31" s="57"/>
      <c r="G31" s="57"/>
      <c r="H31" s="57"/>
      <c r="I31" s="57"/>
      <c r="J31" s="57"/>
      <c r="K31" s="57"/>
      <c r="L31" s="57"/>
      <c r="M31" s="57"/>
      <c r="N31" s="57"/>
      <c r="O31" s="82"/>
      <c r="P31" s="82"/>
    </row>
    <row r="32" spans="1:16" ht="15.6" x14ac:dyDescent="0.3">
      <c r="A32" s="25"/>
      <c r="B32" s="57"/>
      <c r="C32" s="57"/>
      <c r="D32" s="69" t="s">
        <v>83</v>
      </c>
      <c r="E32" s="64" t="s">
        <v>25</v>
      </c>
      <c r="F32" s="57"/>
      <c r="G32" s="57"/>
      <c r="H32" s="57"/>
      <c r="I32" s="57"/>
      <c r="J32" s="57"/>
      <c r="K32" s="143" t="s">
        <v>94</v>
      </c>
      <c r="L32" s="143"/>
      <c r="M32" s="143"/>
      <c r="N32" s="57"/>
      <c r="O32" s="82"/>
      <c r="P32" s="82"/>
    </row>
    <row r="33" spans="1:17" ht="15.6" x14ac:dyDescent="0.3">
      <c r="A33" s="25"/>
      <c r="B33" s="57"/>
      <c r="C33" s="57"/>
      <c r="D33" s="69" t="s">
        <v>91</v>
      </c>
      <c r="E33" s="90">
        <f>+B29</f>
        <v>100</v>
      </c>
      <c r="F33" s="57"/>
      <c r="G33" s="57"/>
      <c r="H33" s="57"/>
      <c r="I33" s="57"/>
      <c r="J33" s="57"/>
      <c r="K33" s="143"/>
      <c r="L33" s="143"/>
      <c r="M33" s="143"/>
      <c r="N33" s="57"/>
      <c r="O33" s="82"/>
      <c r="P33" s="82"/>
    </row>
    <row r="34" spans="1:17" ht="15.6" x14ac:dyDescent="0.3">
      <c r="A34" s="25"/>
      <c r="B34" s="57"/>
      <c r="C34" s="57"/>
      <c r="D34" s="69" t="s">
        <v>20</v>
      </c>
      <c r="E34" s="64">
        <f ca="1">+C29</f>
        <v>1135</v>
      </c>
      <c r="F34" s="57"/>
      <c r="G34" s="57"/>
      <c r="H34" s="57"/>
      <c r="I34" s="57"/>
      <c r="J34" s="57"/>
      <c r="K34" s="143"/>
      <c r="L34" s="143"/>
      <c r="M34" s="143"/>
      <c r="N34" s="57"/>
      <c r="O34" s="82"/>
      <c r="P34" s="82"/>
    </row>
    <row r="35" spans="1:17" ht="31.2" x14ac:dyDescent="0.3">
      <c r="A35" s="25"/>
      <c r="B35" s="57"/>
      <c r="C35" s="57"/>
      <c r="D35" s="86" t="s">
        <v>93</v>
      </c>
      <c r="E35" s="64">
        <f ca="1">+K27</f>
        <v>20</v>
      </c>
      <c r="F35" s="57"/>
      <c r="G35" s="57"/>
      <c r="H35" s="57"/>
      <c r="I35" s="57"/>
      <c r="J35" s="57"/>
      <c r="K35" s="143"/>
      <c r="L35" s="143"/>
      <c r="M35" s="143"/>
      <c r="N35" s="57"/>
      <c r="O35" s="82"/>
      <c r="P35" s="82"/>
    </row>
    <row r="36" spans="1:17" ht="15.6" x14ac:dyDescent="0.3">
      <c r="A36" s="25"/>
      <c r="B36" s="57"/>
      <c r="C36" s="57"/>
      <c r="D36" s="87" t="s">
        <v>90</v>
      </c>
      <c r="E36" s="65">
        <f ca="1">+F27</f>
        <v>-20</v>
      </c>
      <c r="F36" s="57"/>
      <c r="G36" s="57"/>
      <c r="H36" s="57"/>
      <c r="I36" s="57"/>
      <c r="J36" s="57"/>
      <c r="K36" s="57"/>
      <c r="L36" s="57"/>
      <c r="M36" s="57"/>
      <c r="N36" s="57"/>
      <c r="O36" s="82"/>
      <c r="P36" s="82"/>
    </row>
    <row r="37" spans="1:17" ht="31.2" x14ac:dyDescent="0.3">
      <c r="A37" s="25"/>
      <c r="B37" s="57"/>
      <c r="C37" s="57"/>
      <c r="D37" s="88" t="s">
        <v>92</v>
      </c>
      <c r="E37" s="68" t="str">
        <f ca="1">+CONCATENATE(ROUND((F27/K27*5)/5,2)," %")</f>
        <v>-1 %</v>
      </c>
      <c r="F37" s="57"/>
      <c r="G37" s="57"/>
      <c r="H37" s="57"/>
      <c r="I37" s="57"/>
      <c r="J37" s="57"/>
      <c r="K37" s="57"/>
      <c r="L37" s="57"/>
      <c r="M37" s="57"/>
      <c r="N37" s="57"/>
      <c r="O37" s="82"/>
      <c r="P37" s="82"/>
    </row>
    <row r="38" spans="1:17" s="82" customFormat="1" ht="15.6" x14ac:dyDescent="0.3">
      <c r="A38" s="57"/>
      <c r="B38" s="57"/>
      <c r="C38" s="57"/>
      <c r="D38" s="70"/>
      <c r="E38" s="70"/>
      <c r="F38" s="57"/>
      <c r="G38" s="57"/>
      <c r="H38" s="57"/>
      <c r="I38" s="57"/>
      <c r="J38" s="57"/>
      <c r="K38" s="57"/>
      <c r="L38" s="57"/>
      <c r="M38" s="57"/>
      <c r="N38" s="57"/>
    </row>
    <row r="39" spans="1:17" s="82" customFormat="1" ht="15.6" x14ac:dyDescent="0.3">
      <c r="A39" s="57"/>
      <c r="B39" s="57"/>
      <c r="C39" s="57"/>
      <c r="D39" s="70"/>
      <c r="E39" s="70"/>
      <c r="F39" s="57"/>
      <c r="G39" s="57"/>
      <c r="H39" s="57"/>
      <c r="I39" s="57"/>
      <c r="J39" s="57"/>
      <c r="K39" s="57"/>
      <c r="L39" s="57"/>
      <c r="M39" s="57"/>
      <c r="N39" s="57"/>
    </row>
    <row r="40" spans="1:17" s="82" customFormat="1" ht="15.6" x14ac:dyDescent="0.3">
      <c r="A40" s="57"/>
      <c r="B40" s="83"/>
      <c r="C40" s="57"/>
      <c r="D40" s="70"/>
      <c r="E40" s="70"/>
      <c r="F40" s="57"/>
      <c r="G40" s="57"/>
      <c r="H40" s="57"/>
      <c r="I40" s="57"/>
      <c r="J40" s="57"/>
      <c r="K40" s="57"/>
      <c r="L40" s="57"/>
      <c r="M40" s="57"/>
      <c r="N40" s="57"/>
    </row>
    <row r="41" spans="1:17" s="82" customFormat="1" ht="15.6" x14ac:dyDescent="0.3">
      <c r="A41" s="57"/>
      <c r="B41" s="57"/>
      <c r="C41" s="57"/>
      <c r="D41" s="70"/>
      <c r="E41" s="70"/>
      <c r="F41" s="57"/>
      <c r="G41" s="57"/>
      <c r="H41" s="57"/>
      <c r="I41" s="57"/>
      <c r="J41" s="57"/>
      <c r="K41" s="57"/>
      <c r="L41" s="57"/>
      <c r="M41" s="57"/>
      <c r="N41" s="57"/>
    </row>
    <row r="42" spans="1:17" s="82" customFormat="1" ht="15.6" x14ac:dyDescent="0.3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7" s="82" customFormat="1" ht="15.6" x14ac:dyDescent="0.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</row>
    <row r="44" spans="1:17" ht="15.6" x14ac:dyDescent="0.3">
      <c r="A44" s="57"/>
      <c r="B44" s="57"/>
      <c r="C44" s="57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7" ht="15.6" x14ac:dyDescent="0.3">
      <c r="A45" s="57"/>
      <c r="B45" s="57"/>
      <c r="C45" s="70"/>
      <c r="D45" s="31"/>
      <c r="E45" s="136" t="str">
        <f>+'Hoja de cronometraje'!N4</f>
        <v>Elemento E</v>
      </c>
      <c r="F45" s="137"/>
      <c r="G45" s="31"/>
      <c r="H45" s="25"/>
      <c r="I45" s="25"/>
      <c r="J45" s="25"/>
      <c r="K45" s="25"/>
      <c r="L45" s="25"/>
      <c r="M45" s="25"/>
      <c r="N45" s="25"/>
    </row>
    <row r="46" spans="1:17" s="82" customFormat="1" ht="15.6" x14ac:dyDescent="0.3">
      <c r="A46" s="57"/>
      <c r="B46" s="57"/>
      <c r="C46" s="70"/>
      <c r="D46" s="70"/>
      <c r="E46" s="70"/>
      <c r="F46" s="70"/>
      <c r="G46" s="70"/>
      <c r="H46" s="57"/>
      <c r="I46" s="57"/>
      <c r="J46" s="57"/>
      <c r="K46" s="57"/>
      <c r="L46" s="57"/>
      <c r="M46" s="57"/>
      <c r="N46" s="57"/>
    </row>
    <row r="47" spans="1:17" s="82" customFormat="1" ht="15.6" x14ac:dyDescent="0.3">
      <c r="A47" s="57"/>
      <c r="B47" s="70"/>
      <c r="C47" s="70"/>
      <c r="D47" s="70"/>
      <c r="E47" s="70"/>
      <c r="F47" s="70"/>
      <c r="G47" s="70"/>
      <c r="H47" s="57"/>
      <c r="I47" s="57"/>
      <c r="J47" s="57"/>
      <c r="K47" s="57"/>
      <c r="L47" s="57"/>
      <c r="M47" s="57"/>
      <c r="N47" s="57"/>
    </row>
    <row r="48" spans="1:17" ht="15.6" x14ac:dyDescent="0.3">
      <c r="A48" s="57"/>
      <c r="B48" s="46" t="s">
        <v>26</v>
      </c>
      <c r="C48" s="46" t="s">
        <v>88</v>
      </c>
      <c r="D48" s="46" t="s">
        <v>89</v>
      </c>
      <c r="E48" s="46" t="s">
        <v>27</v>
      </c>
      <c r="F48" s="46" t="s">
        <v>90</v>
      </c>
      <c r="G48" s="70"/>
      <c r="H48" s="57"/>
      <c r="I48" s="57"/>
      <c r="J48" s="57"/>
      <c r="K48" s="57"/>
      <c r="L48" s="57"/>
      <c r="M48" s="57"/>
      <c r="N48" s="57"/>
      <c r="O48" s="82"/>
      <c r="P48" s="82"/>
      <c r="Q48" s="82"/>
    </row>
    <row r="49" spans="1:17" ht="15.6" x14ac:dyDescent="0.3">
      <c r="A49" s="57"/>
      <c r="B49" s="64">
        <f ca="1">+'N° de Obs.'!M6</f>
        <v>95</v>
      </c>
      <c r="C49" s="64">
        <f ca="1">+'N° de Obs.'!N6</f>
        <v>7424</v>
      </c>
      <c r="D49" s="64">
        <f ca="1">+ROUND($B$71*$C$71/C49,2)</f>
        <v>99.66</v>
      </c>
      <c r="E49" s="64">
        <f ca="1">+J49</f>
        <v>100</v>
      </c>
      <c r="F49" s="64">
        <f ca="1">+B49-E49</f>
        <v>-5</v>
      </c>
      <c r="G49" s="70"/>
      <c r="H49" s="72">
        <f ca="1">+ROUND(D49,1)</f>
        <v>99.7</v>
      </c>
      <c r="I49" s="73" t="str">
        <f ca="1">+RIGHT(H49*10,2)</f>
        <v>97</v>
      </c>
      <c r="J49" s="71" cm="1">
        <f t="array" aca="1" ref="J49" ca="1">+_xlfn.IFS(AND(I49&gt;="0",I49&lt;"25"),H49-(I49/10),AND(I49&gt;="25",I49&lt;"50"),H49+(5-(I49/10)),AND(I49&gt;="50",I49&lt;"75"),H49-((I49-50)/10),I49&gt;="75",H49+(10-(I49/10)))</f>
        <v>100</v>
      </c>
      <c r="K49" s="71">
        <f ca="1">+ABS(F49)</f>
        <v>5</v>
      </c>
      <c r="L49" s="57"/>
      <c r="M49" s="76"/>
      <c r="N49" s="57"/>
      <c r="O49" s="82"/>
      <c r="P49" s="82"/>
      <c r="Q49" s="82"/>
    </row>
    <row r="50" spans="1:17" ht="15.6" x14ac:dyDescent="0.3">
      <c r="A50" s="57"/>
      <c r="B50" s="64">
        <f ca="1">+'N° de Obs.'!M7</f>
        <v>95</v>
      </c>
      <c r="C50" s="64">
        <f ca="1">+'N° de Obs.'!N7</f>
        <v>7461</v>
      </c>
      <c r="D50" s="64">
        <f t="shared" ref="D50:D68" ca="1" si="6">+ROUND($B$71*$C$71/C50,2)</f>
        <v>99.17</v>
      </c>
      <c r="E50" s="64">
        <f t="shared" ref="E50:E68" ca="1" si="7">+J50</f>
        <v>100</v>
      </c>
      <c r="F50" s="64">
        <f t="shared" ref="F50:F68" ca="1" si="8">+B50-E50</f>
        <v>-5</v>
      </c>
      <c r="G50" s="70"/>
      <c r="H50" s="74">
        <f t="shared" ref="H50:H68" ca="1" si="9">+ROUND(D50,1)</f>
        <v>99.2</v>
      </c>
      <c r="I50" s="75" t="str">
        <f t="shared" ref="I50:I68" ca="1" si="10">+RIGHT(H50*10,2)</f>
        <v>92</v>
      </c>
      <c r="J50" s="64" cm="1">
        <f t="array" aca="1" ref="J50" ca="1">+_xlfn.IFS(AND(I50&gt;="0",I50&lt;"25"),H50-(I50/10),AND(I50&gt;="25",I50&lt;"50"),H50+(5-(I50/10)),AND(I50&gt;="50",I50&lt;"75"),H50-((I50-50)/10),I50&gt;="75",H50+(10-(I50/10)))</f>
        <v>100</v>
      </c>
      <c r="K50" s="64">
        <f t="shared" ref="K50:K68" ca="1" si="11">+ABS(F50)</f>
        <v>5</v>
      </c>
      <c r="L50" s="57"/>
      <c r="M50" s="57"/>
      <c r="N50" s="57"/>
      <c r="O50" s="82"/>
      <c r="P50" s="82"/>
      <c r="Q50" s="82"/>
    </row>
    <row r="51" spans="1:17" ht="15.6" x14ac:dyDescent="0.3">
      <c r="A51" s="57"/>
      <c r="B51" s="64">
        <f ca="1">+'N° de Obs.'!M8</f>
        <v>105</v>
      </c>
      <c r="C51" s="64">
        <f ca="1">+'N° de Obs.'!N8</f>
        <v>7504</v>
      </c>
      <c r="D51" s="64">
        <f t="shared" ca="1" si="6"/>
        <v>98.6</v>
      </c>
      <c r="E51" s="64">
        <f t="shared" ca="1" si="7"/>
        <v>100</v>
      </c>
      <c r="F51" s="64">
        <f t="shared" ca="1" si="8"/>
        <v>5</v>
      </c>
      <c r="G51" s="70"/>
      <c r="H51" s="74">
        <f t="shared" ca="1" si="9"/>
        <v>98.6</v>
      </c>
      <c r="I51" s="75" t="str">
        <f t="shared" ca="1" si="10"/>
        <v>86</v>
      </c>
      <c r="J51" s="64" cm="1">
        <f t="array" aca="1" ref="J51" ca="1">+_xlfn.IFS(AND(I51&gt;="0",I51&lt;"25"),H51-(I51/10),AND(I51&gt;="25",I51&lt;"50"),H51+(5-(I51/10)),AND(I51&gt;="50",I51&lt;"75"),H51-((I51-50)/10),I51&gt;="75",H51+(10-(I51/10)))</f>
        <v>100</v>
      </c>
      <c r="K51" s="64">
        <f t="shared" ca="1" si="11"/>
        <v>5</v>
      </c>
      <c r="L51" s="57"/>
      <c r="M51" s="57"/>
      <c r="N51" s="57"/>
      <c r="O51" s="82"/>
      <c r="P51" s="82"/>
      <c r="Q51" s="82"/>
    </row>
    <row r="52" spans="1:17" ht="15.6" x14ac:dyDescent="0.3">
      <c r="A52" s="57"/>
      <c r="B52" s="64">
        <f ca="1">+'N° de Obs.'!M9</f>
        <v>100</v>
      </c>
      <c r="C52" s="64">
        <f ca="1">+'N° de Obs.'!N9</f>
        <v>7501</v>
      </c>
      <c r="D52" s="64">
        <f t="shared" ca="1" si="6"/>
        <v>98.64</v>
      </c>
      <c r="E52" s="64">
        <f t="shared" ca="1" si="7"/>
        <v>100</v>
      </c>
      <c r="F52" s="64">
        <f t="shared" ca="1" si="8"/>
        <v>0</v>
      </c>
      <c r="G52" s="70"/>
      <c r="H52" s="74">
        <f t="shared" ca="1" si="9"/>
        <v>98.6</v>
      </c>
      <c r="I52" s="75" t="str">
        <f t="shared" ca="1" si="10"/>
        <v>86</v>
      </c>
      <c r="J52" s="64" cm="1">
        <f t="array" aca="1" ref="J52" ca="1">+_xlfn.IFS(AND(I52&gt;="0",I52&lt;"25"),H52-(I52/10),AND(I52&gt;="25",I52&lt;"50"),H52+(5-(I52/10)),AND(I52&gt;="50",I52&lt;"75"),H52-((I52-50)/10),I52&gt;="75",H52+(10-(I52/10)))</f>
        <v>100</v>
      </c>
      <c r="K52" s="64">
        <f t="shared" ca="1" si="11"/>
        <v>0</v>
      </c>
      <c r="L52" s="57"/>
      <c r="M52" s="57"/>
      <c r="N52" s="57"/>
      <c r="O52" s="82"/>
      <c r="P52" s="82"/>
      <c r="Q52" s="82"/>
    </row>
    <row r="53" spans="1:17" ht="15.6" x14ac:dyDescent="0.3">
      <c r="A53" s="57"/>
      <c r="B53" s="64">
        <f ca="1">+'N° de Obs.'!M10</f>
        <v>90</v>
      </c>
      <c r="C53" s="64">
        <f ca="1">+'N° de Obs.'!N10</f>
        <v>7508</v>
      </c>
      <c r="D53" s="64">
        <f t="shared" ca="1" si="6"/>
        <v>98.55</v>
      </c>
      <c r="E53" s="64">
        <f t="shared" ca="1" si="7"/>
        <v>100</v>
      </c>
      <c r="F53" s="64">
        <f t="shared" ca="1" si="8"/>
        <v>-10</v>
      </c>
      <c r="G53" s="70"/>
      <c r="H53" s="74">
        <f t="shared" ca="1" si="9"/>
        <v>98.6</v>
      </c>
      <c r="I53" s="75" t="str">
        <f t="shared" ca="1" si="10"/>
        <v>86</v>
      </c>
      <c r="J53" s="64" cm="1">
        <f t="array" aca="1" ref="J53" ca="1">+_xlfn.IFS(AND(I53&gt;="0",I53&lt;"25"),H53-(I53/10),AND(I53&gt;="25",I53&lt;"50"),H53+(5-(I53/10)),AND(I53&gt;="50",I53&lt;"75"),H53-((I53-50)/10),I53&gt;="75",H53+(10-(I53/10)))</f>
        <v>100</v>
      </c>
      <c r="K53" s="64">
        <f t="shared" ca="1" si="11"/>
        <v>10</v>
      </c>
      <c r="L53" s="57"/>
      <c r="M53" s="57"/>
      <c r="N53" s="57"/>
      <c r="O53" s="82"/>
      <c r="P53" s="82"/>
      <c r="Q53" s="82"/>
    </row>
    <row r="54" spans="1:17" ht="15.6" x14ac:dyDescent="0.3">
      <c r="A54" s="57"/>
      <c r="B54" s="64">
        <f ca="1">+'N° de Obs.'!M11</f>
        <v>95</v>
      </c>
      <c r="C54" s="64">
        <f ca="1">+'N° de Obs.'!N11</f>
        <v>7569</v>
      </c>
      <c r="D54" s="64">
        <f t="shared" ca="1" si="6"/>
        <v>97.75</v>
      </c>
      <c r="E54" s="64">
        <f t="shared" ca="1" si="7"/>
        <v>100</v>
      </c>
      <c r="F54" s="64">
        <f t="shared" ca="1" si="8"/>
        <v>-5</v>
      </c>
      <c r="G54" s="70"/>
      <c r="H54" s="74">
        <f t="shared" ca="1" si="9"/>
        <v>97.8</v>
      </c>
      <c r="I54" s="85" t="str">
        <f t="shared" ca="1" si="10"/>
        <v>78</v>
      </c>
      <c r="J54" s="64" cm="1">
        <f t="array" aca="1" ref="J54" ca="1">+_xlfn.IFS(AND(I54&gt;="0",I54&lt;"25"),H54-(I54/10),AND(I54&gt;="25",I54&lt;"50"),H54+(5-(I54/10)),AND(I54&gt;="50",I54&lt;"75"),H54-((I54-50)/10),I54&gt;="75",H54+(10-(I54/10)))</f>
        <v>100</v>
      </c>
      <c r="K54" s="64">
        <f t="shared" ca="1" si="11"/>
        <v>5</v>
      </c>
      <c r="L54" s="57"/>
      <c r="M54" s="57"/>
      <c r="N54" s="57"/>
      <c r="O54" s="82"/>
      <c r="P54" s="82"/>
      <c r="Q54" s="82"/>
    </row>
    <row r="55" spans="1:17" ht="15.6" x14ac:dyDescent="0.3">
      <c r="A55" s="57"/>
      <c r="B55" s="64">
        <f ca="1">+'N° de Obs.'!M12</f>
        <v>105</v>
      </c>
      <c r="C55" s="64">
        <f ca="1">+'N° de Obs.'!N12</f>
        <v>7486</v>
      </c>
      <c r="D55" s="64">
        <f t="shared" ca="1" si="6"/>
        <v>98.84</v>
      </c>
      <c r="E55" s="64">
        <f t="shared" ca="1" si="7"/>
        <v>100</v>
      </c>
      <c r="F55" s="64">
        <f t="shared" ca="1" si="8"/>
        <v>5</v>
      </c>
      <c r="G55" s="70"/>
      <c r="H55" s="74">
        <f t="shared" ca="1" si="9"/>
        <v>98.8</v>
      </c>
      <c r="I55" s="75" t="str">
        <f t="shared" ca="1" si="10"/>
        <v>88</v>
      </c>
      <c r="J55" s="64" cm="1">
        <f t="array" aca="1" ref="J55" ca="1">+_xlfn.IFS(AND(I55&gt;="0",I55&lt;"25"),H55-(I55/10),AND(I55&gt;="25",I55&lt;"50"),H55+(5-(I55/10)),AND(I55&gt;="50",I55&lt;"75"),H55-((I55-50)/10),I55&gt;="75",H55+(10-(I55/10)))</f>
        <v>100</v>
      </c>
      <c r="K55" s="64">
        <f t="shared" ca="1" si="11"/>
        <v>5</v>
      </c>
      <c r="L55" s="57"/>
      <c r="M55" s="57"/>
      <c r="N55" s="57"/>
      <c r="O55" s="82"/>
      <c r="P55" s="82"/>
      <c r="Q55" s="82"/>
    </row>
    <row r="56" spans="1:17" ht="15.6" x14ac:dyDescent="0.3">
      <c r="A56" s="57"/>
      <c r="B56" s="64">
        <f ca="1">+'N° de Obs.'!M13</f>
        <v>95</v>
      </c>
      <c r="C56" s="64">
        <f ca="1">+'N° de Obs.'!N13</f>
        <v>7484</v>
      </c>
      <c r="D56" s="64">
        <f t="shared" ca="1" si="6"/>
        <v>98.86</v>
      </c>
      <c r="E56" s="64">
        <f t="shared" ca="1" si="7"/>
        <v>100</v>
      </c>
      <c r="F56" s="64">
        <f t="shared" ca="1" si="8"/>
        <v>-5</v>
      </c>
      <c r="G56" s="70"/>
      <c r="H56" s="74">
        <f t="shared" ca="1" si="9"/>
        <v>98.9</v>
      </c>
      <c r="I56" s="75" t="str">
        <f t="shared" ca="1" si="10"/>
        <v>89</v>
      </c>
      <c r="J56" s="64" cm="1">
        <f t="array" aca="1" ref="J56" ca="1">+_xlfn.IFS(AND(I56&gt;="0",I56&lt;"25"),H56-(I56/10),AND(I56&gt;="25",I56&lt;"50"),H56+(5-(I56/10)),AND(I56&gt;="50",I56&lt;"75"),H56-((I56-50)/10),I56&gt;="75",H56+(10-(I56/10)))</f>
        <v>100</v>
      </c>
      <c r="K56" s="64">
        <f t="shared" ca="1" si="11"/>
        <v>5</v>
      </c>
      <c r="L56" s="57"/>
      <c r="M56" s="57"/>
      <c r="N56" s="57"/>
      <c r="O56" s="82"/>
      <c r="P56" s="82"/>
      <c r="Q56" s="82"/>
    </row>
    <row r="57" spans="1:17" ht="15.6" x14ac:dyDescent="0.3">
      <c r="A57" s="57"/>
      <c r="B57" s="64">
        <f ca="1">+'N° de Obs.'!M14</f>
        <v>90</v>
      </c>
      <c r="C57" s="64">
        <f ca="1">+'N° de Obs.'!N14</f>
        <v>7489</v>
      </c>
      <c r="D57" s="64">
        <f t="shared" ca="1" si="6"/>
        <v>98.8</v>
      </c>
      <c r="E57" s="64">
        <f t="shared" ca="1" si="7"/>
        <v>100</v>
      </c>
      <c r="F57" s="64">
        <f t="shared" ca="1" si="8"/>
        <v>-10</v>
      </c>
      <c r="G57" s="70"/>
      <c r="H57" s="74">
        <f t="shared" ca="1" si="9"/>
        <v>98.8</v>
      </c>
      <c r="I57" s="75" t="str">
        <f t="shared" ca="1" si="10"/>
        <v>88</v>
      </c>
      <c r="J57" s="64" cm="1">
        <f t="array" aca="1" ref="J57" ca="1">+_xlfn.IFS(AND(I57&gt;="0",I57&lt;"25"),H57-(I57/10),AND(I57&gt;="25",I57&lt;"50"),H57+(5-(I57/10)),AND(I57&gt;="50",I57&lt;"75"),H57-((I57-50)/10),I57&gt;="75",H57+(10-(I57/10)))</f>
        <v>100</v>
      </c>
      <c r="K57" s="64">
        <f t="shared" ca="1" si="11"/>
        <v>10</v>
      </c>
      <c r="L57" s="57"/>
      <c r="M57" s="57"/>
      <c r="N57" s="57"/>
      <c r="O57" s="82"/>
      <c r="P57" s="82"/>
      <c r="Q57" s="82"/>
    </row>
    <row r="58" spans="1:17" ht="15.6" x14ac:dyDescent="0.3">
      <c r="A58" s="57"/>
      <c r="B58" s="64">
        <f ca="1">+'N° de Obs.'!M15</f>
        <v>105</v>
      </c>
      <c r="C58" s="64">
        <f ca="1">+'N° de Obs.'!N15</f>
        <v>7470</v>
      </c>
      <c r="D58" s="64">
        <f t="shared" ca="1" si="6"/>
        <v>99.05</v>
      </c>
      <c r="E58" s="64">
        <f t="shared" ca="1" si="7"/>
        <v>100</v>
      </c>
      <c r="F58" s="64">
        <f t="shared" ca="1" si="8"/>
        <v>5</v>
      </c>
      <c r="G58" s="70"/>
      <c r="H58" s="74">
        <f t="shared" ca="1" si="9"/>
        <v>99.1</v>
      </c>
      <c r="I58" s="75" t="str">
        <f t="shared" ca="1" si="10"/>
        <v>91</v>
      </c>
      <c r="J58" s="64" cm="1">
        <f t="array" aca="1" ref="J58" ca="1">+_xlfn.IFS(AND(I58&gt;="0",I58&lt;"25"),H58-(I58/10),AND(I58&gt;="25",I58&lt;"50"),H58+(5-(I58/10)),AND(I58&gt;="50",I58&lt;"75"),H58-((I58-50)/10),I58&gt;="75",H58+(10-(I58/10)))</f>
        <v>100</v>
      </c>
      <c r="K58" s="64">
        <f t="shared" ca="1" si="11"/>
        <v>5</v>
      </c>
      <c r="L58" s="57"/>
      <c r="M58" s="57"/>
      <c r="N58" s="57"/>
      <c r="O58" s="82"/>
      <c r="P58" s="82"/>
      <c r="Q58" s="82"/>
    </row>
    <row r="59" spans="1:17" ht="15.6" x14ac:dyDescent="0.3">
      <c r="A59" s="57"/>
      <c r="B59" s="64">
        <f ca="1">+'N° de Obs.'!M16</f>
        <v>100</v>
      </c>
      <c r="C59" s="64">
        <f ca="1">+'N° de Obs.'!N16</f>
        <v>7562</v>
      </c>
      <c r="D59" s="64">
        <f t="shared" ca="1" si="6"/>
        <v>97.84</v>
      </c>
      <c r="E59" s="64">
        <f t="shared" ca="1" si="7"/>
        <v>100</v>
      </c>
      <c r="F59" s="64">
        <f t="shared" ca="1" si="8"/>
        <v>0</v>
      </c>
      <c r="G59" s="70"/>
      <c r="H59" s="74">
        <f t="shared" ca="1" si="9"/>
        <v>97.8</v>
      </c>
      <c r="I59" s="75" t="str">
        <f t="shared" ca="1" si="10"/>
        <v>78</v>
      </c>
      <c r="J59" s="64" cm="1">
        <f t="array" aca="1" ref="J59" ca="1">+_xlfn.IFS(AND(I59&gt;="0",I59&lt;"25"),H59-(I59/10),AND(I59&gt;="25",I59&lt;"50"),H59+(5-(I59/10)),AND(I59&gt;="50",I59&lt;"75"),H59-((I59-50)/10),I59&gt;="75",H59+(10-(I59/10)))</f>
        <v>100</v>
      </c>
      <c r="K59" s="64">
        <f t="shared" ca="1" si="11"/>
        <v>0</v>
      </c>
      <c r="L59" s="57"/>
      <c r="M59" s="57"/>
      <c r="N59" s="57"/>
      <c r="O59" s="82"/>
      <c r="P59" s="82"/>
      <c r="Q59" s="82"/>
    </row>
    <row r="60" spans="1:17" ht="15.6" x14ac:dyDescent="0.3">
      <c r="A60" s="57"/>
      <c r="B60" s="64">
        <f ca="1">+'N° de Obs.'!M17</f>
        <v>105</v>
      </c>
      <c r="C60" s="64">
        <f ca="1">+'N° de Obs.'!N17</f>
        <v>7532</v>
      </c>
      <c r="D60" s="64">
        <f t="shared" ca="1" si="6"/>
        <v>98.23</v>
      </c>
      <c r="E60" s="64">
        <f t="shared" ca="1" si="7"/>
        <v>100</v>
      </c>
      <c r="F60" s="64">
        <f t="shared" ca="1" si="8"/>
        <v>5</v>
      </c>
      <c r="G60" s="70"/>
      <c r="H60" s="74">
        <f t="shared" ca="1" si="9"/>
        <v>98.2</v>
      </c>
      <c r="I60" s="75" t="str">
        <f t="shared" ca="1" si="10"/>
        <v>82</v>
      </c>
      <c r="J60" s="64" cm="1">
        <f t="array" aca="1" ref="J60" ca="1">+_xlfn.IFS(AND(I60&gt;="0",I60&lt;"25"),H60-(I60/10),AND(I60&gt;="25",I60&lt;"50"),H60+(5-(I60/10)),AND(I60&gt;="50",I60&lt;"75"),H60-((I60-50)/10),I60&gt;="75",H60+(10-(I60/10)))</f>
        <v>100</v>
      </c>
      <c r="K60" s="64">
        <f t="shared" ca="1" si="11"/>
        <v>5</v>
      </c>
      <c r="L60" s="57"/>
      <c r="M60" s="57"/>
      <c r="N60" s="57"/>
      <c r="O60" s="82"/>
      <c r="P60" s="82"/>
      <c r="Q60" s="82"/>
    </row>
    <row r="61" spans="1:17" ht="15.6" x14ac:dyDescent="0.3">
      <c r="A61" s="57"/>
      <c r="B61" s="64">
        <f ca="1">+'N° de Obs.'!M18</f>
        <v>100</v>
      </c>
      <c r="C61" s="64">
        <f ca="1">+'N° de Obs.'!N18</f>
        <v>7555</v>
      </c>
      <c r="D61" s="64">
        <f t="shared" ca="1" si="6"/>
        <v>97.94</v>
      </c>
      <c r="E61" s="64">
        <f t="shared" ca="1" si="7"/>
        <v>100</v>
      </c>
      <c r="F61" s="64">
        <f t="shared" ca="1" si="8"/>
        <v>0</v>
      </c>
      <c r="G61" s="57"/>
      <c r="H61" s="74">
        <f t="shared" ca="1" si="9"/>
        <v>97.9</v>
      </c>
      <c r="I61" s="75" t="str">
        <f t="shared" ca="1" si="10"/>
        <v>79</v>
      </c>
      <c r="J61" s="64" cm="1">
        <f t="array" aca="1" ref="J61" ca="1">+_xlfn.IFS(AND(I61&gt;="0",I61&lt;"25"),H61-(I61/10),AND(I61&gt;="25",I61&lt;"50"),H61+(5-(I61/10)),AND(I61&gt;="50",I61&lt;"75"),H61-((I61-50)/10),I61&gt;="75",H61+(10-(I61/10)))</f>
        <v>100</v>
      </c>
      <c r="K61" s="64">
        <f t="shared" ca="1" si="11"/>
        <v>0</v>
      </c>
      <c r="L61" s="57"/>
      <c r="M61" s="57"/>
      <c r="N61" s="57"/>
      <c r="O61" s="82"/>
      <c r="P61" s="82"/>
      <c r="Q61" s="82"/>
    </row>
    <row r="62" spans="1:17" ht="15.6" x14ac:dyDescent="0.3">
      <c r="A62" s="57"/>
      <c r="B62" s="64">
        <f ca="1">+'N° de Obs.'!M19</f>
        <v>95</v>
      </c>
      <c r="C62" s="64">
        <f ca="1">+'N° de Obs.'!N19</f>
        <v>7464</v>
      </c>
      <c r="D62" s="64">
        <f t="shared" ca="1" si="6"/>
        <v>99.13</v>
      </c>
      <c r="E62" s="64">
        <f t="shared" ca="1" si="7"/>
        <v>100</v>
      </c>
      <c r="F62" s="64">
        <f t="shared" ca="1" si="8"/>
        <v>-5</v>
      </c>
      <c r="G62" s="57"/>
      <c r="H62" s="74">
        <f t="shared" ca="1" si="9"/>
        <v>99.1</v>
      </c>
      <c r="I62" s="75" t="str">
        <f t="shared" ca="1" si="10"/>
        <v>91</v>
      </c>
      <c r="J62" s="64" cm="1">
        <f t="array" aca="1" ref="J62" ca="1">+_xlfn.IFS(AND(I62&gt;="0",I62&lt;"25"),H62-(I62/10),AND(I62&gt;="25",I62&lt;"50"),H62+(5-(I62/10)),AND(I62&gt;="50",I62&lt;"75"),H62-((I62-50)/10),I62&gt;="75",H62+(10-(I62/10)))</f>
        <v>100</v>
      </c>
      <c r="K62" s="64">
        <f t="shared" ca="1" si="11"/>
        <v>5</v>
      </c>
      <c r="L62" s="57"/>
      <c r="M62" s="57"/>
      <c r="N62" s="57"/>
      <c r="O62" s="82"/>
      <c r="P62" s="82"/>
      <c r="Q62" s="82"/>
    </row>
    <row r="63" spans="1:17" ht="15.6" x14ac:dyDescent="0.3">
      <c r="A63" s="57"/>
      <c r="B63" s="64">
        <f ca="1">+'N° de Obs.'!M20</f>
        <v>100</v>
      </c>
      <c r="C63" s="64">
        <f ca="1">+'N° de Obs.'!N20</f>
        <v>7450</v>
      </c>
      <c r="D63" s="64">
        <f t="shared" ca="1" si="6"/>
        <v>99.32</v>
      </c>
      <c r="E63" s="64">
        <f t="shared" ca="1" si="7"/>
        <v>100</v>
      </c>
      <c r="F63" s="64">
        <f t="shared" ca="1" si="8"/>
        <v>0</v>
      </c>
      <c r="G63" s="57"/>
      <c r="H63" s="74">
        <f t="shared" ca="1" si="9"/>
        <v>99.3</v>
      </c>
      <c r="I63" s="75" t="str">
        <f t="shared" ca="1" si="10"/>
        <v>93</v>
      </c>
      <c r="J63" s="64" cm="1">
        <f t="array" aca="1" ref="J63" ca="1">+_xlfn.IFS(AND(I63&gt;="0",I63&lt;"25"),H63-(I63/10),AND(I63&gt;="25",I63&lt;"50"),H63+(5-(I63/10)),AND(I63&gt;="50",I63&lt;"75"),H63-((I63-50)/10),I63&gt;="75",H63+(10-(I63/10)))</f>
        <v>100</v>
      </c>
      <c r="K63" s="64">
        <f t="shared" ca="1" si="11"/>
        <v>0</v>
      </c>
      <c r="L63" s="57"/>
      <c r="M63" s="57"/>
      <c r="N63" s="57"/>
      <c r="O63" s="82"/>
      <c r="P63" s="82"/>
      <c r="Q63" s="82"/>
    </row>
    <row r="64" spans="1:17" ht="15.6" x14ac:dyDescent="0.3">
      <c r="A64" s="57"/>
      <c r="B64" s="64">
        <f ca="1">+'N° de Obs.'!M21</f>
        <v>100</v>
      </c>
      <c r="C64" s="64">
        <f ca="1">+'N° de Obs.'!N21</f>
        <v>7403</v>
      </c>
      <c r="D64" s="64">
        <f t="shared" ca="1" si="6"/>
        <v>99.95</v>
      </c>
      <c r="E64" s="64">
        <f t="shared" ca="1" si="7"/>
        <v>100</v>
      </c>
      <c r="F64" s="64">
        <f t="shared" ca="1" si="8"/>
        <v>0</v>
      </c>
      <c r="G64" s="57"/>
      <c r="H64" s="74">
        <f t="shared" ca="1" si="9"/>
        <v>100</v>
      </c>
      <c r="I64" s="75" t="str">
        <f t="shared" ca="1" si="10"/>
        <v>00</v>
      </c>
      <c r="J64" s="64" cm="1">
        <f t="array" aca="1" ref="J64" ca="1">+_xlfn.IFS(AND(I64&gt;="0",I64&lt;"25"),H64-(I64/10),AND(I64&gt;="25",I64&lt;"50"),H64+(5-(I64/10)),AND(I64&gt;="50",I64&lt;"75"),H64-((I64-50)/10),I64&gt;="75",H64+(10-(I64/10)))</f>
        <v>100</v>
      </c>
      <c r="K64" s="64">
        <f t="shared" ca="1" si="11"/>
        <v>0</v>
      </c>
      <c r="L64" s="57"/>
      <c r="M64" s="57"/>
      <c r="N64" s="57"/>
      <c r="O64" s="82"/>
      <c r="P64" s="82"/>
      <c r="Q64" s="82"/>
    </row>
    <row r="65" spans="1:17" ht="15.6" x14ac:dyDescent="0.3">
      <c r="A65" s="57"/>
      <c r="B65" s="64">
        <f ca="1">+'N° de Obs.'!M22</f>
        <v>105</v>
      </c>
      <c r="C65" s="64">
        <f ca="1">+'N° de Obs.'!N22</f>
        <v>7452</v>
      </c>
      <c r="D65" s="64">
        <f t="shared" ca="1" si="6"/>
        <v>99.29</v>
      </c>
      <c r="E65" s="64">
        <f t="shared" ca="1" si="7"/>
        <v>100</v>
      </c>
      <c r="F65" s="64">
        <f t="shared" ca="1" si="8"/>
        <v>5</v>
      </c>
      <c r="G65" s="57"/>
      <c r="H65" s="74">
        <f t="shared" ca="1" si="9"/>
        <v>99.3</v>
      </c>
      <c r="I65" s="75" t="str">
        <f t="shared" ca="1" si="10"/>
        <v>93</v>
      </c>
      <c r="J65" s="64" cm="1">
        <f t="array" aca="1" ref="J65" ca="1">+_xlfn.IFS(AND(I65&gt;="0",I65&lt;"25"),H65-(I65/10),AND(I65&gt;="25",I65&lt;"50"),H65+(5-(I65/10)),AND(I65&gt;="50",I65&lt;"75"),H65-((I65-50)/10),I65&gt;="75",H65+(10-(I65/10)))</f>
        <v>100</v>
      </c>
      <c r="K65" s="64">
        <f t="shared" ca="1" si="11"/>
        <v>5</v>
      </c>
      <c r="L65" s="57"/>
      <c r="M65" s="57"/>
      <c r="N65" s="57"/>
      <c r="O65" s="82"/>
      <c r="P65" s="82"/>
      <c r="Q65" s="82"/>
    </row>
    <row r="66" spans="1:17" ht="15.6" x14ac:dyDescent="0.3">
      <c r="A66" s="57"/>
      <c r="B66" s="64">
        <f ca="1">+'N° de Obs.'!M23</f>
        <v>100</v>
      </c>
      <c r="C66" s="64">
        <f ca="1">+'N° de Obs.'!N23</f>
        <v>7493</v>
      </c>
      <c r="D66" s="64">
        <f t="shared" ca="1" si="6"/>
        <v>98.75</v>
      </c>
      <c r="E66" s="64">
        <f t="shared" ca="1" si="7"/>
        <v>100</v>
      </c>
      <c r="F66" s="64">
        <f t="shared" ca="1" si="8"/>
        <v>0</v>
      </c>
      <c r="G66" s="57"/>
      <c r="H66" s="74">
        <f t="shared" ca="1" si="9"/>
        <v>98.8</v>
      </c>
      <c r="I66" s="75" t="str">
        <f t="shared" ca="1" si="10"/>
        <v>88</v>
      </c>
      <c r="J66" s="64" cm="1">
        <f t="array" aca="1" ref="J66" ca="1">+_xlfn.IFS(AND(I66&gt;="0",I66&lt;"25"),H66-(I66/10),AND(I66&gt;="25",I66&lt;"50"),H66+(5-(I66/10)),AND(I66&gt;="50",I66&lt;"75"),H66-((I66-50)/10),I66&gt;="75",H66+(10-(I66/10)))</f>
        <v>100</v>
      </c>
      <c r="K66" s="64">
        <f t="shared" ca="1" si="11"/>
        <v>0</v>
      </c>
      <c r="L66" s="57"/>
      <c r="M66" s="57"/>
      <c r="N66" s="57"/>
      <c r="O66" s="82"/>
      <c r="P66" s="82"/>
      <c r="Q66" s="82"/>
    </row>
    <row r="67" spans="1:17" ht="15.6" x14ac:dyDescent="0.3">
      <c r="A67" s="57"/>
      <c r="B67" s="64">
        <f ca="1">+'N° de Obs.'!M24</f>
        <v>105</v>
      </c>
      <c r="C67" s="64">
        <f ca="1">+'N° de Obs.'!N24</f>
        <v>7555</v>
      </c>
      <c r="D67" s="64">
        <f t="shared" ca="1" si="6"/>
        <v>97.94</v>
      </c>
      <c r="E67" s="64">
        <f t="shared" ca="1" si="7"/>
        <v>100</v>
      </c>
      <c r="F67" s="64">
        <f t="shared" ca="1" si="8"/>
        <v>5</v>
      </c>
      <c r="G67" s="57"/>
      <c r="H67" s="74">
        <f t="shared" ca="1" si="9"/>
        <v>97.9</v>
      </c>
      <c r="I67" s="75" t="str">
        <f t="shared" ca="1" si="10"/>
        <v>79</v>
      </c>
      <c r="J67" s="64" cm="1">
        <f t="array" aca="1" ref="J67" ca="1">+_xlfn.IFS(AND(I67&gt;="0",I67&lt;"25"),H67-(I67/10),AND(I67&gt;="25",I67&lt;"50"),H67+(5-(I67/10)),AND(I67&gt;="50",I67&lt;"75"),H67-((I67-50)/10),I67&gt;="75",H67+(10-(I67/10)))</f>
        <v>100</v>
      </c>
      <c r="K67" s="64">
        <f t="shared" ca="1" si="11"/>
        <v>5</v>
      </c>
      <c r="L67" s="57"/>
      <c r="M67" s="57"/>
      <c r="N67" s="57"/>
      <c r="O67" s="82"/>
      <c r="P67" s="82"/>
      <c r="Q67" s="82"/>
    </row>
    <row r="68" spans="1:17" ht="15.6" x14ac:dyDescent="0.3">
      <c r="A68" s="57"/>
      <c r="B68" s="65">
        <f ca="1">+'N° de Obs.'!M25</f>
        <v>90</v>
      </c>
      <c r="C68" s="65">
        <f ca="1">+'N° de Obs.'!N25</f>
        <v>7477</v>
      </c>
      <c r="D68" s="65">
        <f t="shared" ca="1" si="6"/>
        <v>98.96</v>
      </c>
      <c r="E68" s="65">
        <f t="shared" ca="1" si="7"/>
        <v>100</v>
      </c>
      <c r="F68" s="65">
        <f t="shared" ca="1" si="8"/>
        <v>-10</v>
      </c>
      <c r="G68" s="57"/>
      <c r="H68" s="77">
        <f t="shared" ca="1" si="9"/>
        <v>99</v>
      </c>
      <c r="I68" s="78" t="str">
        <f t="shared" ca="1" si="10"/>
        <v>90</v>
      </c>
      <c r="J68" s="65" cm="1">
        <f t="array" aca="1" ref="J68" ca="1">+_xlfn.IFS(AND(I68&gt;="0",I68&lt;"25"),H68-(I68/10),AND(I68&gt;="25",I68&lt;"50"),H68+(5-(I68/10)),AND(I68&gt;="50",I68&lt;"75"),H68-((I68-50)/10),I68&gt;="75",H68+(10-(I68/10)))</f>
        <v>100</v>
      </c>
      <c r="K68" s="64">
        <f t="shared" ca="1" si="11"/>
        <v>10</v>
      </c>
      <c r="L68" s="57"/>
      <c r="M68" s="57"/>
      <c r="N68" s="57"/>
      <c r="O68" s="82"/>
      <c r="P68" s="82"/>
      <c r="Q68" s="82"/>
    </row>
    <row r="69" spans="1:17" ht="15.6" x14ac:dyDescent="0.3">
      <c r="A69" s="57"/>
      <c r="B69" s="144" t="s">
        <v>86</v>
      </c>
      <c r="C69" s="145"/>
      <c r="D69" s="145"/>
      <c r="E69" s="145"/>
      <c r="F69" s="81">
        <f ca="1">+SUMIF(K49:K68,"&lt;=10",F49:F68)</f>
        <v>-25</v>
      </c>
      <c r="G69" s="57"/>
      <c r="H69" s="57"/>
      <c r="I69" s="57"/>
      <c r="J69" s="57"/>
      <c r="K69" s="68">
        <f ca="1">+COUNTIF(K49:K68,"&lt;=10")</f>
        <v>20</v>
      </c>
      <c r="L69" s="57"/>
      <c r="M69" s="57"/>
      <c r="N69" s="57"/>
      <c r="O69" s="82"/>
      <c r="P69" s="82"/>
      <c r="Q69" s="82"/>
    </row>
    <row r="70" spans="1:17" ht="15.6" x14ac:dyDescent="0.3">
      <c r="A70" s="57"/>
      <c r="B70" s="70"/>
      <c r="C70" s="70"/>
      <c r="D70" s="57"/>
      <c r="E70" s="70"/>
      <c r="F70" s="70"/>
      <c r="G70" s="57"/>
      <c r="H70" s="57"/>
      <c r="I70" s="57"/>
      <c r="J70" s="57"/>
      <c r="K70" s="70"/>
      <c r="L70" s="57"/>
      <c r="M70" s="57"/>
      <c r="N70" s="57"/>
      <c r="O70" s="82"/>
      <c r="P70" s="82"/>
      <c r="Q70" s="82"/>
    </row>
    <row r="71" spans="1:17" ht="15.6" x14ac:dyDescent="0.3">
      <c r="A71" s="57"/>
      <c r="B71" s="57">
        <v>100</v>
      </c>
      <c r="C71" s="57">
        <f ca="1">+ROUND(AVERAGE('N° de Obs.'!O6:O25),0)</f>
        <v>7399</v>
      </c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</row>
    <row r="72" spans="1:17" ht="15.6" x14ac:dyDescent="0.3">
      <c r="A72" s="57"/>
      <c r="B72" s="57"/>
      <c r="C72" s="57"/>
      <c r="D72" s="84"/>
      <c r="E72" s="84"/>
      <c r="F72" s="57"/>
      <c r="G72" s="57"/>
      <c r="H72" s="57"/>
      <c r="I72" s="57"/>
      <c r="J72" s="57"/>
      <c r="K72" s="57"/>
      <c r="L72" s="57"/>
      <c r="M72" s="57"/>
      <c r="N72" s="57"/>
    </row>
    <row r="73" spans="1:17" ht="15.6" x14ac:dyDescent="0.3">
      <c r="A73" s="57"/>
      <c r="B73" s="57"/>
      <c r="C73" s="57"/>
      <c r="D73" s="49" t="s">
        <v>80</v>
      </c>
      <c r="E73" s="46" t="s">
        <v>81</v>
      </c>
      <c r="F73" s="57"/>
      <c r="G73" s="57"/>
      <c r="H73" s="57"/>
      <c r="I73" s="57"/>
      <c r="J73" s="57"/>
      <c r="K73" s="57"/>
      <c r="L73" s="57"/>
      <c r="M73" s="57"/>
      <c r="N73" s="57"/>
      <c r="O73" s="82"/>
    </row>
    <row r="74" spans="1:17" ht="15.6" x14ac:dyDescent="0.3">
      <c r="A74" s="57"/>
      <c r="B74" s="57"/>
      <c r="C74" s="57"/>
      <c r="D74" s="69" t="s">
        <v>83</v>
      </c>
      <c r="E74" s="64" t="s">
        <v>25</v>
      </c>
      <c r="F74" s="57"/>
      <c r="G74" s="57"/>
      <c r="H74" s="57"/>
      <c r="I74" s="57"/>
      <c r="J74" s="57"/>
      <c r="K74" s="57"/>
      <c r="L74" s="57"/>
      <c r="M74" s="57"/>
      <c r="N74" s="57"/>
      <c r="O74" s="82"/>
    </row>
    <row r="75" spans="1:17" ht="15.6" x14ac:dyDescent="0.3">
      <c r="A75" s="57"/>
      <c r="B75" s="57"/>
      <c r="C75" s="57"/>
      <c r="D75" s="69" t="s">
        <v>91</v>
      </c>
      <c r="E75" s="90">
        <v>100</v>
      </c>
      <c r="F75" s="57"/>
      <c r="G75" s="57"/>
      <c r="H75" s="57"/>
      <c r="I75" s="57"/>
      <c r="J75" s="57"/>
      <c r="K75" s="57"/>
      <c r="L75" s="57"/>
      <c r="M75" s="57"/>
      <c r="N75" s="57"/>
      <c r="O75" s="82"/>
    </row>
    <row r="76" spans="1:17" ht="15.6" x14ac:dyDescent="0.3">
      <c r="A76" s="57"/>
      <c r="B76" s="57"/>
      <c r="C76" s="57"/>
      <c r="D76" s="69" t="s">
        <v>20</v>
      </c>
      <c r="E76" s="64">
        <f ca="1">+C71</f>
        <v>7399</v>
      </c>
      <c r="F76" s="57"/>
      <c r="G76" s="57"/>
      <c r="H76" s="57"/>
      <c r="I76" s="57"/>
      <c r="J76" s="57"/>
      <c r="K76" s="57"/>
      <c r="L76" s="57"/>
      <c r="M76" s="57"/>
      <c r="N76" s="57"/>
      <c r="O76" s="82"/>
    </row>
    <row r="77" spans="1:17" ht="31.2" x14ac:dyDescent="0.3">
      <c r="A77" s="57"/>
      <c r="B77" s="57"/>
      <c r="C77" s="57"/>
      <c r="D77" s="86" t="s">
        <v>93</v>
      </c>
      <c r="E77" s="64">
        <f ca="1">+K69</f>
        <v>20</v>
      </c>
      <c r="F77" s="57"/>
      <c r="G77" s="57"/>
      <c r="H77" s="57"/>
      <c r="I77" s="57"/>
      <c r="J77" s="57"/>
      <c r="K77" s="57"/>
      <c r="L77" s="57"/>
      <c r="M77" s="57"/>
      <c r="N77" s="57"/>
      <c r="O77" s="82"/>
    </row>
    <row r="78" spans="1:17" ht="15.6" x14ac:dyDescent="0.3">
      <c r="A78" s="57"/>
      <c r="B78" s="57"/>
      <c r="C78" s="57"/>
      <c r="D78" s="87" t="s">
        <v>90</v>
      </c>
      <c r="E78" s="65">
        <f ca="1">+F69</f>
        <v>-25</v>
      </c>
      <c r="F78" s="57"/>
      <c r="G78" s="57"/>
      <c r="H78" s="57"/>
      <c r="I78" s="57"/>
      <c r="J78" s="57"/>
      <c r="K78" s="57"/>
      <c r="L78" s="57"/>
      <c r="M78" s="57"/>
      <c r="N78" s="57"/>
      <c r="O78" s="82"/>
    </row>
    <row r="79" spans="1:17" ht="31.2" x14ac:dyDescent="0.3">
      <c r="A79" s="57"/>
      <c r="B79" s="57"/>
      <c r="C79" s="57"/>
      <c r="D79" s="88" t="s">
        <v>92</v>
      </c>
      <c r="E79" s="68" t="str">
        <f ca="1">+CONCATENATE(ROUND((F69/K69*5)/5,2)," %")</f>
        <v>-1.25 %</v>
      </c>
      <c r="F79" s="57"/>
      <c r="G79" s="57"/>
      <c r="H79" s="57"/>
      <c r="I79" s="57"/>
      <c r="J79" s="57"/>
      <c r="K79" s="57"/>
      <c r="L79" s="57"/>
      <c r="M79" s="57"/>
      <c r="N79" s="57"/>
      <c r="O79" s="82"/>
    </row>
    <row r="80" spans="1:17" x14ac:dyDescent="0.3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</row>
    <row r="81" spans="1:13" x14ac:dyDescent="0.3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</row>
    <row r="82" spans="1:13" x14ac:dyDescent="0.3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</row>
    <row r="83" spans="1:13" x14ac:dyDescent="0.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</row>
  </sheetData>
  <mergeCells count="5"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dimension ref="A1:V67"/>
  <sheetViews>
    <sheetView topLeftCell="A39" zoomScaleNormal="100" workbookViewId="0">
      <selection activeCell="W52" sqref="W52"/>
    </sheetView>
  </sheetViews>
  <sheetFormatPr baseColWidth="10" defaultRowHeight="14.4" x14ac:dyDescent="0.3"/>
  <cols>
    <col min="10" max="10" width="3.44140625" customWidth="1"/>
    <col min="16" max="16" width="2.5546875" bestFit="1" customWidth="1"/>
  </cols>
  <sheetData>
    <row r="1" spans="1:22" ht="15.6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70"/>
      <c r="M1" s="70"/>
      <c r="N1" s="70"/>
      <c r="O1" s="70"/>
      <c r="P1" s="70"/>
      <c r="Q1" s="139" t="s">
        <v>116</v>
      </c>
      <c r="R1" s="139"/>
      <c r="S1" s="139"/>
      <c r="T1" s="70"/>
      <c r="U1" s="70"/>
      <c r="V1" s="70"/>
    </row>
    <row r="2" spans="1:22" ht="15.6" x14ac:dyDescent="0.3">
      <c r="A2" s="25"/>
      <c r="B2" s="25"/>
      <c r="C2" s="25"/>
      <c r="D2" s="136" t="str">
        <f>+'Hoja de cronometraje'!K4</f>
        <v>Elemento S</v>
      </c>
      <c r="E2" s="137"/>
      <c r="F2" s="25"/>
      <c r="G2" s="25"/>
      <c r="H2" s="25"/>
      <c r="I2" s="25"/>
      <c r="J2" s="25"/>
      <c r="K2" s="25"/>
      <c r="L2" s="70"/>
      <c r="M2" s="70"/>
      <c r="N2" s="70"/>
      <c r="O2" s="70"/>
      <c r="P2" s="70"/>
      <c r="Q2" s="139"/>
      <c r="R2" s="139"/>
      <c r="S2" s="139"/>
      <c r="T2" s="70"/>
      <c r="U2" s="70"/>
      <c r="V2" s="70"/>
    </row>
    <row r="3" spans="1:22" s="70" customFormat="1" ht="15.6" x14ac:dyDescent="0.3">
      <c r="Q3" s="139"/>
      <c r="R3" s="139"/>
      <c r="S3" s="139"/>
    </row>
    <row r="4" spans="1:22" ht="15.6" x14ac:dyDescent="0.3">
      <c r="A4" s="70"/>
      <c r="B4" s="53" t="s">
        <v>18</v>
      </c>
      <c r="C4" s="53" t="s">
        <v>19</v>
      </c>
      <c r="D4" s="53" t="s">
        <v>20</v>
      </c>
      <c r="E4" s="54" t="s">
        <v>115</v>
      </c>
      <c r="F4" s="54" t="s">
        <v>114</v>
      </c>
      <c r="G4" s="54" t="s">
        <v>113</v>
      </c>
      <c r="H4" s="54" t="s">
        <v>112</v>
      </c>
      <c r="I4" s="55" t="s">
        <v>82</v>
      </c>
      <c r="J4" s="55" t="s">
        <v>111</v>
      </c>
      <c r="K4" s="56">
        <f ca="1">ROUNDDOWN(H28,0)</f>
        <v>50</v>
      </c>
      <c r="L4" s="70"/>
      <c r="M4" s="70"/>
      <c r="N4" s="70"/>
      <c r="O4" s="70"/>
      <c r="P4" s="70"/>
      <c r="Q4" s="139"/>
      <c r="R4" s="139"/>
      <c r="S4" s="139"/>
      <c r="T4" s="70"/>
      <c r="U4" s="70"/>
      <c r="V4" s="70"/>
    </row>
    <row r="5" spans="1:22" ht="15.6" x14ac:dyDescent="0.3">
      <c r="A5" s="70"/>
      <c r="B5" s="68">
        <f ca="1">+'N° de Obs.'!D6</f>
        <v>95</v>
      </c>
      <c r="C5" s="68">
        <f ca="1">+'N° de Obs.'!E6</f>
        <v>1226</v>
      </c>
      <c r="D5" s="68">
        <f ca="1">+'N° de Obs.'!F6</f>
        <v>1164.7</v>
      </c>
      <c r="E5" s="68">
        <f ca="1">IF(I5="","",IFERROR(F5*G5,""))</f>
        <v>0</v>
      </c>
      <c r="F5" s="68">
        <f ca="1">IF(I5="","",IFERROR(G5*H5,""))</f>
        <v>0</v>
      </c>
      <c r="G5" s="68">
        <f ca="1">IF(I5="","",ROW($V1)-1)</f>
        <v>0</v>
      </c>
      <c r="H5" s="68">
        <f ca="1">IF(I5="","",COUNTIF($D$5:$D$24,"&lt;="&amp;$J6))</f>
        <v>2</v>
      </c>
      <c r="I5" s="68">
        <f ca="1">ROUND(H27,0)</f>
        <v>1002</v>
      </c>
      <c r="J5" s="79"/>
      <c r="K5" s="89" t="s">
        <v>126</v>
      </c>
      <c r="L5" s="70"/>
      <c r="M5" s="70"/>
      <c r="N5" s="68" t="s">
        <v>110</v>
      </c>
      <c r="O5" s="68">
        <f ca="1">F11/H11</f>
        <v>2.65</v>
      </c>
      <c r="P5" s="70"/>
      <c r="Q5" s="70"/>
      <c r="R5" s="70"/>
      <c r="S5" s="70"/>
    </row>
    <row r="6" spans="1:22" ht="15.6" x14ac:dyDescent="0.3">
      <c r="A6" s="70"/>
      <c r="B6" s="68">
        <f ca="1">+'N° de Obs.'!D7</f>
        <v>95</v>
      </c>
      <c r="C6" s="68">
        <f ca="1">+'N° de Obs.'!E7</f>
        <v>1190</v>
      </c>
      <c r="D6" s="68">
        <f ca="1">+'N° de Obs.'!F7</f>
        <v>1130.5</v>
      </c>
      <c r="E6" s="68">
        <f t="shared" ref="E6:E10" ca="1" si="0">IF(I6="","",IFERROR(F6*G6,""))</f>
        <v>1</v>
      </c>
      <c r="F6" s="68">
        <f t="shared" ref="F6:F10" ca="1" si="1">IF(I6="","",IFERROR(G6*H6,""))</f>
        <v>1</v>
      </c>
      <c r="G6" s="68">
        <f t="shared" ref="G6:G10" ca="1" si="2">IF(I6="","",ROW($V2)-1)</f>
        <v>1</v>
      </c>
      <c r="H6" s="68">
        <f ca="1">IF(I6="","",COUNTIFS($D$5:$D$24,"&lt;="&amp;$J7,$D$5:$D$24,"&gt;"&amp;$J6))</f>
        <v>1</v>
      </c>
      <c r="I6" s="68">
        <f ca="1">IFERROR(IF($I5+$K$4&lt;=$M$28,$I5+$K$4,""),"")</f>
        <v>1052</v>
      </c>
      <c r="J6" s="93">
        <f ca="1">IF(I5="","",IFERROR(($I5+$I6)/2,MAX($D$5:$D$24)))</f>
        <v>1027</v>
      </c>
      <c r="K6" s="89" t="s">
        <v>29</v>
      </c>
      <c r="L6" s="70"/>
      <c r="M6" s="70"/>
      <c r="N6" s="68" t="s">
        <v>109</v>
      </c>
      <c r="O6" s="68">
        <f ca="1">E11/H11</f>
        <v>8.85</v>
      </c>
      <c r="P6" s="70"/>
      <c r="Q6" s="70"/>
      <c r="R6" s="70"/>
      <c r="S6" s="70"/>
    </row>
    <row r="7" spans="1:22" ht="15.6" x14ac:dyDescent="0.3">
      <c r="A7" s="70"/>
      <c r="B7" s="68">
        <f ca="1">+'N° de Obs.'!D8</f>
        <v>90</v>
      </c>
      <c r="C7" s="68">
        <f ca="1">+'N° de Obs.'!E8</f>
        <v>1148</v>
      </c>
      <c r="D7" s="68">
        <f ca="1">+'N° de Obs.'!F8</f>
        <v>1033.2</v>
      </c>
      <c r="E7" s="68">
        <f t="shared" ca="1" si="0"/>
        <v>24</v>
      </c>
      <c r="F7" s="68">
        <f t="shared" ca="1" si="1"/>
        <v>12</v>
      </c>
      <c r="G7" s="68">
        <f t="shared" ca="1" si="2"/>
        <v>2</v>
      </c>
      <c r="H7" s="68">
        <f t="shared" ref="H7:H10" ca="1" si="3">IF(I7="","",COUNTIFS($D$5:$D$24,"&lt;="&amp;$J8,$D$5:$D$24,"&gt;"&amp;$J7))</f>
        <v>6</v>
      </c>
      <c r="I7" s="68">
        <f ca="1">IFERROR(IF($I6+$K$4&lt;=$M$28,$I6+$K$4,""),"")</f>
        <v>1102</v>
      </c>
      <c r="J7" s="93">
        <f t="shared" ref="J7:J11" ca="1" si="4">IF(I6="","",IFERROR(($I6+$I7)/2,MAX($D$5:$D$24)))</f>
        <v>1077</v>
      </c>
      <c r="K7" s="89" t="s">
        <v>127</v>
      </c>
      <c r="L7" s="70"/>
      <c r="M7" s="70"/>
      <c r="N7" s="70"/>
      <c r="O7" s="70"/>
      <c r="P7" s="70"/>
      <c r="Q7" s="70"/>
      <c r="R7" s="70"/>
      <c r="S7" s="70"/>
    </row>
    <row r="8" spans="1:22" ht="15.6" x14ac:dyDescent="0.3">
      <c r="A8" s="70"/>
      <c r="B8" s="68">
        <f ca="1">+'N° de Obs.'!D9</f>
        <v>85</v>
      </c>
      <c r="C8" s="68">
        <f ca="1">+'N° de Obs.'!E9</f>
        <v>1273</v>
      </c>
      <c r="D8" s="68">
        <f ca="1">+'N° de Obs.'!F9</f>
        <v>1082.05</v>
      </c>
      <c r="E8" s="68">
        <f t="shared" ca="1" si="0"/>
        <v>54</v>
      </c>
      <c r="F8" s="68">
        <f t="shared" ca="1" si="1"/>
        <v>18</v>
      </c>
      <c r="G8" s="68">
        <f t="shared" ca="1" si="2"/>
        <v>3</v>
      </c>
      <c r="H8" s="68">
        <f t="shared" ca="1" si="3"/>
        <v>6</v>
      </c>
      <c r="I8" s="68">
        <f ca="1">IFERROR(IF($I7+$K$4&lt;=$M$28,$I7+$K$4,""),"")</f>
        <v>1152</v>
      </c>
      <c r="J8" s="93">
        <f t="shared" ca="1" si="4"/>
        <v>1127</v>
      </c>
      <c r="K8" s="89" t="s">
        <v>127</v>
      </c>
      <c r="L8" s="70"/>
      <c r="M8" s="70"/>
      <c r="N8" s="68" t="s">
        <v>108</v>
      </c>
      <c r="O8" s="68">
        <f ca="1">H27+(K4*O5)</f>
        <v>1134.2</v>
      </c>
      <c r="P8" s="70"/>
      <c r="Q8" s="70"/>
      <c r="R8" s="70"/>
      <c r="S8" s="70"/>
    </row>
    <row r="9" spans="1:22" ht="15.6" x14ac:dyDescent="0.3">
      <c r="A9" s="70"/>
      <c r="B9" s="68">
        <f ca="1">+'N° de Obs.'!D10</f>
        <v>90</v>
      </c>
      <c r="C9" s="68">
        <f ca="1">+'N° de Obs.'!E10</f>
        <v>1113</v>
      </c>
      <c r="D9" s="68">
        <f ca="1">+'N° de Obs.'!F10</f>
        <v>1001.7</v>
      </c>
      <c r="E9" s="68">
        <f t="shared" ca="1" si="0"/>
        <v>48</v>
      </c>
      <c r="F9" s="68">
        <f t="shared" ca="1" si="1"/>
        <v>12</v>
      </c>
      <c r="G9" s="68">
        <f t="shared" ca="1" si="2"/>
        <v>4</v>
      </c>
      <c r="H9" s="68">
        <f t="shared" ca="1" si="3"/>
        <v>3</v>
      </c>
      <c r="I9" s="68">
        <f ca="1">IFERROR(IF($I8+$K$4&lt;=$M$28,$I8+$K$4,""),"")</f>
        <v>1202</v>
      </c>
      <c r="J9" s="93">
        <f t="shared" ca="1" si="4"/>
        <v>1177</v>
      </c>
      <c r="K9" s="89" t="s">
        <v>128</v>
      </c>
      <c r="L9" s="70"/>
      <c r="M9" s="70"/>
      <c r="N9" s="68" t="s">
        <v>107</v>
      </c>
      <c r="O9" s="94">
        <f ca="1">K4*(SQRT(O6-POWER(O5,2)))</f>
        <v>67.592529172978871</v>
      </c>
      <c r="P9" s="70"/>
      <c r="Q9" s="70"/>
      <c r="R9" s="70"/>
      <c r="S9" s="70"/>
    </row>
    <row r="10" spans="1:22" ht="16.2" thickBot="1" x14ac:dyDescent="0.35">
      <c r="A10" s="70"/>
      <c r="B10" s="68">
        <f ca="1">+'N° de Obs.'!D11</f>
        <v>85</v>
      </c>
      <c r="C10" s="68">
        <f ca="1">+'N° de Obs.'!E11</f>
        <v>1289</v>
      </c>
      <c r="D10" s="68">
        <f ca="1">+'N° de Obs.'!F11</f>
        <v>1095.6500000000001</v>
      </c>
      <c r="E10" s="68">
        <f t="shared" ca="1" si="0"/>
        <v>50</v>
      </c>
      <c r="F10" s="68">
        <f t="shared" ca="1" si="1"/>
        <v>10</v>
      </c>
      <c r="G10" s="68">
        <f t="shared" ca="1" si="2"/>
        <v>5</v>
      </c>
      <c r="H10" s="68">
        <f t="shared" ca="1" si="3"/>
        <v>2</v>
      </c>
      <c r="I10" s="68">
        <f ca="1">IFERROR(IF($I9+$K$4&lt;=$M$28,$I9+$K$4,""),"")</f>
        <v>1252</v>
      </c>
      <c r="J10" s="93">
        <f t="shared" ca="1" si="4"/>
        <v>1227</v>
      </c>
      <c r="K10" s="89" t="s">
        <v>126</v>
      </c>
      <c r="L10" s="70"/>
      <c r="M10" s="70"/>
      <c r="N10" s="70"/>
      <c r="O10" s="70"/>
      <c r="P10" s="70"/>
      <c r="Q10" s="139"/>
      <c r="R10" s="70"/>
      <c r="S10" s="70"/>
    </row>
    <row r="11" spans="1:22" ht="16.2" thickBot="1" x14ac:dyDescent="0.35">
      <c r="A11" s="70"/>
      <c r="B11" s="68">
        <f ca="1">+'N° de Obs.'!D12</f>
        <v>95</v>
      </c>
      <c r="C11" s="68">
        <f ca="1">+'N° de Obs.'!E12</f>
        <v>1178</v>
      </c>
      <c r="D11" s="68">
        <f ca="1">+'N° de Obs.'!F12</f>
        <v>1119.0999999999999</v>
      </c>
      <c r="E11" s="91">
        <f ca="1">SUM(E5:E17)</f>
        <v>177</v>
      </c>
      <c r="F11" s="92">
        <f ca="1">SUM(F5:F17)</f>
        <v>53</v>
      </c>
      <c r="G11" s="70"/>
      <c r="H11" s="92">
        <f ca="1">SUM(H5:H17)</f>
        <v>20</v>
      </c>
      <c r="I11" s="95" t="str">
        <f t="shared" ref="I11" ca="1" si="5">IFERROR(IF($I10+$K$4&lt;=$M$28,$I10+$K$4,""),"")</f>
        <v/>
      </c>
      <c r="J11" s="96">
        <f t="shared" ca="1" si="4"/>
        <v>1294</v>
      </c>
      <c r="K11" s="70"/>
      <c r="L11" s="70"/>
      <c r="M11" s="70"/>
      <c r="N11" s="68" t="s">
        <v>106</v>
      </c>
      <c r="O11" s="68">
        <f ca="1">(O9*100)/O8</f>
        <v>5.9594894351065841</v>
      </c>
      <c r="P11" s="68" t="s">
        <v>8</v>
      </c>
      <c r="Q11" s="139"/>
      <c r="R11" s="70"/>
      <c r="S11" s="70"/>
    </row>
    <row r="12" spans="1:22" ht="15.6" x14ac:dyDescent="0.3">
      <c r="A12" s="70"/>
      <c r="B12" s="68">
        <f ca="1">+'N° de Obs.'!D13</f>
        <v>85</v>
      </c>
      <c r="C12" s="68">
        <f ca="1">+'N° de Obs.'!E13</f>
        <v>1294</v>
      </c>
      <c r="D12" s="68">
        <f ca="1">+'N° de Obs.'!F13</f>
        <v>1099.9000000000001</v>
      </c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143"/>
      <c r="S12" s="143"/>
    </row>
    <row r="13" spans="1:22" ht="15.6" x14ac:dyDescent="0.3">
      <c r="A13" s="70"/>
      <c r="B13" s="68">
        <f ca="1">+'N° de Obs.'!D14</f>
        <v>100</v>
      </c>
      <c r="C13" s="68">
        <f ca="1">+'N° de Obs.'!E14</f>
        <v>1281</v>
      </c>
      <c r="D13" s="68">
        <f ca="1">+'N° de Obs.'!F14</f>
        <v>1281</v>
      </c>
      <c r="E13" s="70"/>
      <c r="F13" s="70"/>
      <c r="G13" s="70"/>
      <c r="H13" s="70"/>
      <c r="I13" s="70"/>
      <c r="J13" s="70"/>
      <c r="K13" s="70"/>
      <c r="L13" s="70"/>
      <c r="M13" s="70"/>
      <c r="N13" s="147" t="str">
        <f ca="1">IF(O11&lt;6,"Se puede continuar con el estudio","No se puede continuar con el estudio")</f>
        <v>Se puede continuar con el estudio</v>
      </c>
      <c r="O13" s="147"/>
      <c r="P13" s="70"/>
      <c r="Q13" s="70"/>
      <c r="R13" s="143"/>
      <c r="S13" s="143"/>
    </row>
    <row r="14" spans="1:22" ht="15.6" x14ac:dyDescent="0.3">
      <c r="A14" s="70"/>
      <c r="B14" s="68">
        <f ca="1">+'N° de Obs.'!D15</f>
        <v>100</v>
      </c>
      <c r="C14" s="68">
        <f ca="1">+'N° de Obs.'!E15</f>
        <v>1189</v>
      </c>
      <c r="D14" s="68">
        <f ca="1">+'N° de Obs.'!F15</f>
        <v>1189</v>
      </c>
      <c r="E14" s="70"/>
      <c r="F14" s="70"/>
      <c r="G14" s="70"/>
      <c r="H14" s="70"/>
      <c r="I14" s="70"/>
      <c r="J14" s="70"/>
      <c r="K14" s="70"/>
      <c r="L14" s="70"/>
      <c r="M14" s="70"/>
      <c r="N14" s="147"/>
      <c r="O14" s="147"/>
      <c r="P14" s="70"/>
      <c r="Q14" s="70"/>
      <c r="R14" s="70"/>
      <c r="S14" s="70"/>
    </row>
    <row r="15" spans="1:22" ht="15.6" x14ac:dyDescent="0.3">
      <c r="A15" s="70"/>
      <c r="B15" s="68">
        <f ca="1">+'N° de Obs.'!D16</f>
        <v>90</v>
      </c>
      <c r="C15" s="68">
        <f ca="1">+'N° de Obs.'!E16</f>
        <v>1131</v>
      </c>
      <c r="D15" s="68">
        <f ca="1">+'N° de Obs.'!F16</f>
        <v>1017.9</v>
      </c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</row>
    <row r="16" spans="1:22" ht="15.6" x14ac:dyDescent="0.3">
      <c r="A16" s="70"/>
      <c r="B16" s="68">
        <f ca="1">+'N° de Obs.'!D17</f>
        <v>95</v>
      </c>
      <c r="C16" s="68">
        <f ca="1">+'N° de Obs.'!E17</f>
        <v>1147</v>
      </c>
      <c r="D16" s="68">
        <f ca="1">+'N° de Obs.'!F17</f>
        <v>1089.6500000000001</v>
      </c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</row>
    <row r="17" spans="1:19" ht="15.6" x14ac:dyDescent="0.3">
      <c r="A17" s="70"/>
      <c r="B17" s="68">
        <f ca="1">+'N° de Obs.'!D18</f>
        <v>95</v>
      </c>
      <c r="C17" s="68">
        <f ca="1">+'N° de Obs.'!E18</f>
        <v>1282</v>
      </c>
      <c r="D17" s="68">
        <f ca="1">+'N° de Obs.'!F18</f>
        <v>1217.9000000000001</v>
      </c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</row>
    <row r="18" spans="1:19" ht="15.6" x14ac:dyDescent="0.3">
      <c r="A18" s="70"/>
      <c r="B18" s="68">
        <f ca="1">+'N° de Obs.'!D19</f>
        <v>95</v>
      </c>
      <c r="C18" s="68">
        <f ca="1">+'N° de Obs.'!E19</f>
        <v>1219</v>
      </c>
      <c r="D18" s="68">
        <f ca="1">+'N° de Obs.'!F19</f>
        <v>1158.05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</row>
    <row r="19" spans="1:19" ht="15.6" x14ac:dyDescent="0.3">
      <c r="A19" s="70"/>
      <c r="B19" s="68">
        <f ca="1">+'N° de Obs.'!D20</f>
        <v>100</v>
      </c>
      <c r="C19" s="68">
        <f ca="1">+'N° de Obs.'!E20</f>
        <v>1146</v>
      </c>
      <c r="D19" s="68">
        <f ca="1">+'N° de Obs.'!F20</f>
        <v>1146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</row>
    <row r="20" spans="1:19" ht="15.6" x14ac:dyDescent="0.3">
      <c r="A20" s="70"/>
      <c r="B20" s="68">
        <f ca="1">+'N° de Obs.'!D21</f>
        <v>95</v>
      </c>
      <c r="C20" s="68">
        <f ca="1">+'N° de Obs.'!E21</f>
        <v>1213</v>
      </c>
      <c r="D20" s="68">
        <f ca="1">+'N° de Obs.'!F21</f>
        <v>1152.3499999999999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</row>
    <row r="21" spans="1:19" ht="15.6" x14ac:dyDescent="0.3">
      <c r="A21" s="70"/>
      <c r="B21" s="68">
        <f ca="1">+'N° de Obs.'!D22</f>
        <v>100</v>
      </c>
      <c r="C21" s="68">
        <f ca="1">+'N° de Obs.'!E22</f>
        <v>1294</v>
      </c>
      <c r="D21" s="68">
        <f ca="1">+'N° de Obs.'!F22</f>
        <v>1294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</row>
    <row r="22" spans="1:19" ht="15.6" x14ac:dyDescent="0.3">
      <c r="A22" s="70"/>
      <c r="B22" s="68">
        <f ca="1">+'N° de Obs.'!D23</f>
        <v>95</v>
      </c>
      <c r="C22" s="68">
        <f ca="1">+'N° de Obs.'!E23</f>
        <v>1142</v>
      </c>
      <c r="D22" s="68">
        <f ca="1">+'N° de Obs.'!F23</f>
        <v>1084.9000000000001</v>
      </c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</row>
    <row r="23" spans="1:19" ht="15.6" x14ac:dyDescent="0.3">
      <c r="A23" s="70"/>
      <c r="B23" s="68">
        <f ca="1">+'N° de Obs.'!D24</f>
        <v>90</v>
      </c>
      <c r="C23" s="68">
        <f ca="1">+'N° de Obs.'!E24</f>
        <v>1274</v>
      </c>
      <c r="D23" s="68">
        <f ca="1">+'N° de Obs.'!F24</f>
        <v>1146.5999999999999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</row>
    <row r="24" spans="1:19" ht="15.6" x14ac:dyDescent="0.3">
      <c r="A24" s="70"/>
      <c r="B24" s="68">
        <f ca="1">+'N° de Obs.'!D25</f>
        <v>100</v>
      </c>
      <c r="C24" s="68">
        <f ca="1">+'N° de Obs.'!E25</f>
        <v>1191</v>
      </c>
      <c r="D24" s="68">
        <f ca="1">+'N° de Obs.'!F25</f>
        <v>1191</v>
      </c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</row>
    <row r="25" spans="1:19" ht="15.6" x14ac:dyDescent="0.3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</row>
    <row r="26" spans="1:19" ht="15.6" x14ac:dyDescent="0.3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</row>
    <row r="27" spans="1:19" ht="15.6" x14ac:dyDescent="0.3">
      <c r="A27" s="70"/>
      <c r="B27" s="70"/>
      <c r="C27" s="70"/>
      <c r="D27" s="68" t="s">
        <v>23</v>
      </c>
      <c r="E27" s="68">
        <f ca="1">COUNTA(C5:C24)</f>
        <v>20</v>
      </c>
      <c r="F27" s="70"/>
      <c r="G27" s="70"/>
      <c r="H27" s="68">
        <f ca="1">MIN(D5:D24)</f>
        <v>1001.7</v>
      </c>
      <c r="I27" s="66">
        <v>100</v>
      </c>
      <c r="J27" s="89" t="s">
        <v>8</v>
      </c>
      <c r="K27" s="70"/>
      <c r="L27" s="68" t="s">
        <v>105</v>
      </c>
      <c r="M27" s="68">
        <f ca="1">ROUND(MIN(D5:D24),0)</f>
        <v>1002</v>
      </c>
      <c r="N27" s="70"/>
      <c r="O27" s="70"/>
      <c r="P27" s="70"/>
      <c r="Q27" s="70"/>
      <c r="R27" s="70"/>
      <c r="S27" s="70"/>
    </row>
    <row r="28" spans="1:19" ht="15.6" x14ac:dyDescent="0.3">
      <c r="A28" s="70"/>
      <c r="B28" s="70"/>
      <c r="C28" s="70"/>
      <c r="D28" s="70"/>
      <c r="E28" s="70"/>
      <c r="F28" s="70"/>
      <c r="G28" s="70"/>
      <c r="H28" s="65">
        <f ca="1">(I28*H27)/I27</f>
        <v>50.085000000000001</v>
      </c>
      <c r="I28" s="79">
        <v>5</v>
      </c>
      <c r="J28" s="81" t="s">
        <v>8</v>
      </c>
      <c r="K28" s="70"/>
      <c r="L28" s="68" t="s">
        <v>104</v>
      </c>
      <c r="M28" s="68">
        <f ca="1">ROUND(MAX(D5:D24),0)</f>
        <v>1294</v>
      </c>
      <c r="N28" s="70"/>
      <c r="O28" s="70"/>
      <c r="P28" s="70"/>
      <c r="Q28" s="70"/>
      <c r="R28" s="70"/>
      <c r="S28" s="70"/>
    </row>
    <row r="29" spans="1:19" ht="15.6" x14ac:dyDescent="0.3">
      <c r="A29" s="70"/>
      <c r="B29" s="146" t="s">
        <v>24</v>
      </c>
      <c r="C29" s="146"/>
      <c r="D29" s="146"/>
      <c r="E29" s="68">
        <f ca="1">ROUND(SUM(D5:D24)/E27,0)</f>
        <v>1135</v>
      </c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</row>
    <row r="30" spans="1:19" ht="15.6" x14ac:dyDescent="0.3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</row>
    <row r="31" spans="1:19" ht="15.6" x14ac:dyDescent="0.3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</row>
    <row r="32" spans="1:19" ht="15.6" x14ac:dyDescent="0.3">
      <c r="A32" s="25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</row>
    <row r="33" spans="1:19" ht="15.6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9" ht="15.6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9" ht="15.6" x14ac:dyDescent="0.3">
      <c r="A35" s="57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9" ht="15.6" x14ac:dyDescent="0.3">
      <c r="A36" s="70"/>
      <c r="B36" s="25"/>
      <c r="C36" s="25"/>
      <c r="D36" s="136" t="str">
        <f>+'Hoja de cronometraje'!N4</f>
        <v>Elemento E</v>
      </c>
      <c r="E36" s="137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9" s="70" customFormat="1" ht="13.8" customHeight="1" x14ac:dyDescent="0.3"/>
    <row r="38" spans="1:19" ht="15.6" x14ac:dyDescent="0.3">
      <c r="A38" s="70"/>
      <c r="B38" s="53" t="s">
        <v>18</v>
      </c>
      <c r="C38" s="53" t="s">
        <v>19</v>
      </c>
      <c r="D38" s="53" t="s">
        <v>20</v>
      </c>
      <c r="E38" s="54" t="s">
        <v>115</v>
      </c>
      <c r="F38" s="54" t="s">
        <v>114</v>
      </c>
      <c r="G38" s="54" t="s">
        <v>113</v>
      </c>
      <c r="H38" s="54" t="s">
        <v>112</v>
      </c>
      <c r="I38" s="55" t="s">
        <v>82</v>
      </c>
      <c r="J38" s="55" t="s">
        <v>111</v>
      </c>
      <c r="K38" s="56">
        <f ca="1">ROUNDDOWN(H62,0)</f>
        <v>336</v>
      </c>
      <c r="L38" s="70"/>
      <c r="M38" s="70"/>
      <c r="N38" s="70"/>
      <c r="O38" s="70"/>
      <c r="P38" s="70"/>
      <c r="Q38" s="70"/>
      <c r="R38" s="70"/>
      <c r="S38" s="70"/>
    </row>
    <row r="39" spans="1:19" ht="15.6" x14ac:dyDescent="0.3">
      <c r="A39" s="70"/>
      <c r="B39" s="68">
        <f ca="1">+'N° de Obs.'!M6</f>
        <v>95</v>
      </c>
      <c r="C39" s="68">
        <f ca="1">+'N° de Obs.'!N6</f>
        <v>7424</v>
      </c>
      <c r="D39" s="68">
        <f ca="1">+'N° de Obs.'!O6</f>
        <v>7052.8</v>
      </c>
      <c r="E39" s="68">
        <f ca="1">IF(I39="","",IFERROR(F39*G39,""))</f>
        <v>0</v>
      </c>
      <c r="F39" s="68">
        <f ca="1">IF(I39="","",IFERROR(G39*H39,""))</f>
        <v>0</v>
      </c>
      <c r="G39" s="68">
        <f ca="1">IF(I39="","",ROW($V1)-1)</f>
        <v>0</v>
      </c>
      <c r="H39" s="68">
        <f ca="1">IF(I39="","",COUNTIF($D$39:$D$58,"&lt;="&amp;$J40))</f>
        <v>3</v>
      </c>
      <c r="I39" s="68">
        <f ca="1">ROUND(H61,0)</f>
        <v>6729</v>
      </c>
      <c r="J39" s="79"/>
      <c r="K39" s="89" t="s">
        <v>128</v>
      </c>
      <c r="L39" s="70"/>
      <c r="M39" s="70"/>
      <c r="N39" s="68" t="s">
        <v>110</v>
      </c>
      <c r="O39" s="68">
        <f ca="1">F43/H43</f>
        <v>1.75</v>
      </c>
      <c r="P39" s="70"/>
      <c r="Q39" s="70"/>
      <c r="R39" s="70"/>
      <c r="S39" s="70"/>
    </row>
    <row r="40" spans="1:19" ht="15.6" x14ac:dyDescent="0.3">
      <c r="A40" s="70"/>
      <c r="B40" s="68">
        <f ca="1">+'N° de Obs.'!M7</f>
        <v>95</v>
      </c>
      <c r="C40" s="68">
        <f ca="1">+'N° de Obs.'!N7</f>
        <v>7461</v>
      </c>
      <c r="D40" s="68">
        <f ca="1">+'N° de Obs.'!O7</f>
        <v>7087.95</v>
      </c>
      <c r="E40" s="68">
        <f t="shared" ref="E40:E42" ca="1" si="6">IF(I40="","",IFERROR(F40*G40,""))</f>
        <v>5</v>
      </c>
      <c r="F40" s="68">
        <f t="shared" ref="F40:F42" ca="1" si="7">IF(I40="","",IFERROR(G40*H40,""))</f>
        <v>5</v>
      </c>
      <c r="G40" s="68">
        <f t="shared" ref="G40:G42" ca="1" si="8">IF(I40="","",ROW($V2)-1)</f>
        <v>1</v>
      </c>
      <c r="H40" s="68">
        <f ca="1">IF(I40="","",COUNTIFS($D$39:$D$58,"&lt;="&amp;$J41,$D$39:$D$58,"&gt;"&amp;$J40))</f>
        <v>5</v>
      </c>
      <c r="I40" s="68">
        <f ca="1">IFERROR(IF($I39+$K$38&lt;=$M$62,$I39+$K$38,""),"")</f>
        <v>7065</v>
      </c>
      <c r="J40" s="93">
        <f ca="1">IF(I39="","",IFERROR(($I39+$I40)/2,MAX($D$39:$D$58)))</f>
        <v>6897</v>
      </c>
      <c r="K40" s="89" t="s">
        <v>129</v>
      </c>
      <c r="L40" s="70"/>
      <c r="M40" s="70"/>
      <c r="N40" s="68" t="s">
        <v>109</v>
      </c>
      <c r="O40" s="68">
        <f ca="1">E43/H43</f>
        <v>4.1500000000000004</v>
      </c>
      <c r="P40" s="70"/>
      <c r="Q40" s="70"/>
      <c r="R40" s="70"/>
      <c r="S40" s="82"/>
    </row>
    <row r="41" spans="1:19" ht="15.6" x14ac:dyDescent="0.3">
      <c r="A41" s="70"/>
      <c r="B41" s="68">
        <f ca="1">+'N° de Obs.'!M8</f>
        <v>105</v>
      </c>
      <c r="C41" s="68">
        <f ca="1">+'N° de Obs.'!N8</f>
        <v>7504</v>
      </c>
      <c r="D41" s="68">
        <f ca="1">+'N° de Obs.'!O8</f>
        <v>7879.2</v>
      </c>
      <c r="E41" s="68">
        <f t="shared" ca="1" si="6"/>
        <v>24</v>
      </c>
      <c r="F41" s="68">
        <f t="shared" ca="1" si="7"/>
        <v>12</v>
      </c>
      <c r="G41" s="68">
        <f t="shared" ca="1" si="8"/>
        <v>2</v>
      </c>
      <c r="H41" s="68">
        <f t="shared" ref="H41:H42" ca="1" si="9">IF(I41="","",COUNTIFS($D$39:$D$58,"&lt;="&amp;$J42,$D$39:$D$58,"&gt;"&amp;$J41))</f>
        <v>6</v>
      </c>
      <c r="I41" s="68">
        <f t="shared" ref="I41:I43" ca="1" si="10">IFERROR(IF($I40+$K$38&lt;=$M$62,$I40+$K$38,""),"")</f>
        <v>7401</v>
      </c>
      <c r="J41" s="93">
        <f t="shared" ref="J41:J43" ca="1" si="11">IF(I40="","",IFERROR(($I40+$I41)/2,MAX($D$39:$D$58)))</f>
        <v>7233</v>
      </c>
      <c r="K41" s="89" t="s">
        <v>127</v>
      </c>
      <c r="L41" s="70"/>
      <c r="M41" s="70"/>
      <c r="N41" s="70"/>
      <c r="O41" s="70"/>
      <c r="P41" s="70"/>
      <c r="Q41" s="70"/>
      <c r="R41" s="70"/>
      <c r="S41" s="82"/>
    </row>
    <row r="42" spans="1:19" ht="16.2" thickBot="1" x14ac:dyDescent="0.35">
      <c r="A42" s="70"/>
      <c r="B42" s="68">
        <f ca="1">+'N° de Obs.'!M9</f>
        <v>100</v>
      </c>
      <c r="C42" s="68">
        <f ca="1">+'N° de Obs.'!N9</f>
        <v>7501</v>
      </c>
      <c r="D42" s="68">
        <f ca="1">+'N° de Obs.'!O9</f>
        <v>7501</v>
      </c>
      <c r="E42" s="68">
        <f t="shared" ca="1" si="6"/>
        <v>54</v>
      </c>
      <c r="F42" s="68">
        <f t="shared" ca="1" si="7"/>
        <v>18</v>
      </c>
      <c r="G42" s="68">
        <f t="shared" ca="1" si="8"/>
        <v>3</v>
      </c>
      <c r="H42" s="68">
        <f t="shared" ca="1" si="9"/>
        <v>6</v>
      </c>
      <c r="I42" s="68">
        <f t="shared" ca="1" si="10"/>
        <v>7737</v>
      </c>
      <c r="J42" s="93">
        <f t="shared" ca="1" si="11"/>
        <v>7569</v>
      </c>
      <c r="K42" s="89" t="s">
        <v>127</v>
      </c>
      <c r="L42" s="70"/>
      <c r="M42" s="70"/>
      <c r="N42" s="68" t="s">
        <v>108</v>
      </c>
      <c r="O42" s="68">
        <f ca="1">H61+(K38*O39)</f>
        <v>7317.3</v>
      </c>
      <c r="P42" s="70"/>
      <c r="Q42" s="70"/>
      <c r="R42" s="70"/>
      <c r="S42" s="82"/>
    </row>
    <row r="43" spans="1:19" ht="16.2" thickBot="1" x14ac:dyDescent="0.35">
      <c r="A43" s="70"/>
      <c r="B43" s="68">
        <f ca="1">+'N° de Obs.'!M10</f>
        <v>90</v>
      </c>
      <c r="C43" s="68">
        <f ca="1">+'N° de Obs.'!N10</f>
        <v>7508</v>
      </c>
      <c r="D43" s="68">
        <f ca="1">+'N° de Obs.'!O10</f>
        <v>6757.2</v>
      </c>
      <c r="E43" s="91">
        <f ca="1">SUM(E39:E51)</f>
        <v>83</v>
      </c>
      <c r="F43" s="92">
        <f ca="1">SUM(F39:F51)</f>
        <v>35</v>
      </c>
      <c r="G43" s="70"/>
      <c r="H43" s="92">
        <f ca="1">SUM(H39:H51)</f>
        <v>20</v>
      </c>
      <c r="I43" s="95" t="str">
        <f t="shared" ca="1" si="10"/>
        <v/>
      </c>
      <c r="J43" s="96">
        <f t="shared" ca="1" si="11"/>
        <v>7932.75</v>
      </c>
      <c r="K43" s="70"/>
      <c r="L43" s="70"/>
      <c r="M43" s="70"/>
      <c r="N43" s="68" t="s">
        <v>107</v>
      </c>
      <c r="O43" s="94">
        <f ca="1">K38*(SQRT(O40-POWER(O39,2)))</f>
        <v>350.3917807255188</v>
      </c>
      <c r="P43" s="70"/>
      <c r="Q43" s="70"/>
      <c r="R43" s="70"/>
      <c r="S43" s="82"/>
    </row>
    <row r="44" spans="1:19" ht="15.6" x14ac:dyDescent="0.3">
      <c r="A44" s="70"/>
      <c r="B44" s="68">
        <f ca="1">+'N° de Obs.'!M11</f>
        <v>95</v>
      </c>
      <c r="C44" s="68">
        <f ca="1">+'N° de Obs.'!N11</f>
        <v>7569</v>
      </c>
      <c r="D44" s="68">
        <f ca="1">+'N° de Obs.'!O11</f>
        <v>7190.55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82"/>
    </row>
    <row r="45" spans="1:19" ht="15.6" x14ac:dyDescent="0.3">
      <c r="A45" s="70"/>
      <c r="B45" s="68">
        <f ca="1">+'N° de Obs.'!M12</f>
        <v>105</v>
      </c>
      <c r="C45" s="68">
        <f ca="1">+'N° de Obs.'!N12</f>
        <v>7486</v>
      </c>
      <c r="D45" s="68">
        <f ca="1">+'N° de Obs.'!O12</f>
        <v>7860.3</v>
      </c>
      <c r="E45" s="70"/>
      <c r="F45" s="70"/>
      <c r="G45" s="70"/>
      <c r="H45" s="70"/>
      <c r="I45" s="70"/>
      <c r="J45" s="70"/>
      <c r="K45" s="70"/>
      <c r="L45" s="70"/>
      <c r="M45" s="70"/>
      <c r="N45" s="68" t="s">
        <v>106</v>
      </c>
      <c r="O45" s="68">
        <f ca="1">(O43*100)/O42</f>
        <v>4.7885392251994414</v>
      </c>
      <c r="P45" s="68" t="s">
        <v>8</v>
      </c>
      <c r="Q45" s="70"/>
      <c r="R45" s="70"/>
      <c r="S45" s="82"/>
    </row>
    <row r="46" spans="1:19" ht="15.6" x14ac:dyDescent="0.3">
      <c r="A46" s="70"/>
      <c r="B46" s="68">
        <f ca="1">+'N° de Obs.'!M13</f>
        <v>95</v>
      </c>
      <c r="C46" s="68">
        <f ca="1">+'N° de Obs.'!N13</f>
        <v>7484</v>
      </c>
      <c r="D46" s="68">
        <f ca="1">+'N° de Obs.'!O13</f>
        <v>7109.8</v>
      </c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82"/>
    </row>
    <row r="47" spans="1:19" ht="15.6" x14ac:dyDescent="0.3">
      <c r="A47" s="70"/>
      <c r="B47" s="68">
        <f ca="1">+'N° de Obs.'!M14</f>
        <v>90</v>
      </c>
      <c r="C47" s="68">
        <f ca="1">+'N° de Obs.'!N14</f>
        <v>7489</v>
      </c>
      <c r="D47" s="68">
        <f ca="1">+'N° de Obs.'!O14</f>
        <v>6740.1</v>
      </c>
      <c r="E47" s="70"/>
      <c r="F47" s="70"/>
      <c r="G47" s="70"/>
      <c r="H47" s="70"/>
      <c r="I47" s="70"/>
      <c r="J47" s="70"/>
      <c r="K47" s="70"/>
      <c r="L47" s="70"/>
      <c r="M47" s="70"/>
      <c r="N47" s="147" t="str">
        <f ca="1">IF(O45&lt;6,"Se puede continuar con el estudio","No se puede continuar con el estudio")</f>
        <v>Se puede continuar con el estudio</v>
      </c>
      <c r="O47" s="147"/>
      <c r="P47" s="70"/>
      <c r="Q47" s="70"/>
      <c r="R47" s="70"/>
      <c r="S47" s="82"/>
    </row>
    <row r="48" spans="1:19" ht="15.6" x14ac:dyDescent="0.3">
      <c r="A48" s="70"/>
      <c r="B48" s="68">
        <f ca="1">+'N° de Obs.'!M15</f>
        <v>105</v>
      </c>
      <c r="C48" s="68">
        <f ca="1">+'N° de Obs.'!N15</f>
        <v>7470</v>
      </c>
      <c r="D48" s="68">
        <f ca="1">+'N° de Obs.'!O15</f>
        <v>7843.5</v>
      </c>
      <c r="E48" s="70"/>
      <c r="F48" s="70"/>
      <c r="G48" s="70"/>
      <c r="H48" s="70"/>
      <c r="I48" s="70"/>
      <c r="J48" s="70"/>
      <c r="K48" s="70"/>
      <c r="L48" s="70"/>
      <c r="M48" s="70"/>
      <c r="N48" s="147"/>
      <c r="O48" s="147"/>
      <c r="P48" s="70"/>
      <c r="Q48" s="70"/>
      <c r="R48" s="70"/>
      <c r="S48" s="82"/>
    </row>
    <row r="49" spans="1:19" ht="15.6" x14ac:dyDescent="0.3">
      <c r="A49" s="70"/>
      <c r="B49" s="68">
        <f ca="1">+'N° de Obs.'!M16</f>
        <v>100</v>
      </c>
      <c r="C49" s="68">
        <f ca="1">+'N° de Obs.'!N16</f>
        <v>7562</v>
      </c>
      <c r="D49" s="68">
        <f ca="1">+'N° de Obs.'!O16</f>
        <v>7562</v>
      </c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82"/>
    </row>
    <row r="50" spans="1:19" ht="15.6" x14ac:dyDescent="0.3">
      <c r="A50" s="70"/>
      <c r="B50" s="68">
        <f ca="1">+'N° de Obs.'!M17</f>
        <v>105</v>
      </c>
      <c r="C50" s="68">
        <f ca="1">+'N° de Obs.'!N17</f>
        <v>7532</v>
      </c>
      <c r="D50" s="68">
        <f ca="1">+'N° de Obs.'!O17</f>
        <v>7908.6</v>
      </c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82"/>
    </row>
    <row r="51" spans="1:19" ht="15.6" x14ac:dyDescent="0.3">
      <c r="A51" s="70"/>
      <c r="B51" s="68">
        <f ca="1">+'N° de Obs.'!M18</f>
        <v>100</v>
      </c>
      <c r="C51" s="68">
        <f ca="1">+'N° de Obs.'!N18</f>
        <v>7555</v>
      </c>
      <c r="D51" s="68">
        <f ca="1">+'N° de Obs.'!O18</f>
        <v>7555</v>
      </c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82"/>
    </row>
    <row r="52" spans="1:19" ht="15.6" x14ac:dyDescent="0.3">
      <c r="A52" s="70"/>
      <c r="B52" s="68">
        <f ca="1">+'N° de Obs.'!M19</f>
        <v>95</v>
      </c>
      <c r="C52" s="68">
        <f ca="1">+'N° de Obs.'!N19</f>
        <v>7464</v>
      </c>
      <c r="D52" s="68">
        <f ca="1">+'N° de Obs.'!O19</f>
        <v>7090.8</v>
      </c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82"/>
    </row>
    <row r="53" spans="1:19" ht="15.6" x14ac:dyDescent="0.3">
      <c r="A53" s="70"/>
      <c r="B53" s="68">
        <f ca="1">+'N° de Obs.'!M20</f>
        <v>100</v>
      </c>
      <c r="C53" s="68">
        <f ca="1">+'N° de Obs.'!N20</f>
        <v>7450</v>
      </c>
      <c r="D53" s="68">
        <f ca="1">+'N° de Obs.'!O20</f>
        <v>7450</v>
      </c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82"/>
    </row>
    <row r="54" spans="1:19" ht="15.6" x14ac:dyDescent="0.3">
      <c r="A54" s="70"/>
      <c r="B54" s="68">
        <f ca="1">+'N° de Obs.'!M21</f>
        <v>100</v>
      </c>
      <c r="C54" s="68">
        <f ca="1">+'N° de Obs.'!N21</f>
        <v>7403</v>
      </c>
      <c r="D54" s="68">
        <f ca="1">+'N° de Obs.'!O21</f>
        <v>7403</v>
      </c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82"/>
    </row>
    <row r="55" spans="1:19" ht="15.6" x14ac:dyDescent="0.3">
      <c r="A55" s="70"/>
      <c r="B55" s="68">
        <f ca="1">+'N° de Obs.'!M22</f>
        <v>105</v>
      </c>
      <c r="C55" s="68">
        <f ca="1">+'N° de Obs.'!N22</f>
        <v>7452</v>
      </c>
      <c r="D55" s="68">
        <f ca="1">+'N° de Obs.'!O22</f>
        <v>7824.6</v>
      </c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82"/>
    </row>
    <row r="56" spans="1:19" ht="15.6" x14ac:dyDescent="0.3">
      <c r="A56" s="70"/>
      <c r="B56" s="68">
        <f ca="1">+'N° de Obs.'!M23</f>
        <v>100</v>
      </c>
      <c r="C56" s="68">
        <f ca="1">+'N° de Obs.'!N23</f>
        <v>7493</v>
      </c>
      <c r="D56" s="68">
        <f ca="1">+'N° de Obs.'!O23</f>
        <v>7493</v>
      </c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82"/>
    </row>
    <row r="57" spans="1:19" ht="15.6" x14ac:dyDescent="0.3">
      <c r="A57" s="70"/>
      <c r="B57" s="68">
        <f ca="1">+'N° de Obs.'!M24</f>
        <v>105</v>
      </c>
      <c r="C57" s="68">
        <f ca="1">+'N° de Obs.'!N24</f>
        <v>7555</v>
      </c>
      <c r="D57" s="68">
        <f ca="1">+'N° de Obs.'!O24</f>
        <v>7932.75</v>
      </c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82"/>
    </row>
    <row r="58" spans="1:19" ht="15.6" x14ac:dyDescent="0.3">
      <c r="A58" s="70"/>
      <c r="B58" s="68">
        <f ca="1">+'N° de Obs.'!M25</f>
        <v>90</v>
      </c>
      <c r="C58" s="68">
        <f ca="1">+'N° de Obs.'!N25</f>
        <v>7477</v>
      </c>
      <c r="D58" s="68">
        <f ca="1">+'N° de Obs.'!O25</f>
        <v>6729.3</v>
      </c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82"/>
    </row>
    <row r="59" spans="1:19" ht="15.6" x14ac:dyDescent="0.3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82"/>
    </row>
    <row r="60" spans="1:19" ht="15.6" x14ac:dyDescent="0.3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82"/>
    </row>
    <row r="61" spans="1:19" ht="15.6" x14ac:dyDescent="0.3">
      <c r="A61" s="70"/>
      <c r="B61" s="70"/>
      <c r="C61" s="70"/>
      <c r="D61" s="68" t="s">
        <v>23</v>
      </c>
      <c r="E61" s="68">
        <f ca="1">COUNTA(C39:C58)</f>
        <v>20</v>
      </c>
      <c r="F61" s="70"/>
      <c r="G61" s="70"/>
      <c r="H61" s="68">
        <f ca="1">MIN(D39:D58)</f>
        <v>6729.3</v>
      </c>
      <c r="I61" s="66">
        <v>100</v>
      </c>
      <c r="J61" s="89" t="s">
        <v>8</v>
      </c>
      <c r="K61" s="70"/>
      <c r="L61" s="68" t="s">
        <v>105</v>
      </c>
      <c r="M61" s="68">
        <f ca="1">ROUND(MIN(D39:D58),0)</f>
        <v>6729</v>
      </c>
      <c r="N61" s="70"/>
      <c r="O61" s="70"/>
      <c r="P61" s="70"/>
      <c r="Q61" s="70"/>
      <c r="R61" s="70"/>
      <c r="S61" s="82"/>
    </row>
    <row r="62" spans="1:19" ht="15.6" x14ac:dyDescent="0.3">
      <c r="A62" s="70"/>
      <c r="B62" s="70"/>
      <c r="C62" s="70"/>
      <c r="D62" s="70"/>
      <c r="E62" s="70"/>
      <c r="F62" s="70"/>
      <c r="G62" s="70"/>
      <c r="H62" s="65">
        <f ca="1">(I62*H61)/I61</f>
        <v>336.46499999999997</v>
      </c>
      <c r="I62" s="79">
        <v>5</v>
      </c>
      <c r="J62" s="81" t="s">
        <v>8</v>
      </c>
      <c r="K62" s="70"/>
      <c r="L62" s="68" t="s">
        <v>104</v>
      </c>
      <c r="M62" s="68">
        <f ca="1">ROUND(MAX(D39:D58),0)</f>
        <v>7933</v>
      </c>
      <c r="N62" s="70"/>
      <c r="O62" s="70"/>
      <c r="P62" s="70"/>
      <c r="Q62" s="70"/>
      <c r="R62" s="70"/>
      <c r="S62" s="82"/>
    </row>
    <row r="63" spans="1:19" ht="15.6" x14ac:dyDescent="0.3">
      <c r="A63" s="70"/>
      <c r="B63" s="146" t="s">
        <v>24</v>
      </c>
      <c r="C63" s="146"/>
      <c r="D63" s="146"/>
      <c r="E63" s="68">
        <f ca="1">ROUND(SUM(D39:D58)/E61,0)</f>
        <v>7399</v>
      </c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82"/>
    </row>
    <row r="64" spans="1:19" ht="15.6" x14ac:dyDescent="0.3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82"/>
    </row>
    <row r="65" spans="1:19" ht="15.6" x14ac:dyDescent="0.3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82"/>
    </row>
    <row r="66" spans="1:19" x14ac:dyDescent="0.3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</row>
    <row r="67" spans="1:19" x14ac:dyDescent="0.3"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</row>
  </sheetData>
  <mergeCells count="9">
    <mergeCell ref="D36:E36"/>
    <mergeCell ref="B29:D29"/>
    <mergeCell ref="B63:D63"/>
    <mergeCell ref="N47:O48"/>
    <mergeCell ref="Q1:S4"/>
    <mergeCell ref="N13:O14"/>
    <mergeCell ref="Q10:Q11"/>
    <mergeCell ref="R12:S13"/>
    <mergeCell ref="D2:E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20"/>
  <sheetViews>
    <sheetView showGridLines="0" topLeftCell="C1" zoomScaleNormal="100" workbookViewId="0">
      <selection activeCell="Q25" sqref="Q25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104" t="s">
        <v>28</v>
      </c>
      <c r="E7" s="62" t="s">
        <v>30</v>
      </c>
      <c r="F7" s="104" t="s">
        <v>132</v>
      </c>
      <c r="G7" s="107" t="s">
        <v>31</v>
      </c>
      <c r="H7" s="107" t="s">
        <v>133</v>
      </c>
      <c r="I7" s="107" t="s">
        <v>134</v>
      </c>
      <c r="J7" s="107" t="s">
        <v>29</v>
      </c>
      <c r="K7" s="107" t="s">
        <v>135</v>
      </c>
      <c r="L7" s="107" t="s">
        <v>136</v>
      </c>
      <c r="M7" s="107" t="s">
        <v>137</v>
      </c>
      <c r="N7" s="107" t="s">
        <v>138</v>
      </c>
      <c r="O7" s="97" t="s">
        <v>139</v>
      </c>
      <c r="P7" s="62" t="s">
        <v>82</v>
      </c>
      <c r="Q7" s="97" t="s">
        <v>32</v>
      </c>
      <c r="R7" s="62" t="s">
        <v>33</v>
      </c>
    </row>
    <row r="8" spans="4:18" ht="30" customHeight="1" x14ac:dyDescent="0.3">
      <c r="D8" s="51" t="str">
        <f>+'Elementos de la operación'!D3</f>
        <v>Posicionar media luna a espalda</v>
      </c>
      <c r="E8" s="106">
        <v>0.05</v>
      </c>
      <c r="F8" s="108">
        <v>0.05</v>
      </c>
      <c r="G8" s="105">
        <v>0.02</v>
      </c>
      <c r="H8" s="105">
        <v>0.02</v>
      </c>
      <c r="I8" s="105">
        <v>0.02</v>
      </c>
      <c r="J8" s="105">
        <v>0.02</v>
      </c>
      <c r="K8" s="105">
        <v>0</v>
      </c>
      <c r="L8" s="105">
        <v>0</v>
      </c>
      <c r="M8" s="105">
        <v>0</v>
      </c>
      <c r="N8" s="105">
        <v>0</v>
      </c>
      <c r="O8" s="109">
        <v>0.02</v>
      </c>
      <c r="P8" s="106">
        <v>0</v>
      </c>
      <c r="Q8" s="98">
        <f>(SUM(E8:P8))</f>
        <v>0.19999999999999998</v>
      </c>
      <c r="R8" s="99">
        <f>Q8+1</f>
        <v>1.2</v>
      </c>
    </row>
    <row r="9" spans="4:18" ht="30" customHeight="1" x14ac:dyDescent="0.3">
      <c r="D9" s="52" t="str">
        <f>+'Elementos de la operación'!D4</f>
        <v>Pega media luna</v>
      </c>
      <c r="E9" s="100">
        <v>0.05</v>
      </c>
      <c r="F9" s="110">
        <v>0.05</v>
      </c>
      <c r="G9" s="111">
        <v>0.02</v>
      </c>
      <c r="H9" s="111">
        <v>0.02</v>
      </c>
      <c r="I9" s="111">
        <v>0.02</v>
      </c>
      <c r="J9" s="111">
        <v>0.02</v>
      </c>
      <c r="K9" s="111">
        <v>0</v>
      </c>
      <c r="L9" s="111">
        <v>0</v>
      </c>
      <c r="M9" s="111">
        <v>0</v>
      </c>
      <c r="N9" s="111">
        <v>0</v>
      </c>
      <c r="O9" s="101">
        <v>0.02</v>
      </c>
      <c r="P9" s="100">
        <v>0</v>
      </c>
      <c r="Q9" s="102">
        <f t="shared" ref="Q9" si="0">(SUM(E9:P9))</f>
        <v>0.19999999999999998</v>
      </c>
      <c r="R9" s="103">
        <f t="shared" ref="R9" si="1">Q9+1</f>
        <v>1.2</v>
      </c>
    </row>
    <row r="10" spans="4:18" ht="15" customHeight="1" x14ac:dyDescent="0.3"/>
    <row r="20" spans="10:10" x14ac:dyDescent="0.3">
      <c r="J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R53"/>
  <sheetViews>
    <sheetView tabSelected="1" zoomScaleNormal="100" workbookViewId="0">
      <selection activeCell="M40" sqref="M40"/>
    </sheetView>
  </sheetViews>
  <sheetFormatPr baseColWidth="10" defaultRowHeight="14.4" x14ac:dyDescent="0.3"/>
  <cols>
    <col min="2" max="2" width="18.44140625" customWidth="1"/>
    <col min="4" max="4" width="19.6640625" customWidth="1"/>
    <col min="5" max="5" width="15.5546875" customWidth="1"/>
    <col min="6" max="6" width="19.88671875" customWidth="1"/>
    <col min="7" max="7" width="20.109375" bestFit="1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8" ht="15.6" x14ac:dyDescent="0.3">
      <c r="D2" s="19"/>
      <c r="E2" s="20"/>
      <c r="F2" s="19"/>
      <c r="G2" s="19"/>
    </row>
    <row r="3" spans="1:18" ht="15.6" x14ac:dyDescent="0.3">
      <c r="D3" s="19"/>
      <c r="E3" s="20"/>
      <c r="F3" s="19"/>
      <c r="G3" s="19"/>
    </row>
    <row r="4" spans="1:18" ht="15.6" customHeight="1" x14ac:dyDescent="0.3">
      <c r="B4" s="18" t="s">
        <v>95</v>
      </c>
      <c r="D4" s="19"/>
      <c r="E4" t="s">
        <v>97</v>
      </c>
      <c r="F4" s="19"/>
      <c r="G4" s="124" t="s">
        <v>98</v>
      </c>
      <c r="H4" s="124"/>
      <c r="I4" s="124"/>
    </row>
    <row r="5" spans="1:18" ht="15.6" x14ac:dyDescent="0.3">
      <c r="B5" t="str">
        <f>+'Elementos de la operación'!B3</f>
        <v>Pegar media luna</v>
      </c>
      <c r="D5" s="58"/>
      <c r="E5" t="s">
        <v>99</v>
      </c>
      <c r="F5" s="19"/>
      <c r="G5" s="58"/>
    </row>
    <row r="6" spans="1:18" s="70" customFormat="1" ht="15.6" x14ac:dyDescent="0.3">
      <c r="D6" s="61"/>
      <c r="E6" s="61"/>
      <c r="F6" s="61"/>
      <c r="G6" s="61"/>
    </row>
    <row r="7" spans="1:18" s="70" customFormat="1" ht="15.6" x14ac:dyDescent="0.3"/>
    <row r="8" spans="1:18" ht="15.6" x14ac:dyDescent="0.3">
      <c r="A8" s="70"/>
      <c r="B8" s="152" t="s">
        <v>28</v>
      </c>
      <c r="C8" s="152" t="s">
        <v>40</v>
      </c>
      <c r="D8" s="152" t="s">
        <v>100</v>
      </c>
      <c r="E8" s="152" t="s">
        <v>33</v>
      </c>
      <c r="F8" s="154" t="s">
        <v>34</v>
      </c>
      <c r="G8" s="62" t="s">
        <v>35</v>
      </c>
      <c r="H8" s="62" t="s">
        <v>36</v>
      </c>
      <c r="I8" s="62" t="s">
        <v>37</v>
      </c>
      <c r="J8" s="151" t="s">
        <v>38</v>
      </c>
      <c r="K8" s="151" t="s">
        <v>39</v>
      </c>
      <c r="L8" s="151" t="s">
        <v>42</v>
      </c>
      <c r="M8" s="70"/>
      <c r="N8" s="70"/>
      <c r="O8" s="70"/>
      <c r="P8" s="70"/>
      <c r="Q8" s="70"/>
      <c r="R8" s="70"/>
    </row>
    <row r="9" spans="1:18" ht="15.6" x14ac:dyDescent="0.3">
      <c r="A9" s="70"/>
      <c r="B9" s="153"/>
      <c r="C9" s="153"/>
      <c r="D9" s="153"/>
      <c r="E9" s="153"/>
      <c r="F9" s="155"/>
      <c r="G9" s="151" t="str">
        <f>+CONCATENATE("POR ",UPPER(B5))</f>
        <v>POR PEGAR MEDIA LUNA</v>
      </c>
      <c r="H9" s="151"/>
      <c r="I9" s="151"/>
      <c r="J9" s="151"/>
      <c r="K9" s="151"/>
      <c r="L9" s="151"/>
      <c r="M9" s="70"/>
      <c r="N9" s="70"/>
      <c r="O9" s="70"/>
      <c r="P9" s="70"/>
      <c r="Q9" s="70"/>
      <c r="R9" s="70"/>
    </row>
    <row r="10" spans="1:18" s="70" customFormat="1" ht="28.95" customHeight="1" x14ac:dyDescent="0.3">
      <c r="B10" s="118" t="str">
        <f>+'Elementos de la operación'!D3</f>
        <v>Posicionar media luna a espalda</v>
      </c>
      <c r="C10" s="118" t="s">
        <v>36</v>
      </c>
      <c r="D10" s="118">
        <f ca="1">+'Metodo analitico indirecto'!E29</f>
        <v>1135</v>
      </c>
      <c r="E10" s="119">
        <f>+Suplementos!R8</f>
        <v>1.2</v>
      </c>
      <c r="F10" s="118">
        <f ca="1">D10*E10</f>
        <v>1362</v>
      </c>
      <c r="G10" s="120">
        <v>1</v>
      </c>
      <c r="H10" s="112">
        <f t="shared" ref="H10:H11" ca="1" si="0">+IFERROR(IF(VLOOKUP("tmp",C10,1)="tmp",F10,"")*G10,"")</f>
        <v>1362</v>
      </c>
      <c r="I10" s="112" t="str">
        <f t="shared" ref="I10:I11" si="1">+IFERROR(IF(VLOOKUP("ttm",C10,1)="ttm",F10,"")*G10,"")</f>
        <v/>
      </c>
      <c r="J10" s="113">
        <f ca="1">+SUM(H10:I10)</f>
        <v>1362</v>
      </c>
      <c r="K10" s="113">
        <f ca="1">J10*0.75</f>
        <v>1021.5</v>
      </c>
      <c r="L10" s="113">
        <f ca="1">J10*0.8</f>
        <v>1089.6000000000001</v>
      </c>
    </row>
    <row r="11" spans="1:18" s="70" customFormat="1" ht="28.95" customHeight="1" x14ac:dyDescent="0.3">
      <c r="B11" s="121" t="str">
        <f>+'Elementos de la operación'!D4</f>
        <v>Pega media luna</v>
      </c>
      <c r="C11" s="121" t="s">
        <v>37</v>
      </c>
      <c r="D11" s="121">
        <f ca="1">+'Metodo analitico indirecto'!E63</f>
        <v>7399</v>
      </c>
      <c r="E11" s="122">
        <f>+Suplementos!R9</f>
        <v>1.2</v>
      </c>
      <c r="F11" s="121">
        <f t="shared" ref="F11" ca="1" si="2">D11*E11</f>
        <v>8878.7999999999993</v>
      </c>
      <c r="G11" s="123">
        <v>1</v>
      </c>
      <c r="H11" s="112" t="str">
        <f t="shared" si="0"/>
        <v/>
      </c>
      <c r="I11" s="112">
        <f t="shared" ca="1" si="1"/>
        <v>8878.7999999999993</v>
      </c>
      <c r="J11" s="112">
        <f t="shared" ref="J11" ca="1" si="3">+SUM(H11:I11)</f>
        <v>8878.7999999999993</v>
      </c>
      <c r="K11" s="112">
        <f t="shared" ref="K11" ca="1" si="4">J11*0.75</f>
        <v>6659.0999999999995</v>
      </c>
      <c r="L11" s="112">
        <f t="shared" ref="L11" ca="1" si="5">J11*0.8</f>
        <v>7103.04</v>
      </c>
    </row>
    <row r="12" spans="1:18" ht="15.6" customHeight="1" x14ac:dyDescent="0.3">
      <c r="A12" s="70"/>
      <c r="B12" s="148" t="s">
        <v>101</v>
      </c>
      <c r="C12" s="149"/>
      <c r="D12" s="149"/>
      <c r="E12" s="149"/>
      <c r="F12" s="149"/>
      <c r="G12" s="150"/>
      <c r="H12" s="113">
        <f ca="1">SUM(H10:H11)</f>
        <v>1362</v>
      </c>
      <c r="I12" s="113">
        <f ca="1">SUM(I10:I11)</f>
        <v>8878.7999999999993</v>
      </c>
      <c r="J12" s="113">
        <f ca="1">SUM(J10:J11)</f>
        <v>10240.799999999999</v>
      </c>
      <c r="K12" s="113"/>
      <c r="L12" s="113"/>
      <c r="M12" s="70"/>
      <c r="N12" s="70"/>
    </row>
    <row r="13" spans="1:18" ht="15.6" customHeight="1" x14ac:dyDescent="0.3">
      <c r="A13" s="70"/>
      <c r="B13" s="148" t="s">
        <v>102</v>
      </c>
      <c r="C13" s="149"/>
      <c r="D13" s="149"/>
      <c r="E13" s="149"/>
      <c r="F13" s="149"/>
      <c r="G13" s="150"/>
      <c r="H13" s="113">
        <f ca="1">H12*0.75</f>
        <v>1021.5</v>
      </c>
      <c r="I13" s="113">
        <f ca="1">I12*0.75</f>
        <v>6659.0999999999995</v>
      </c>
      <c r="J13" s="113"/>
      <c r="K13" s="113">
        <f ca="1">SUM(K10:K11)</f>
        <v>7680.5999999999995</v>
      </c>
      <c r="L13" s="113"/>
      <c r="M13" s="70"/>
      <c r="N13" s="70"/>
    </row>
    <row r="14" spans="1:18" ht="15.6" customHeight="1" x14ac:dyDescent="0.3">
      <c r="A14" s="70"/>
      <c r="B14" s="148" t="s">
        <v>41</v>
      </c>
      <c r="C14" s="149"/>
      <c r="D14" s="149"/>
      <c r="E14" s="149"/>
      <c r="F14" s="149"/>
      <c r="G14" s="150"/>
      <c r="H14" s="114">
        <f ca="1">H12*0.8</f>
        <v>1089.6000000000001</v>
      </c>
      <c r="I14" s="114">
        <f ca="1">I12*0.8</f>
        <v>7103.04</v>
      </c>
      <c r="J14" s="114"/>
      <c r="K14" s="114"/>
      <c r="L14" s="114">
        <f ca="1">SUM(H14:I14)</f>
        <v>8192.64</v>
      </c>
      <c r="M14" s="70"/>
      <c r="N14" s="70"/>
    </row>
    <row r="15" spans="1:18" ht="14.4" customHeight="1" x14ac:dyDescent="0.3">
      <c r="A15" s="70"/>
      <c r="B15" s="95"/>
      <c r="C15" s="95"/>
      <c r="D15" s="95"/>
      <c r="E15" s="95"/>
      <c r="F15" s="95"/>
      <c r="G15" s="95"/>
      <c r="H15" s="70"/>
      <c r="I15" s="70"/>
      <c r="J15" s="70"/>
      <c r="K15" s="70"/>
      <c r="L15" s="70"/>
      <c r="M15" s="70"/>
      <c r="N15" s="70"/>
    </row>
    <row r="16" spans="1:18" ht="14.4" customHeight="1" x14ac:dyDescent="0.3">
      <c r="A16" s="70"/>
      <c r="B16" s="70"/>
      <c r="C16" s="70"/>
      <c r="D16" s="70"/>
      <c r="E16" s="70"/>
      <c r="F16" s="70"/>
      <c r="G16" s="70"/>
      <c r="H16" s="70"/>
      <c r="I16" s="68"/>
      <c r="J16" s="70"/>
      <c r="K16" s="70"/>
      <c r="L16" s="70"/>
      <c r="M16" s="70"/>
      <c r="N16" s="70"/>
    </row>
    <row r="17" spans="1:14" ht="15.6" x14ac:dyDescent="0.3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</row>
    <row r="18" spans="1:14" ht="15.6" x14ac:dyDescent="0.3">
      <c r="A18" s="70"/>
      <c r="B18" s="70"/>
      <c r="C18" s="70"/>
      <c r="D18" s="70"/>
      <c r="E18" s="152" t="s">
        <v>43</v>
      </c>
      <c r="F18" s="95" t="s">
        <v>45</v>
      </c>
      <c r="G18" s="115">
        <f ca="1">SUM(H12:I12)</f>
        <v>10240.799999999999</v>
      </c>
      <c r="H18" s="70"/>
      <c r="I18" s="70"/>
      <c r="J18" s="70"/>
      <c r="K18" s="70"/>
      <c r="L18" s="70"/>
      <c r="M18" s="70"/>
      <c r="N18" s="70"/>
    </row>
    <row r="19" spans="1:14" ht="15.6" x14ac:dyDescent="0.3">
      <c r="A19" s="70"/>
      <c r="B19" s="70"/>
      <c r="C19" s="70"/>
      <c r="D19" s="70"/>
      <c r="E19" s="156"/>
      <c r="F19" s="70" t="s">
        <v>46</v>
      </c>
      <c r="G19" s="116">
        <f ca="1">SUM(H13:I13)</f>
        <v>7680.5999999999995</v>
      </c>
      <c r="H19" s="70"/>
      <c r="I19" s="70"/>
      <c r="J19" s="70"/>
      <c r="K19" s="70"/>
      <c r="L19" s="70"/>
      <c r="M19" s="70"/>
      <c r="N19" s="70"/>
    </row>
    <row r="20" spans="1:14" ht="15.6" x14ac:dyDescent="0.3">
      <c r="A20" s="70"/>
      <c r="B20" s="70"/>
      <c r="C20" s="70"/>
      <c r="D20" s="70"/>
      <c r="E20" s="153"/>
      <c r="F20" s="80" t="s">
        <v>29</v>
      </c>
      <c r="G20" s="117">
        <f ca="1">SUM(H14:I14)</f>
        <v>8192.64</v>
      </c>
      <c r="H20" s="70"/>
      <c r="I20" s="70"/>
      <c r="J20" s="70"/>
      <c r="K20" s="70"/>
      <c r="L20" s="70"/>
      <c r="M20" s="70"/>
      <c r="N20" s="70"/>
    </row>
    <row r="21" spans="1:14" ht="15.6" x14ac:dyDescent="0.3">
      <c r="A21" s="70"/>
      <c r="B21" s="70"/>
      <c r="C21" s="70"/>
      <c r="D21" s="70"/>
      <c r="E21" s="152" t="s">
        <v>44</v>
      </c>
      <c r="F21" s="95" t="s">
        <v>45</v>
      </c>
      <c r="G21" s="115">
        <f ca="1">I12</f>
        <v>8878.7999999999993</v>
      </c>
      <c r="H21" s="70"/>
      <c r="I21" s="70"/>
      <c r="J21" s="70"/>
      <c r="K21" s="70"/>
      <c r="L21" s="70"/>
      <c r="M21" s="70"/>
      <c r="N21" s="70"/>
    </row>
    <row r="22" spans="1:14" ht="15.6" x14ac:dyDescent="0.3">
      <c r="A22" s="70"/>
      <c r="B22" s="70"/>
      <c r="C22" s="70"/>
      <c r="D22" s="70"/>
      <c r="E22" s="156"/>
      <c r="F22" s="70" t="s">
        <v>46</v>
      </c>
      <c r="G22" s="116">
        <f ca="1">I13</f>
        <v>6659.0999999999995</v>
      </c>
      <c r="H22" s="70"/>
      <c r="I22" s="70"/>
      <c r="J22" s="70"/>
      <c r="K22" s="70"/>
      <c r="L22" s="70"/>
      <c r="M22" s="70"/>
      <c r="N22" s="70"/>
    </row>
    <row r="23" spans="1:14" ht="15.6" x14ac:dyDescent="0.3">
      <c r="A23" s="70"/>
      <c r="B23" s="70"/>
      <c r="C23" s="70"/>
      <c r="D23" s="70"/>
      <c r="E23" s="153"/>
      <c r="F23" s="80" t="s">
        <v>29</v>
      </c>
      <c r="G23" s="117">
        <f ca="1">I14</f>
        <v>7103.04</v>
      </c>
      <c r="H23" s="70"/>
      <c r="I23" s="70"/>
      <c r="J23" s="70"/>
      <c r="K23" s="70"/>
      <c r="L23" s="70"/>
      <c r="M23" s="70"/>
      <c r="N23" s="70"/>
    </row>
    <row r="24" spans="1:14" ht="15.6" x14ac:dyDescent="0.3">
      <c r="A24" s="70"/>
      <c r="B24" s="70"/>
      <c r="C24" s="70"/>
      <c r="D24" s="70"/>
      <c r="E24" s="156" t="s">
        <v>103</v>
      </c>
      <c r="F24" s="70" t="s">
        <v>45</v>
      </c>
      <c r="G24" s="116">
        <f ca="1">SUM(H12:I12)</f>
        <v>10240.799999999999</v>
      </c>
      <c r="H24" s="70"/>
      <c r="I24" s="70"/>
      <c r="J24" s="70"/>
      <c r="K24" s="70"/>
      <c r="L24" s="70"/>
      <c r="M24" s="70"/>
      <c r="N24" s="70"/>
    </row>
    <row r="25" spans="1:14" ht="15.6" x14ac:dyDescent="0.3">
      <c r="A25" s="70"/>
      <c r="B25" s="70"/>
      <c r="C25" s="70"/>
      <c r="D25" s="70"/>
      <c r="E25" s="156"/>
      <c r="F25" s="70" t="s">
        <v>46</v>
      </c>
      <c r="G25" s="116">
        <f ca="1">SUM(H13:I13)</f>
        <v>7680.5999999999995</v>
      </c>
      <c r="H25" s="70"/>
      <c r="I25" s="70"/>
      <c r="J25" s="70"/>
      <c r="K25" s="70"/>
      <c r="L25" s="70"/>
      <c r="M25" s="70"/>
      <c r="N25" s="70"/>
    </row>
    <row r="26" spans="1:14" ht="15.6" x14ac:dyDescent="0.3">
      <c r="A26" s="70"/>
      <c r="B26" s="70"/>
      <c r="C26" s="70"/>
      <c r="D26" s="70"/>
      <c r="E26" s="153"/>
      <c r="F26" s="80" t="s">
        <v>29</v>
      </c>
      <c r="G26" s="117">
        <f ca="1">SUM(H14:I14)</f>
        <v>8192.64</v>
      </c>
      <c r="H26" s="70"/>
      <c r="I26" s="70"/>
      <c r="J26" s="70"/>
      <c r="K26" s="70"/>
      <c r="L26" s="70"/>
      <c r="M26" s="70"/>
      <c r="N26" s="70"/>
    </row>
    <row r="27" spans="1:14" ht="15.6" x14ac:dyDescent="0.3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</row>
    <row r="28" spans="1:14" ht="15.6" x14ac:dyDescent="0.3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</row>
    <row r="29" spans="1:14" ht="15.6" x14ac:dyDescent="0.3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</row>
    <row r="30" spans="1:14" ht="15.6" x14ac:dyDescent="0.3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</row>
    <row r="31" spans="1:14" ht="15.6" x14ac:dyDescent="0.3">
      <c r="A31" s="70"/>
      <c r="B31" s="70"/>
      <c r="C31" s="70"/>
      <c r="D31" s="154" t="s">
        <v>141</v>
      </c>
      <c r="E31" s="152" t="s">
        <v>47</v>
      </c>
      <c r="F31" s="152" t="s">
        <v>48</v>
      </c>
      <c r="G31" s="152" t="s">
        <v>140</v>
      </c>
      <c r="H31" s="70"/>
      <c r="I31" s="70"/>
      <c r="J31" s="70"/>
      <c r="K31" s="70"/>
      <c r="L31" s="70"/>
      <c r="M31" s="70"/>
      <c r="N31" s="70"/>
    </row>
    <row r="32" spans="1:14" ht="15.6" x14ac:dyDescent="0.3">
      <c r="A32" s="70"/>
      <c r="B32" s="70"/>
      <c r="C32" s="70"/>
      <c r="D32" s="155"/>
      <c r="E32" s="153"/>
      <c r="F32" s="153"/>
      <c r="G32" s="153"/>
      <c r="H32" s="70"/>
      <c r="I32" s="70"/>
      <c r="J32" s="70"/>
      <c r="K32" s="70"/>
      <c r="L32" s="70"/>
      <c r="M32" s="70"/>
      <c r="N32" s="70"/>
    </row>
    <row r="33" spans="1:14" ht="16.95" customHeight="1" x14ac:dyDescent="0.3">
      <c r="A33" s="70"/>
      <c r="B33" s="70"/>
      <c r="C33" s="70"/>
      <c r="D33" s="157" t="s">
        <v>117</v>
      </c>
      <c r="E33" s="158">
        <f ca="1">360000/G24</f>
        <v>35.153503632528711</v>
      </c>
      <c r="F33" s="158">
        <f ca="1">360000/G25</f>
        <v>46.871338176704946</v>
      </c>
      <c r="G33" s="158">
        <f ca="1">360000/G26</f>
        <v>43.941879540660892</v>
      </c>
      <c r="H33" s="70"/>
      <c r="I33" s="70"/>
      <c r="J33" s="70"/>
      <c r="K33" s="70"/>
      <c r="L33" s="70"/>
      <c r="M33" s="70"/>
      <c r="N33" s="70"/>
    </row>
    <row r="34" spans="1:14" ht="16.95" customHeight="1" x14ac:dyDescent="0.3">
      <c r="A34" s="70"/>
      <c r="B34" s="70"/>
      <c r="C34" s="70"/>
      <c r="D34" s="157"/>
      <c r="E34" s="158"/>
      <c r="F34" s="158"/>
      <c r="G34" s="158"/>
      <c r="H34" s="70"/>
      <c r="I34" s="70"/>
      <c r="J34" s="70"/>
      <c r="K34" s="70"/>
      <c r="L34" s="70"/>
      <c r="M34" s="70"/>
      <c r="N34" s="70"/>
    </row>
    <row r="35" spans="1:14" ht="16.95" customHeight="1" x14ac:dyDescent="0.3">
      <c r="A35" s="70"/>
      <c r="B35" s="70"/>
      <c r="C35" s="70"/>
      <c r="D35" s="157" t="s">
        <v>49</v>
      </c>
      <c r="E35" s="158">
        <f ca="1">((G18*100)/G24)</f>
        <v>100</v>
      </c>
      <c r="F35" s="158">
        <f ca="1">((G19*100)/G25)</f>
        <v>100</v>
      </c>
      <c r="G35" s="158">
        <f ca="1">((G20*100)/G26)</f>
        <v>100</v>
      </c>
      <c r="H35" s="70"/>
      <c r="I35" s="70"/>
      <c r="J35" s="70"/>
      <c r="K35" s="70"/>
      <c r="L35" s="70"/>
      <c r="M35" s="70"/>
      <c r="N35" s="70"/>
    </row>
    <row r="36" spans="1:14" ht="16.95" customHeight="1" x14ac:dyDescent="0.3">
      <c r="A36" s="70"/>
      <c r="B36" s="70"/>
      <c r="C36" s="70"/>
      <c r="D36" s="157"/>
      <c r="E36" s="158"/>
      <c r="F36" s="158"/>
      <c r="G36" s="158"/>
      <c r="H36" s="70"/>
      <c r="I36" s="68"/>
      <c r="J36" s="70"/>
      <c r="K36" s="70"/>
      <c r="L36" s="70"/>
      <c r="M36" s="70"/>
      <c r="N36" s="70"/>
    </row>
    <row r="37" spans="1:14" ht="16.95" customHeight="1" x14ac:dyDescent="0.3">
      <c r="A37" s="70"/>
      <c r="B37" s="70"/>
      <c r="C37" s="70"/>
      <c r="D37" s="157" t="s">
        <v>50</v>
      </c>
      <c r="E37" s="158">
        <f ca="1">100/E35</f>
        <v>1</v>
      </c>
      <c r="F37" s="158">
        <f ca="1">100/F35</f>
        <v>1</v>
      </c>
      <c r="G37" s="158">
        <f ca="1">100/G35</f>
        <v>1</v>
      </c>
      <c r="H37" s="70"/>
      <c r="I37" s="70"/>
      <c r="J37" s="70"/>
      <c r="K37" s="70"/>
      <c r="L37" s="70"/>
      <c r="M37" s="70"/>
      <c r="N37" s="70"/>
    </row>
    <row r="38" spans="1:14" ht="16.95" customHeight="1" x14ac:dyDescent="0.3">
      <c r="A38" s="70"/>
      <c r="B38" s="70"/>
      <c r="C38" s="70"/>
      <c r="D38" s="157"/>
      <c r="E38" s="158"/>
      <c r="F38" s="158"/>
      <c r="G38" s="158"/>
      <c r="H38" s="70"/>
      <c r="I38" s="70"/>
      <c r="J38" s="70"/>
      <c r="K38" s="70"/>
      <c r="L38" s="70"/>
      <c r="M38" s="70"/>
      <c r="N38" s="70"/>
    </row>
    <row r="39" spans="1:14" ht="16.95" customHeight="1" x14ac:dyDescent="0.3">
      <c r="A39" s="70"/>
      <c r="B39" s="70"/>
      <c r="C39" s="70"/>
      <c r="D39" s="157" t="s">
        <v>51</v>
      </c>
      <c r="E39" s="158">
        <f ca="1">(G21*100)/G24</f>
        <v>86.700257792359963</v>
      </c>
      <c r="F39" s="158">
        <f ca="1">(G22*100)/G25</f>
        <v>86.700257792359977</v>
      </c>
      <c r="G39" s="158">
        <f ca="1">(G23*100)/G26</f>
        <v>86.700257792359977</v>
      </c>
      <c r="H39" s="70"/>
      <c r="I39" s="70"/>
      <c r="J39" s="70"/>
      <c r="K39" s="70"/>
      <c r="L39" s="70"/>
      <c r="M39" s="70"/>
      <c r="N39" s="70"/>
    </row>
    <row r="40" spans="1:14" ht="16.95" customHeight="1" x14ac:dyDescent="0.3">
      <c r="A40" s="70"/>
      <c r="B40" s="70"/>
      <c r="C40" s="70"/>
      <c r="D40" s="157"/>
      <c r="E40" s="158"/>
      <c r="F40" s="158"/>
      <c r="G40" s="158"/>
      <c r="H40" s="70"/>
      <c r="I40" s="70"/>
      <c r="J40" s="70"/>
      <c r="K40" s="70"/>
      <c r="L40" s="70"/>
      <c r="M40" s="70"/>
      <c r="N40" s="70"/>
    </row>
    <row r="41" spans="1:14" ht="16.95" customHeight="1" x14ac:dyDescent="0.3">
      <c r="A41" s="70"/>
      <c r="B41" s="70"/>
      <c r="C41" s="70"/>
      <c r="D41" s="157" t="s">
        <v>118</v>
      </c>
      <c r="E41" s="158" t="s">
        <v>52</v>
      </c>
      <c r="F41" s="158">
        <f ca="1">IFERROR(360000/G22,"-")</f>
        <v>54.061359643195033</v>
      </c>
      <c r="G41" s="158" t="s">
        <v>52</v>
      </c>
      <c r="H41" s="70"/>
      <c r="I41" s="70"/>
      <c r="J41" s="70"/>
      <c r="K41" s="70"/>
      <c r="L41" s="70"/>
      <c r="M41" s="70"/>
      <c r="N41" s="70"/>
    </row>
    <row r="42" spans="1:14" ht="16.95" customHeight="1" x14ac:dyDescent="0.3">
      <c r="A42" s="70"/>
      <c r="B42" s="70"/>
      <c r="C42" s="70"/>
      <c r="D42" s="157"/>
      <c r="E42" s="158"/>
      <c r="F42" s="158"/>
      <c r="G42" s="158"/>
      <c r="H42" s="70"/>
      <c r="I42" s="70"/>
      <c r="J42" s="70"/>
      <c r="K42" s="70"/>
      <c r="L42" s="70"/>
      <c r="M42" s="70"/>
      <c r="N42" s="70"/>
    </row>
    <row r="43" spans="1:14" ht="16.95" customHeight="1" x14ac:dyDescent="0.3">
      <c r="A43" s="70"/>
      <c r="B43" s="70"/>
      <c r="C43" s="70"/>
      <c r="D43" s="157" t="s">
        <v>55</v>
      </c>
      <c r="E43" s="158" t="s">
        <v>52</v>
      </c>
      <c r="F43" s="158">
        <f ca="1">(12*G25*100)/'Error de vuelta a 0'!L9</f>
        <v>52.9453125</v>
      </c>
      <c r="G43" s="158" t="s">
        <v>52</v>
      </c>
      <c r="H43" s="70"/>
      <c r="I43" s="70"/>
      <c r="J43" s="70"/>
      <c r="K43" s="70"/>
      <c r="L43" s="70"/>
      <c r="M43" s="70"/>
      <c r="N43" s="70"/>
    </row>
    <row r="44" spans="1:14" ht="16.95" customHeight="1" x14ac:dyDescent="0.3">
      <c r="A44" s="70"/>
      <c r="B44" s="70"/>
      <c r="C44" s="70"/>
      <c r="D44" s="157"/>
      <c r="E44" s="158"/>
      <c r="F44" s="158"/>
      <c r="G44" s="158"/>
      <c r="H44" s="70"/>
      <c r="I44" s="70"/>
      <c r="J44" s="70"/>
      <c r="K44" s="70"/>
      <c r="L44" s="70"/>
      <c r="M44" s="70"/>
      <c r="N44" s="70"/>
    </row>
    <row r="45" spans="1:14" ht="16.95" customHeight="1" x14ac:dyDescent="0.3">
      <c r="A45" s="70"/>
      <c r="B45" s="70"/>
      <c r="C45" s="70"/>
      <c r="D45" s="157" t="s">
        <v>54</v>
      </c>
      <c r="E45" s="158" t="s">
        <v>52</v>
      </c>
      <c r="F45" s="158">
        <f ca="1">(12*G25*100)/'Error de vuelta a 0'!L8</f>
        <v>52.9453125</v>
      </c>
      <c r="G45" s="158" t="s">
        <v>52</v>
      </c>
      <c r="H45" s="70"/>
      <c r="I45" s="70"/>
      <c r="J45" s="70"/>
      <c r="K45" s="70"/>
      <c r="L45" s="70"/>
      <c r="M45" s="70"/>
      <c r="N45" s="70"/>
    </row>
    <row r="46" spans="1:14" ht="16.95" customHeight="1" x14ac:dyDescent="0.3">
      <c r="A46" s="70"/>
      <c r="B46" s="70"/>
      <c r="C46" s="70"/>
      <c r="D46" s="157"/>
      <c r="E46" s="158"/>
      <c r="F46" s="158"/>
      <c r="G46" s="158"/>
      <c r="H46" s="70"/>
      <c r="I46" s="70"/>
      <c r="J46" s="70"/>
      <c r="K46" s="70"/>
      <c r="L46" s="70"/>
      <c r="M46" s="70"/>
      <c r="N46" s="70"/>
    </row>
    <row r="47" spans="1:14" ht="16.95" customHeight="1" x14ac:dyDescent="0.3">
      <c r="A47" s="70"/>
      <c r="B47" s="70"/>
      <c r="C47" s="70"/>
      <c r="D47" s="157" t="s">
        <v>53</v>
      </c>
      <c r="E47" s="158" t="s">
        <v>52</v>
      </c>
      <c r="F47" s="158">
        <f ca="1">(E33*100)/F33</f>
        <v>75</v>
      </c>
      <c r="G47" s="158" t="s">
        <v>52</v>
      </c>
      <c r="H47" s="70"/>
      <c r="I47" s="70"/>
      <c r="J47" s="70"/>
      <c r="K47" s="70"/>
      <c r="L47" s="70"/>
      <c r="M47" s="70"/>
      <c r="N47" s="70"/>
    </row>
    <row r="48" spans="1:14" ht="16.95" customHeight="1" x14ac:dyDescent="0.3">
      <c r="A48" s="70"/>
      <c r="B48" s="70"/>
      <c r="C48" s="70"/>
      <c r="D48" s="159"/>
      <c r="E48" s="160"/>
      <c r="F48" s="160"/>
      <c r="G48" s="160"/>
      <c r="H48" s="70"/>
      <c r="I48" s="70"/>
      <c r="J48" s="70"/>
      <c r="K48" s="70"/>
      <c r="L48" s="70"/>
      <c r="M48" s="70"/>
      <c r="N48" s="70"/>
    </row>
    <row r="49" spans="1:14" ht="15.6" x14ac:dyDescent="0.3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</row>
    <row r="50" spans="1:14" ht="15.6" x14ac:dyDescent="0.3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</row>
    <row r="51" spans="1:14" ht="15.6" x14ac:dyDescent="0.3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25"/>
      <c r="M51" s="25"/>
    </row>
    <row r="52" spans="1:14" ht="15.6" x14ac:dyDescent="0.3">
      <c r="A52" s="70"/>
    </row>
    <row r="53" spans="1:14" ht="15.6" x14ac:dyDescent="0.3">
      <c r="A53" s="70"/>
    </row>
  </sheetData>
  <mergeCells count="52">
    <mergeCell ref="D47:D48"/>
    <mergeCell ref="E47:E48"/>
    <mergeCell ref="F47:F48"/>
    <mergeCell ref="G47:G48"/>
    <mergeCell ref="D43:D44"/>
    <mergeCell ref="E43:E44"/>
    <mergeCell ref="F43:F44"/>
    <mergeCell ref="G43:G44"/>
    <mergeCell ref="D45:D46"/>
    <mergeCell ref="E45:E46"/>
    <mergeCell ref="F45:F46"/>
    <mergeCell ref="G45:G46"/>
    <mergeCell ref="D39:D40"/>
    <mergeCell ref="E39:E40"/>
    <mergeCell ref="F39:F40"/>
    <mergeCell ref="G39:G40"/>
    <mergeCell ref="D41:D42"/>
    <mergeCell ref="E41:E42"/>
    <mergeCell ref="F41:F42"/>
    <mergeCell ref="G41:G42"/>
    <mergeCell ref="D35:D36"/>
    <mergeCell ref="E35:E36"/>
    <mergeCell ref="F35:F36"/>
    <mergeCell ref="G35:G36"/>
    <mergeCell ref="D37:D38"/>
    <mergeCell ref="E37:E38"/>
    <mergeCell ref="F37:F38"/>
    <mergeCell ref="G37:G38"/>
    <mergeCell ref="D31:D32"/>
    <mergeCell ref="E31:E32"/>
    <mergeCell ref="F31:F32"/>
    <mergeCell ref="G31:G32"/>
    <mergeCell ref="D33:D34"/>
    <mergeCell ref="E33:E34"/>
    <mergeCell ref="F33:F34"/>
    <mergeCell ref="G33:G34"/>
    <mergeCell ref="B14:G14"/>
    <mergeCell ref="E18:E20"/>
    <mergeCell ref="E21:E23"/>
    <mergeCell ref="E24:E26"/>
    <mergeCell ref="B13:G13"/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2022-09-14T02:55:11Z</dcterms:modified>
</cp:coreProperties>
</file>