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DUP PC\MedUp 2022\Fiscal Tiago\1.5 DR. RICARDO\PLANILHAS\"/>
    </mc:Choice>
  </mc:AlternateContent>
  <xr:revisionPtr revIDLastSave="0" documentId="13_ncr:1_{00B283FC-CAE4-495F-8664-39A4CCEBC050}" xr6:coauthVersionLast="47" xr6:coauthVersionMax="47" xr10:uidLastSave="{00000000-0000-0000-0000-000000000000}"/>
  <bookViews>
    <workbookView xWindow="-120" yWindow="-120" windowWidth="29040" windowHeight="15720" tabRatio="766" firstSheet="2" activeTab="6" xr2:uid="{00000000-000D-0000-FFFF-FFFF00000000}"/>
  </bookViews>
  <sheets>
    <sheet name="FLUXO DE CAIXA" sheetId="2" r:id="rId1"/>
    <sheet name="LIVRO CAIXA" sheetId="3" r:id="rId2"/>
    <sheet name="META" sheetId="4" r:id="rId3"/>
    <sheet name="Dash01" sheetId="1" r:id="rId4"/>
    <sheet name="Dash02" sheetId="9" r:id="rId5"/>
    <sheet name="Planejamento tributário" sheetId="7" r:id="rId6"/>
    <sheet name="Planejamento Trib 2" sheetId="13" r:id="rId7"/>
    <sheet name="Planilha2" sheetId="10" r:id="rId8"/>
    <sheet name="Comparação Regime" sheetId="8" r:id="rId9"/>
    <sheet name="Planilha1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3" l="1"/>
  <c r="M6" i="13" s="1"/>
  <c r="B14" i="13"/>
  <c r="B15" i="13"/>
  <c r="I22" i="13" l="1"/>
  <c r="H8" i="14"/>
  <c r="N7" i="13" l="1"/>
  <c r="L6" i="13" l="1"/>
  <c r="K6" i="13"/>
  <c r="J6" i="13"/>
  <c r="I6" i="13"/>
  <c r="H6" i="13"/>
  <c r="R4" i="13"/>
  <c r="H28" i="10" l="1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27" i="10"/>
  <c r="A23" i="1"/>
  <c r="E11" i="3"/>
  <c r="C22" i="3"/>
  <c r="B11" i="3"/>
  <c r="F7" i="13" l="1"/>
  <c r="F8" i="13"/>
  <c r="H17" i="8"/>
  <c r="I7" i="13" l="1"/>
  <c r="J4" i="13"/>
  <c r="M4" i="13"/>
  <c r="I4" i="13"/>
  <c r="L4" i="13"/>
  <c r="H4" i="13"/>
  <c r="K4" i="13"/>
  <c r="A25" i="1"/>
  <c r="R6" i="13" l="1"/>
  <c r="S5" i="13" s="1"/>
  <c r="D6" i="3"/>
  <c r="C43" i="10" s="1"/>
  <c r="D44" i="10" s="1"/>
  <c r="E6" i="3"/>
  <c r="C44" i="10" s="1"/>
  <c r="D45" i="10" s="1"/>
  <c r="F6" i="3"/>
  <c r="C45" i="10" s="1"/>
  <c r="D46" i="10" s="1"/>
  <c r="G6" i="3"/>
  <c r="C46" i="10" s="1"/>
  <c r="D47" i="10" s="1"/>
  <c r="H6" i="3"/>
  <c r="C47" i="10" s="1"/>
  <c r="D48" i="10" s="1"/>
  <c r="I6" i="3"/>
  <c r="C48" i="10" s="1"/>
  <c r="D49" i="10" s="1"/>
  <c r="J6" i="3"/>
  <c r="C49" i="10" s="1"/>
  <c r="D50" i="10" s="1"/>
  <c r="K6" i="3"/>
  <c r="C50" i="10" s="1"/>
  <c r="D51" i="10" s="1"/>
  <c r="L6" i="3"/>
  <c r="M6" i="3"/>
  <c r="C52" i="10" s="1"/>
  <c r="C6" i="3"/>
  <c r="C42" i="10" s="1"/>
  <c r="D43" i="10" s="1"/>
  <c r="C28" i="10"/>
  <c r="C29" i="10"/>
  <c r="C30" i="10"/>
  <c r="C31" i="10"/>
  <c r="C32" i="10"/>
  <c r="C33" i="10"/>
  <c r="C34" i="10"/>
  <c r="C27" i="10"/>
  <c r="B34" i="10"/>
  <c r="B33" i="10"/>
  <c r="B32" i="10"/>
  <c r="B31" i="10"/>
  <c r="B30" i="10"/>
  <c r="B29" i="10"/>
  <c r="B28" i="10"/>
  <c r="B27" i="10"/>
  <c r="C51" i="10" l="1"/>
  <c r="D52" i="10" s="1"/>
  <c r="C5" i="10"/>
  <c r="D5" i="10"/>
  <c r="D3" i="10"/>
  <c r="E3" i="10" s="1"/>
  <c r="E2" i="10"/>
  <c r="C14" i="7" l="1"/>
  <c r="C15" i="7"/>
  <c r="D5" i="8"/>
  <c r="D8" i="8" s="1"/>
  <c r="H6" i="8"/>
  <c r="L6" i="8"/>
  <c r="D9" i="8"/>
  <c r="D11" i="8" s="1"/>
  <c r="L7" i="8" s="1"/>
  <c r="L9" i="8"/>
  <c r="H15" i="8"/>
  <c r="G12" i="7"/>
  <c r="D20" i="8" l="1"/>
  <c r="B23" i="7"/>
  <c r="B22" i="7"/>
  <c r="D14" i="7"/>
  <c r="D15" i="7"/>
  <c r="H5" i="8"/>
  <c r="L8" i="8"/>
  <c r="L5" i="8"/>
  <c r="H4" i="8"/>
  <c r="H8" i="8" s="1"/>
  <c r="M10" i="3"/>
  <c r="L10" i="3"/>
  <c r="K10" i="3"/>
  <c r="J10" i="3"/>
  <c r="I10" i="3"/>
  <c r="H10" i="3"/>
  <c r="G10" i="3"/>
  <c r="F10" i="3"/>
  <c r="E10" i="3"/>
  <c r="D10" i="3"/>
  <c r="C10" i="3"/>
  <c r="B10" i="3"/>
  <c r="B6" i="3"/>
  <c r="C18" i="4"/>
  <c r="N19" i="4"/>
  <c r="N20" i="4" s="1"/>
  <c r="M19" i="4"/>
  <c r="M20" i="4" s="1"/>
  <c r="L19" i="4"/>
  <c r="L20" i="4" s="1"/>
  <c r="K19" i="4"/>
  <c r="K20" i="4" s="1"/>
  <c r="J19" i="4"/>
  <c r="J20" i="4" s="1"/>
  <c r="I19" i="4"/>
  <c r="I20" i="4" s="1"/>
  <c r="H19" i="4"/>
  <c r="H20" i="4" s="1"/>
  <c r="G19" i="4"/>
  <c r="G20" i="4" s="1"/>
  <c r="F19" i="4"/>
  <c r="F20" i="4" s="1"/>
  <c r="E19" i="4"/>
  <c r="E20" i="4" s="1"/>
  <c r="D19" i="4"/>
  <c r="D20" i="4" s="1"/>
  <c r="O18" i="4"/>
  <c r="O12" i="4"/>
  <c r="N7" i="4"/>
  <c r="N8" i="4" s="1"/>
  <c r="M7" i="4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O6" i="4"/>
  <c r="E7" i="2"/>
  <c r="F7" i="2"/>
  <c r="G7" i="2"/>
  <c r="H7" i="2"/>
  <c r="I7" i="2"/>
  <c r="J7" i="2"/>
  <c r="K7" i="2"/>
  <c r="L7" i="2"/>
  <c r="F4" i="10" s="1"/>
  <c r="M7" i="2"/>
  <c r="A5" i="1" s="1"/>
  <c r="N7" i="2"/>
  <c r="M8" i="4" l="1"/>
  <c r="C6" i="10"/>
  <c r="A24" i="1"/>
  <c r="C26" i="3"/>
  <c r="D13" i="4"/>
  <c r="D14" i="4" s="1"/>
  <c r="D26" i="3"/>
  <c r="E13" i="4"/>
  <c r="E14" i="4" s="1"/>
  <c r="N8" i="2"/>
  <c r="N9" i="2" s="1"/>
  <c r="N11" i="2" s="1"/>
  <c r="N13" i="4"/>
  <c r="N14" i="4" s="1"/>
  <c r="L26" i="3"/>
  <c r="M13" i="4"/>
  <c r="K26" i="3"/>
  <c r="L13" i="4"/>
  <c r="L14" i="4" s="1"/>
  <c r="J26" i="3"/>
  <c r="K13" i="4"/>
  <c r="K14" i="4" s="1"/>
  <c r="J8" i="2"/>
  <c r="J9" i="2" s="1"/>
  <c r="J10" i="2" s="1"/>
  <c r="J13" i="4"/>
  <c r="J14" i="4" s="1"/>
  <c r="H26" i="3"/>
  <c r="I13" i="4"/>
  <c r="I14" i="4" s="1"/>
  <c r="G26" i="3"/>
  <c r="H13" i="4"/>
  <c r="H14" i="4" s="1"/>
  <c r="F26" i="3"/>
  <c r="G13" i="4"/>
  <c r="G14" i="4" s="1"/>
  <c r="F8" i="2"/>
  <c r="F9" i="2" s="1"/>
  <c r="F10" i="2" s="1"/>
  <c r="F13" i="4"/>
  <c r="F14" i="4" s="1"/>
  <c r="G8" i="2"/>
  <c r="G9" i="2" s="1"/>
  <c r="G11" i="2" s="1"/>
  <c r="E8" i="2"/>
  <c r="E9" i="2" s="1"/>
  <c r="E11" i="2" s="1"/>
  <c r="I8" i="2"/>
  <c r="L8" i="2"/>
  <c r="L9" i="2" s="1"/>
  <c r="L10" i="2" s="1"/>
  <c r="H8" i="2"/>
  <c r="H9" i="2" s="1"/>
  <c r="H10" i="2" s="1"/>
  <c r="M8" i="2"/>
  <c r="I9" i="2"/>
  <c r="I10" i="2" s="1"/>
  <c r="C8" i="2"/>
  <c r="C13" i="4"/>
  <c r="C14" i="4" s="1"/>
  <c r="C41" i="10"/>
  <c r="D42" i="10" s="1"/>
  <c r="C7" i="2"/>
  <c r="F22" i="7"/>
  <c r="B13" i="7" s="1"/>
  <c r="C13" i="7" s="1"/>
  <c r="H16" i="8" s="1"/>
  <c r="L4" i="8" s="1"/>
  <c r="L10" i="8" s="1"/>
  <c r="L12" i="8" s="1"/>
  <c r="L16" i="8" s="1"/>
  <c r="L17" i="8" s="1"/>
  <c r="H10" i="8"/>
  <c r="H14" i="8" s="1"/>
  <c r="H20" i="8" s="1"/>
  <c r="H21" i="8" s="1"/>
  <c r="M26" i="3"/>
  <c r="B26" i="3"/>
  <c r="E26" i="3"/>
  <c r="K8" i="2"/>
  <c r="K9" i="2" s="1"/>
  <c r="K11" i="2" s="1"/>
  <c r="I26" i="3"/>
  <c r="C7" i="4"/>
  <c r="C8" i="4" s="1"/>
  <c r="N10" i="3"/>
  <c r="N26" i="3" s="1"/>
  <c r="D9" i="2"/>
  <c r="O7" i="2" l="1"/>
  <c r="G9" i="10"/>
  <c r="M9" i="2"/>
  <c r="M11" i="2" s="1"/>
  <c r="D4" i="10" s="1"/>
  <c r="D5" i="1"/>
  <c r="M14" i="4"/>
  <c r="A26" i="1"/>
  <c r="G5" i="1"/>
  <c r="C4" i="10"/>
  <c r="O13" i="4"/>
  <c r="O14" i="4" s="1"/>
  <c r="I11" i="2"/>
  <c r="D53" i="10"/>
  <c r="E6" i="1"/>
  <c r="Q8" i="2"/>
  <c r="G15" i="7"/>
  <c r="D13" i="7"/>
  <c r="G9" i="7"/>
  <c r="E5" i="10"/>
  <c r="C9" i="2"/>
  <c r="C11" i="2" s="1"/>
  <c r="E4" i="10" s="1"/>
  <c r="Q7" i="2"/>
  <c r="R7" i="2" s="1"/>
  <c r="E10" i="2"/>
  <c r="C19" i="4"/>
  <c r="C20" i="4" s="1"/>
  <c r="H6" i="1" s="1"/>
  <c r="O8" i="2"/>
  <c r="O9" i="2" s="1"/>
  <c r="O11" i="2" s="1"/>
  <c r="L18" i="8"/>
  <c r="L20" i="8" s="1"/>
  <c r="N10" i="2"/>
  <c r="F11" i="2"/>
  <c r="O7" i="4"/>
  <c r="O8" i="4" s="1"/>
  <c r="J11" i="2"/>
  <c r="G10" i="2"/>
  <c r="K10" i="2"/>
  <c r="L11" i="2"/>
  <c r="M10" i="2"/>
  <c r="D11" i="2"/>
  <c r="H11" i="2"/>
  <c r="A27" i="1" l="1"/>
  <c r="B23" i="1" s="1"/>
  <c r="O19" i="4"/>
  <c r="O20" i="4" s="1"/>
  <c r="C10" i="2"/>
  <c r="B6" i="1"/>
  <c r="D6" i="10"/>
  <c r="E6" i="10" s="1"/>
  <c r="B26" i="1" l="1"/>
  <c r="B25" i="1"/>
  <c r="B24" i="1"/>
  <c r="O6" i="2"/>
  <c r="O10" i="2" s="1"/>
  <c r="D10" i="2"/>
</calcChain>
</file>

<file path=xl/sharedStrings.xml><?xml version="1.0" encoding="utf-8"?>
<sst xmlns="http://schemas.openxmlformats.org/spreadsheetml/2006/main" count="354" uniqueCount="194">
  <si>
    <t>REALIZADO X META</t>
  </si>
  <si>
    <t>COMPARAÇÃO FLUXO DE CAIXA</t>
  </si>
  <si>
    <t>DIVISÃO DAS RECEITAS</t>
  </si>
  <si>
    <t>LUCRO / PREJUÍZO</t>
  </si>
  <si>
    <t>REZALIZADO x META</t>
  </si>
  <si>
    <t>DIVISÃO DAS DESPESAS</t>
  </si>
  <si>
    <t>FLUXO DE CAIXA</t>
  </si>
  <si>
    <t>Janeiro</t>
  </si>
  <si>
    <t>Feveiro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</si>
  <si>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</si>
  <si>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</si>
  <si>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</si>
  <si>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</si>
  <si>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</si>
  <si>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</si>
  <si>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</si>
  <si>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</si>
  <si>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</si>
  <si>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</si>
  <si>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Total/ANO</t>
  </si>
  <si>
    <t>SALDO INICIAL</t>
  </si>
  <si>
    <t>RECEITAS</t>
  </si>
  <si>
    <t>DESPESAS</t>
  </si>
  <si>
    <t>LUCRO/PREJUÍZO</t>
  </si>
  <si>
    <t>ACUMULADO</t>
  </si>
  <si>
    <t>LUCRATIVIDADE</t>
  </si>
  <si>
    <t>CONTAS A PAGAR  / RECEBER</t>
  </si>
  <si>
    <t>Contas a Receber</t>
  </si>
  <si>
    <t>Contas a Pagar</t>
  </si>
  <si>
    <t>CAIXA</t>
  </si>
  <si>
    <t>RESULTADO</t>
  </si>
  <si>
    <t>DESPESAS TOTAIS</t>
  </si>
  <si>
    <t>DESPESA COM ALIMENTAÇÃO</t>
  </si>
  <si>
    <t>DESPESA COM COMBUSTÍVEL</t>
  </si>
  <si>
    <t>DESPESA COM LAZER</t>
  </si>
  <si>
    <t>IMPOSTO</t>
  </si>
  <si>
    <t>INVESTIMENTO</t>
  </si>
  <si>
    <t>CONTADOR</t>
  </si>
  <si>
    <t>LIVRO CAIXA</t>
  </si>
  <si>
    <t>Receita</t>
  </si>
  <si>
    <t>Despesas</t>
  </si>
  <si>
    <t>Receita Exames</t>
  </si>
  <si>
    <t>Receita Anestesia</t>
  </si>
  <si>
    <t>METAS</t>
  </si>
  <si>
    <t xml:space="preserve">METAS RECEITAS </t>
  </si>
  <si>
    <t>RECEITAS REALIZADAS</t>
  </si>
  <si>
    <t>DIF %</t>
  </si>
  <si>
    <t>METAS DESPESAS</t>
  </si>
  <si>
    <t>DESPESAS REALIZADAS</t>
  </si>
  <si>
    <t>METAS DE RESULTADO</t>
  </si>
  <si>
    <t>METAS RESULTADO</t>
  </si>
  <si>
    <t>RESULTADO REALIZADO</t>
  </si>
  <si>
    <t>PLANEJAMENTO TRIBUTÁRIO</t>
  </si>
  <si>
    <t>Empresa: DRA. MARIANA PONTES ANESTESIOLOGIA LTDA</t>
  </si>
  <si>
    <t>Enquadramento: Simples Nacional</t>
  </si>
  <si>
    <t xml:space="preserve"> Resumo de Carga Tributária</t>
  </si>
  <si>
    <t>Enquadramento</t>
  </si>
  <si>
    <t>SIMPLES NACIONAL</t>
  </si>
  <si>
    <t>LUCRO PRESUMIDO</t>
  </si>
  <si>
    <t>LUCRO REAL</t>
  </si>
  <si>
    <t>Valor do IMPOSTO</t>
  </si>
  <si>
    <t>%FAT</t>
  </si>
  <si>
    <t>Percentual de ISS fixo em 5 %</t>
  </si>
  <si>
    <t>(Alíquota efetiva - 5%) x 65,26%</t>
  </si>
  <si>
    <t>(Alíquota efetiva - 5%) x4,18%</t>
  </si>
  <si>
    <t>(Alíquota efetiva - 5%) x19,28%</t>
  </si>
  <si>
    <t>(Alíquota efetiva - 5%) x5,26%</t>
  </si>
  <si>
    <t>(Alíquota efetiva - 5%) x6,02%</t>
  </si>
  <si>
    <t>5ª Faixa, com alíquota efetiva superior a 14,92537%</t>
  </si>
  <si>
    <t>ISS</t>
  </si>
  <si>
    <t>CPP</t>
  </si>
  <si>
    <t>PIS/Pasep</t>
  </si>
  <si>
    <t>Cofins</t>
  </si>
  <si>
    <t>CSLL</t>
  </si>
  <si>
    <t>IRPJ</t>
  </si>
  <si>
    <t>Faixa</t>
  </si>
  <si>
    <t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</si>
  <si>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>-</t>
  </si>
  <si>
    <t>6ª Faixa</t>
  </si>
  <si>
    <t>33,50% (*)</t>
  </si>
  <si>
    <t>5ª Faixa</t>
  </si>
  <si>
    <t>4ª Faixa</t>
  </si>
  <si>
    <t>3ª Faixa</t>
  </si>
  <si>
    <t>2ª Faixa</t>
  </si>
  <si>
    <t>1ª Faixa</t>
  </si>
  <si>
    <t>ISS (*)</t>
  </si>
  <si>
    <t>Percentual de Repartição dos Tributos</t>
  </si>
  <si>
    <t>Faixas</t>
  </si>
  <si>
    <t>De 3.600.000,01 a 4.800.000,00</t>
  </si>
  <si>
    <t>De 1.800.000,01 a 3.600.000,00</t>
  </si>
  <si>
    <t>De 720.000,01 a 1.800.000,00</t>
  </si>
  <si>
    <t>De 360.000,01 a 720.000,00</t>
  </si>
  <si>
    <t>De 180.000,01 a 360.000,00</t>
  </si>
  <si>
    <t>Até 180.000,00</t>
  </si>
  <si>
    <t>Valor a Deduzir (em R$)</t>
  </si>
  <si>
    <t>Alíquota</t>
  </si>
  <si>
    <t>Receita Bruta em 12 Meses (em R$)</t>
  </si>
  <si>
    <t xml:space="preserve">                              RBT12</t>
  </si>
  <si>
    <r>
      <rPr>
        <b/>
        <sz val="13.5"/>
        <color theme="1"/>
        <rFont val="Arial"/>
        <family val="2"/>
      </rPr>
      <t>Alíquota Efetiva</t>
    </r>
    <r>
      <rPr>
        <sz val="13.5"/>
        <color theme="1"/>
        <rFont val="Arial"/>
        <family val="2"/>
      </rPr>
      <t xml:space="preserve"> = </t>
    </r>
    <r>
      <rPr>
        <u/>
        <sz val="13.5"/>
        <color theme="1"/>
        <rFont val="Arial"/>
        <family val="2"/>
      </rPr>
      <t>(RBT12 x Alíquota Nominal) - Parcela a Deduzir</t>
    </r>
  </si>
  <si>
    <t>Alíquota Efetiva</t>
  </si>
  <si>
    <t>Alíquota Nominal</t>
  </si>
  <si>
    <t>Parcela a Deduzir</t>
  </si>
  <si>
    <t>RBT 12M</t>
  </si>
  <si>
    <t>Simples Nacional a Pagar</t>
  </si>
  <si>
    <t>Receita no Mês</t>
  </si>
  <si>
    <t>Lucro Real</t>
  </si>
  <si>
    <t>Lucro Presumido</t>
  </si>
  <si>
    <t>Lucro Simples</t>
  </si>
  <si>
    <t>Alíq. IR para atividade</t>
  </si>
  <si>
    <t>Alíq. CSLL para atividade</t>
  </si>
  <si>
    <t>Lucro líquido</t>
  </si>
  <si>
    <t>Outras despesas</t>
  </si>
  <si>
    <t>Encargos sociais</t>
  </si>
  <si>
    <t>Folha de pagamento</t>
  </si>
  <si>
    <t>Margem Bruta</t>
  </si>
  <si>
    <t>Custo de mercadorias</t>
  </si>
  <si>
    <t>Receita Líquida</t>
  </si>
  <si>
    <t>Margem bruta</t>
  </si>
  <si>
    <t>Créditos Compra - Cofins</t>
  </si>
  <si>
    <t>Alíquota para atividade</t>
  </si>
  <si>
    <t>Créditos Compra - PIS</t>
  </si>
  <si>
    <t>Receita líquida</t>
  </si>
  <si>
    <t>Créditos Compra - ICMS</t>
  </si>
  <si>
    <t>Créditos compra - ICMS</t>
  </si>
  <si>
    <t>PIS</t>
  </si>
  <si>
    <t>ICMS</t>
  </si>
  <si>
    <t>Receita Bruta</t>
  </si>
  <si>
    <t>Simples Nacional</t>
  </si>
  <si>
    <t>%FAT MÊS</t>
  </si>
  <si>
    <t>Valor 1</t>
  </si>
  <si>
    <t>Valor 2</t>
  </si>
  <si>
    <t>Clientes</t>
  </si>
  <si>
    <t>Lucro</t>
  </si>
  <si>
    <t>Crescimento</t>
  </si>
  <si>
    <t>PROJEÇÕES X ATUAIS</t>
  </si>
  <si>
    <t>Projeção</t>
  </si>
  <si>
    <t>Atual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</si>
  <si>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</si>
  <si>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</si>
  <si>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</si>
  <si>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</si>
  <si>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</si>
  <si>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</si>
  <si>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</si>
  <si>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</si>
  <si>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</si>
  <si>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</si>
  <si>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</si>
  <si>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</si>
  <si>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CATEGORIAS</t>
  </si>
  <si>
    <t>Vendas</t>
  </si>
  <si>
    <t>FATURAMENTO</t>
  </si>
  <si>
    <t>Total</t>
  </si>
  <si>
    <t>Qtd Exames</t>
  </si>
  <si>
    <t>Realizado x Meta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</si>
  <si>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</si>
  <si>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</si>
  <si>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</si>
  <si>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</si>
  <si>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</si>
  <si>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</si>
  <si>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</si>
  <si>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</si>
  <si>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</si>
  <si>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</si>
  <si>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</si>
  <si>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</si>
  <si>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Essa Mês</t>
  </si>
  <si>
    <t>Mês Anterior</t>
  </si>
  <si>
    <t xml:space="preserve">Atuação: Médica Anestesista </t>
  </si>
  <si>
    <t>ANEXO III - PLANILHA DE ALÍQUOTA DO SIMPLES NACIONAL</t>
  </si>
  <si>
    <t>DIGITE O RBT12</t>
  </si>
  <si>
    <t>RECEITA BRUTA ACUMULADA</t>
  </si>
  <si>
    <t>ALÍQUOTA EFETIVA</t>
  </si>
  <si>
    <t xml:space="preserve"> </t>
  </si>
  <si>
    <t>Alíq. IR ADD</t>
  </si>
  <si>
    <t>FAT</t>
  </si>
  <si>
    <t>DAS</t>
  </si>
  <si>
    <t>DIF</t>
  </si>
  <si>
    <t>Receitas Dinheiro</t>
  </si>
  <si>
    <t>DESPESA COM ANESTESIA</t>
  </si>
  <si>
    <t>DESPESA COM PÓS</t>
  </si>
  <si>
    <t>DESPESA COM PLANO DE SAÚDE</t>
  </si>
  <si>
    <t>DESPESA COM CRMV</t>
  </si>
  <si>
    <t>DESPESA TIM</t>
  </si>
  <si>
    <t>DESPESA INTERNET</t>
  </si>
  <si>
    <t>DESPESA ALUGUEL</t>
  </si>
  <si>
    <t>DESPESA ENERGIA</t>
  </si>
  <si>
    <t>DESPESA REMÉDIOS</t>
  </si>
  <si>
    <t>No mês de Novembro você Obteve um lucro de R$ 15.219,85</t>
  </si>
  <si>
    <t>Você faturou mais no mês passado do que para esse mês, mas por outro lado, gastou menos do que mês passado.</t>
  </si>
  <si>
    <t>casa dos criadores</t>
  </si>
  <si>
    <t>praiavet</t>
  </si>
  <si>
    <t>espaço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</si>
</sst>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&quot;R$&quot;\ #,##0.00"/>
    <numFmt numFmtId="165" formatCode="_-&quot;R$&quot;* #,##0.00_-;\-&quot;R$&quot;* #,##0.00_-;_-&quot;R$&quot;* &quot;-&quot;??_-;_-@_-"/>
    <numFmt numFmtId="166" formatCode="&quot;R$&quot;#,##0.00"/>
    <numFmt numFmtId="167" formatCode="[$R$ -416]#,##0"/>
    <numFmt numFmtId="168" formatCode="_-&quot;R$&quot;\ * #,##0_-;\-&quot;R$&quot;\ * #,##0_-;_-&quot;R$&quot;\ * &quot;-&quot;??_-;_-@_-"/>
    <numFmt numFmtId="169" formatCode="&quot;R$&quot;\ #,##0.000"/>
    <numFmt numFmtId="170" formatCode="0.000000000000000%"/>
    <numFmt numFmtId="171" formatCode="0.0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sz val="14"/>
      <color theme="1"/>
      <name val="Calibri"/>
      <family val="2"/>
      <scheme val="minor"/>
    </font>
    <font>
      <sz val="13.5"/>
      <color theme="1"/>
      <name val="Arial"/>
      <family val="2"/>
    </font>
    <font>
      <b/>
      <sz val="13.5"/>
      <color theme="1"/>
      <name val="Arial"/>
      <family val="2"/>
    </font>
    <font>
      <u/>
      <sz val="13.5"/>
      <color theme="1"/>
      <name val="Arial"/>
      <family val="2"/>
    </font>
    <font>
      <b/>
      <sz val="13"/>
      <color rgb="FFFF0000"/>
      <name val="Arial"/>
      <family val="2"/>
    </font>
    <font>
      <b/>
      <sz val="13.5"/>
      <color rgb="FF006100"/>
      <name val="Arial"/>
      <family val="2"/>
    </font>
    <font>
      <sz val="13.5"/>
      <color theme="0"/>
      <name val="Arial"/>
      <family val="2"/>
    </font>
    <font>
      <b/>
      <sz val="13"/>
      <color rgb="FF006100"/>
      <name val="Arial"/>
      <family val="2"/>
    </font>
    <font>
      <sz val="13.5"/>
      <color rgb="FF006100"/>
      <name val="Arial"/>
      <family val="2"/>
    </font>
    <font>
      <sz val="14"/>
      <color rgb="FF006100"/>
      <name val="Arial"/>
      <family val="2"/>
    </font>
    <font>
      <b/>
      <sz val="18"/>
      <color theme="0"/>
      <name val="Arial"/>
      <family val="2"/>
    </font>
    <font>
      <b/>
      <sz val="14"/>
      <color rgb="FF0061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C4055"/>
        <bgColor indexed="64"/>
      </patternFill>
    </fill>
    <fill>
      <patternFill patternType="solid">
        <fgColor rgb="FF40BB87"/>
        <bgColor indexed="64"/>
      </patternFill>
    </fill>
    <fill>
      <patternFill patternType="solid">
        <fgColor rgb="FFE9F0CE"/>
        <bgColor indexed="64"/>
      </patternFill>
    </fill>
    <fill>
      <patternFill patternType="solid">
        <fgColor rgb="FF1E7038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theme="0"/>
      </top>
      <bottom style="double">
        <color theme="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1" xfId="0" applyFill="1" applyBorder="1"/>
    <xf numFmtId="0" fontId="2" fillId="5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4" borderId="8" xfId="0" applyFill="1" applyBorder="1"/>
    <xf numFmtId="0" fontId="3" fillId="4" borderId="0" xfId="0" applyFont="1" applyFill="1"/>
    <xf numFmtId="0" fontId="0" fillId="7" borderId="0" xfId="0" applyFill="1" applyAlignment="1">
      <alignment horizontal="center" vertical="center"/>
    </xf>
    <xf numFmtId="164" fontId="0" fillId="7" borderId="0" xfId="0" applyNumberFormat="1" applyFont="1" applyFill="1" applyAlignment="1">
      <alignment horizontal="center" vertical="center"/>
    </xf>
    <xf numFmtId="0" fontId="0" fillId="7" borderId="0" xfId="0" applyFill="1"/>
    <xf numFmtId="164" fontId="0" fillId="7" borderId="9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3" xfId="0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9" fontId="3" fillId="7" borderId="3" xfId="2" applyFont="1" applyFill="1" applyBorder="1" applyAlignment="1">
      <alignment horizontal="center" vertical="center"/>
    </xf>
    <xf numFmtId="9" fontId="3" fillId="7" borderId="4" xfId="2" applyFont="1" applyFill="1" applyBorder="1" applyAlignment="1">
      <alignment horizontal="center" vertical="center"/>
    </xf>
    <xf numFmtId="9" fontId="3" fillId="7" borderId="5" xfId="2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64" fontId="0" fillId="7" borderId="6" xfId="0" applyNumberFormat="1" applyFont="1" applyFill="1" applyBorder="1" applyAlignment="1">
      <alignment horizontal="center" vertical="center"/>
    </xf>
    <xf numFmtId="164" fontId="0" fillId="7" borderId="12" xfId="0" applyNumberFormat="1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7" borderId="2" xfId="0" applyFill="1" applyBorder="1"/>
    <xf numFmtId="0" fontId="0" fillId="4" borderId="10" xfId="0" applyFill="1" applyBorder="1"/>
    <xf numFmtId="0" fontId="0" fillId="7" borderId="10" xfId="0" applyFill="1" applyBorder="1"/>
    <xf numFmtId="164" fontId="0" fillId="7" borderId="2" xfId="0" applyNumberFormat="1" applyFill="1" applyBorder="1" applyAlignment="1">
      <alignment horizontal="center" vertical="center"/>
    </xf>
    <xf numFmtId="0" fontId="0" fillId="7" borderId="13" xfId="0" applyFill="1" applyBorder="1"/>
    <xf numFmtId="0" fontId="0" fillId="7" borderId="3" xfId="0" applyFill="1" applyBorder="1"/>
    <xf numFmtId="0" fontId="0" fillId="7" borderId="4" xfId="0" applyFill="1" applyBorder="1"/>
    <xf numFmtId="0" fontId="0" fillId="4" borderId="0" xfId="0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2" borderId="1" xfId="0" applyFont="1" applyFill="1" applyBorder="1"/>
    <xf numFmtId="164" fontId="4" fillId="9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0" fontId="0" fillId="4" borderId="0" xfId="0" applyFill="1" applyAlignment="1"/>
    <xf numFmtId="0" fontId="2" fillId="5" borderId="16" xfId="0" applyFont="1" applyFill="1" applyBorder="1" applyAlignment="1">
      <alignment horizontal="left" vertical="top"/>
    </xf>
    <xf numFmtId="0" fontId="2" fillId="6" borderId="16" xfId="0" applyFont="1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9" fontId="3" fillId="4" borderId="0" xfId="2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9" fontId="2" fillId="5" borderId="17" xfId="0" applyNumberFormat="1" applyFont="1" applyFill="1" applyBorder="1" applyAlignment="1">
      <alignment horizontal="right" vertical="center"/>
    </xf>
    <xf numFmtId="9" fontId="2" fillId="6" borderId="17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3" fillId="4" borderId="0" xfId="0" applyFont="1" applyFill="1" applyBorder="1"/>
    <xf numFmtId="16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164" fontId="0" fillId="4" borderId="0" xfId="0" applyNumberFormat="1" applyFill="1" applyBorder="1"/>
    <xf numFmtId="0" fontId="6" fillId="13" borderId="18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7" fillId="13" borderId="18" xfId="0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  <xf numFmtId="10" fontId="6" fillId="13" borderId="18" xfId="0" applyNumberFormat="1" applyFont="1" applyFill="1" applyBorder="1" applyAlignment="1">
      <alignment horizontal="center" vertical="center" wrapText="1"/>
    </xf>
    <xf numFmtId="0" fontId="8" fillId="14" borderId="18" xfId="0" applyFont="1" applyFill="1" applyBorder="1" applyAlignment="1">
      <alignment horizontal="center" vertical="center" wrapText="1"/>
    </xf>
    <xf numFmtId="4" fontId="6" fillId="13" borderId="18" xfId="0" applyNumberFormat="1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7" fillId="14" borderId="24" xfId="0" applyFont="1" applyFill="1" applyBorder="1" applyAlignment="1">
      <alignment horizontal="center" vertical="center"/>
    </xf>
    <xf numFmtId="0" fontId="17" fillId="14" borderId="26" xfId="0" applyFont="1" applyFill="1" applyBorder="1" applyAlignment="1">
      <alignment horizontal="center" vertical="center"/>
    </xf>
    <xf numFmtId="3" fontId="6" fillId="4" borderId="0" xfId="0" applyNumberFormat="1" applyFont="1" applyFill="1"/>
    <xf numFmtId="0" fontId="11" fillId="4" borderId="0" xfId="0" applyFont="1" applyFill="1" applyAlignment="1">
      <alignment horizontal="center" vertical="center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165" fontId="15" fillId="4" borderId="0" xfId="1" applyNumberFormat="1" applyFont="1" applyFill="1" applyBorder="1" applyAlignment="1">
      <alignment vertical="center"/>
    </xf>
    <xf numFmtId="165" fontId="23" fillId="4" borderId="31" xfId="1" applyNumberFormat="1" applyFont="1" applyFill="1" applyBorder="1" applyAlignment="1">
      <alignment vertical="center"/>
    </xf>
    <xf numFmtId="165" fontId="24" fillId="4" borderId="31" xfId="1" quotePrefix="1" applyNumberFormat="1" applyFont="1" applyFill="1" applyBorder="1" applyAlignment="1">
      <alignment horizontal="center" vertical="center"/>
    </xf>
    <xf numFmtId="164" fontId="23" fillId="4" borderId="31" xfId="1" quotePrefix="1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21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center" vertical="center"/>
    </xf>
    <xf numFmtId="165" fontId="20" fillId="4" borderId="0" xfId="1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horizontal="left"/>
    </xf>
    <xf numFmtId="164" fontId="0" fillId="4" borderId="0" xfId="0" applyNumberFormat="1" applyFill="1" applyBorder="1" applyAlignment="1">
      <alignment horizontal="left" vertical="center"/>
    </xf>
    <xf numFmtId="164" fontId="0" fillId="4" borderId="0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9" fontId="6" fillId="0" borderId="0" xfId="0" applyNumberFormat="1" applyFont="1" applyAlignment="1"/>
    <xf numFmtId="167" fontId="7" fillId="15" borderId="0" xfId="0" applyNumberFormat="1" applyFont="1" applyFill="1"/>
    <xf numFmtId="0" fontId="7" fillId="15" borderId="0" xfId="0" applyFont="1" applyFill="1"/>
    <xf numFmtId="0" fontId="7" fillId="15" borderId="0" xfId="0" applyFont="1" applyFill="1" applyAlignment="1"/>
    <xf numFmtId="167" fontId="6" fillId="0" borderId="32" xfId="0" applyNumberFormat="1" applyFont="1" applyBorder="1"/>
    <xf numFmtId="10" fontId="6" fillId="16" borderId="32" xfId="0" applyNumberFormat="1" applyFont="1" applyFill="1" applyBorder="1" applyAlignment="1"/>
    <xf numFmtId="0" fontId="6" fillId="0" borderId="32" xfId="0" applyFont="1" applyBorder="1" applyAlignment="1"/>
    <xf numFmtId="167" fontId="7" fillId="17" borderId="32" xfId="0" applyNumberFormat="1" applyFont="1" applyFill="1" applyBorder="1"/>
    <xf numFmtId="0" fontId="7" fillId="17" borderId="32" xfId="0" applyFont="1" applyFill="1" applyBorder="1"/>
    <xf numFmtId="0" fontId="7" fillId="17" borderId="32" xfId="0" applyFont="1" applyFill="1" applyBorder="1" applyAlignment="1"/>
    <xf numFmtId="0" fontId="6" fillId="0" borderId="32" xfId="0" applyFont="1" applyBorder="1"/>
    <xf numFmtId="167" fontId="6" fillId="0" borderId="32" xfId="0" applyNumberFormat="1" applyFont="1" applyBorder="1" applyAlignment="1"/>
    <xf numFmtId="164" fontId="6" fillId="0" borderId="0" xfId="0" applyNumberFormat="1" applyFont="1"/>
    <xf numFmtId="164" fontId="6" fillId="0" borderId="32" xfId="0" applyNumberFormat="1" applyFont="1" applyBorder="1"/>
    <xf numFmtId="164" fontId="6" fillId="0" borderId="32" xfId="0" applyNumberFormat="1" applyFont="1" applyBorder="1" applyAlignment="1"/>
    <xf numFmtId="167" fontId="7" fillId="17" borderId="32" xfId="0" applyNumberFormat="1" applyFont="1" applyFill="1" applyBorder="1" applyAlignment="1"/>
    <xf numFmtId="0" fontId="12" fillId="4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/>
    </xf>
    <xf numFmtId="164" fontId="26" fillId="4" borderId="0" xfId="0" applyNumberFormat="1" applyFont="1" applyFill="1" applyBorder="1" applyAlignment="1">
      <alignment horizontal="center" vertical="center"/>
    </xf>
    <xf numFmtId="165" fontId="19" fillId="4" borderId="0" xfId="1" applyNumberFormat="1" applyFont="1" applyFill="1" applyBorder="1" applyAlignment="1">
      <alignment horizontal="center" vertical="center"/>
    </xf>
    <xf numFmtId="10" fontId="16" fillId="4" borderId="0" xfId="2" applyNumberFormat="1" applyFont="1" applyFill="1" applyBorder="1" applyAlignment="1">
      <alignment horizontal="right" vertical="center" wrapText="1"/>
    </xf>
    <xf numFmtId="10" fontId="16" fillId="4" borderId="0" xfId="2" applyNumberFormat="1" applyFont="1" applyFill="1" applyBorder="1" applyAlignment="1">
      <alignment horizontal="right" vertical="center"/>
    </xf>
    <xf numFmtId="10" fontId="16" fillId="13" borderId="25" xfId="2" applyNumberFormat="1" applyFont="1" applyFill="1" applyBorder="1" applyAlignment="1">
      <alignment horizontal="center" vertical="center"/>
    </xf>
    <xf numFmtId="10" fontId="16" fillId="13" borderId="25" xfId="2" applyNumberFormat="1" applyFont="1" applyFill="1" applyBorder="1" applyAlignment="1">
      <alignment horizontal="center" vertical="center" wrapText="1"/>
    </xf>
    <xf numFmtId="164" fontId="18" fillId="13" borderId="28" xfId="1" applyNumberFormat="1" applyFont="1" applyFill="1" applyBorder="1" applyAlignment="1">
      <alignment horizontal="center"/>
    </xf>
    <xf numFmtId="0" fontId="27" fillId="14" borderId="27" xfId="0" applyFont="1" applyFill="1" applyBorder="1" applyAlignment="1">
      <alignment vertical="center"/>
    </xf>
    <xf numFmtId="164" fontId="20" fillId="13" borderId="27" xfId="1" applyNumberFormat="1" applyFont="1" applyFill="1" applyBorder="1" applyAlignment="1">
      <alignment horizontal="center" vertical="center" wrapText="1"/>
    </xf>
    <xf numFmtId="164" fontId="20" fillId="13" borderId="29" xfId="1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top"/>
    </xf>
    <xf numFmtId="0" fontId="0" fillId="4" borderId="11" xfId="0" applyFill="1" applyBorder="1"/>
    <xf numFmtId="3" fontId="0" fillId="7" borderId="0" xfId="0" applyNumberFormat="1" applyFill="1"/>
    <xf numFmtId="10" fontId="0" fillId="7" borderId="0" xfId="0" applyNumberFormat="1" applyFill="1"/>
    <xf numFmtId="0" fontId="29" fillId="7" borderId="0" xfId="0" applyFont="1" applyFill="1" applyBorder="1"/>
    <xf numFmtId="168" fontId="0" fillId="7" borderId="0" xfId="1" applyNumberFormat="1" applyFont="1" applyFill="1"/>
    <xf numFmtId="9" fontId="0" fillId="7" borderId="0" xfId="0" applyNumberFormat="1" applyFill="1" applyBorder="1"/>
    <xf numFmtId="0" fontId="0" fillId="7" borderId="0" xfId="0" applyFill="1" applyBorder="1"/>
    <xf numFmtId="168" fontId="0" fillId="7" borderId="0" xfId="0" applyNumberFormat="1" applyFill="1"/>
    <xf numFmtId="0" fontId="29" fillId="7" borderId="0" xfId="0" applyFont="1" applyFill="1" applyBorder="1" applyAlignment="1">
      <alignment horizontal="left" vertical="top"/>
    </xf>
    <xf numFmtId="164" fontId="0" fillId="7" borderId="11" xfId="0" applyNumberFormat="1" applyFill="1" applyBorder="1" applyAlignment="1">
      <alignment horizontal="center" vertical="center"/>
    </xf>
    <xf numFmtId="164" fontId="0" fillId="7" borderId="0" xfId="0" applyNumberFormat="1" applyFill="1"/>
    <xf numFmtId="9" fontId="0" fillId="7" borderId="0" xfId="2" applyFont="1" applyFill="1"/>
    <xf numFmtId="9" fontId="0" fillId="7" borderId="0" xfId="0" applyNumberFormat="1" applyFill="1"/>
    <xf numFmtId="0" fontId="0" fillId="18" borderId="0" xfId="0" applyFill="1"/>
    <xf numFmtId="3" fontId="0" fillId="18" borderId="0" xfId="0" applyNumberFormat="1" applyFill="1"/>
    <xf numFmtId="10" fontId="0" fillId="18" borderId="0" xfId="0" applyNumberFormat="1" applyFill="1"/>
    <xf numFmtId="0" fontId="29" fillId="18" borderId="0" xfId="0" applyFont="1" applyFill="1" applyBorder="1"/>
    <xf numFmtId="164" fontId="28" fillId="4" borderId="9" xfId="0" applyNumberFormat="1" applyFont="1" applyFill="1" applyBorder="1" applyAlignment="1">
      <alignment horizontal="center" vertical="center"/>
    </xf>
    <xf numFmtId="9" fontId="28" fillId="4" borderId="0" xfId="2" applyFont="1" applyFill="1"/>
    <xf numFmtId="0" fontId="28" fillId="4" borderId="0" xfId="0" applyFont="1" applyFill="1"/>
    <xf numFmtId="164" fontId="28" fillId="4" borderId="5" xfId="0" applyNumberFormat="1" applyFont="1" applyFill="1" applyBorder="1" applyAlignment="1">
      <alignment horizontal="center" vertical="center"/>
    </xf>
    <xf numFmtId="164" fontId="28" fillId="4" borderId="0" xfId="0" applyNumberFormat="1" applyFont="1" applyFill="1"/>
    <xf numFmtId="9" fontId="28" fillId="4" borderId="0" xfId="0" applyNumberFormat="1" applyFont="1" applyFill="1"/>
    <xf numFmtId="0" fontId="3" fillId="4" borderId="0" xfId="0" applyFont="1" applyFill="1" applyAlignment="1">
      <alignment vertical="center"/>
    </xf>
    <xf numFmtId="0" fontId="0" fillId="19" borderId="0" xfId="0" applyFill="1"/>
    <xf numFmtId="0" fontId="30" fillId="19" borderId="0" xfId="0" applyFont="1" applyFill="1" applyAlignment="1">
      <alignment horizontal="left"/>
    </xf>
    <xf numFmtId="0" fontId="0" fillId="20" borderId="0" xfId="0" applyFill="1"/>
    <xf numFmtId="0" fontId="30" fillId="20" borderId="0" xfId="0" applyFont="1" applyFill="1" applyAlignment="1">
      <alignment horizontal="left"/>
    </xf>
    <xf numFmtId="0" fontId="0" fillId="21" borderId="0" xfId="0" applyFill="1"/>
    <xf numFmtId="0" fontId="30" fillId="21" borderId="0" xfId="0" applyFont="1" applyFill="1" applyAlignment="1">
      <alignment horizontal="left"/>
    </xf>
    <xf numFmtId="164" fontId="0" fillId="4" borderId="0" xfId="0" applyNumberFormat="1" applyFill="1" applyBorder="1" applyAlignment="1">
      <alignment horizontal="center" vertical="center" wrapText="1"/>
    </xf>
    <xf numFmtId="0" fontId="0" fillId="7" borderId="1" xfId="2" applyNumberFormat="1" applyFont="1" applyFill="1" applyBorder="1" applyAlignment="1">
      <alignment horizontal="center" vertical="center"/>
    </xf>
    <xf numFmtId="0" fontId="0" fillId="4" borderId="0" xfId="0" applyFont="1" applyFill="1"/>
    <xf numFmtId="164" fontId="28" fillId="4" borderId="0" xfId="0" applyNumberFormat="1" applyFont="1" applyFill="1" applyAlignment="1">
      <alignment horizontal="left"/>
    </xf>
    <xf numFmtId="0" fontId="0" fillId="4" borderId="0" xfId="0" applyFill="1" applyBorder="1" applyAlignment="1"/>
    <xf numFmtId="9" fontId="0" fillId="4" borderId="0" xfId="2" applyFont="1" applyFill="1" applyBorder="1"/>
    <xf numFmtId="10" fontId="0" fillId="4" borderId="0" xfId="0" applyNumberFormat="1" applyFill="1" applyBorder="1"/>
    <xf numFmtId="0" fontId="8" fillId="12" borderId="19" xfId="0" applyFont="1" applyFill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/>
    </xf>
    <xf numFmtId="0" fontId="2" fillId="12" borderId="38" xfId="0" applyFont="1" applyFill="1" applyBorder="1" applyAlignment="1">
      <alignment horizontal="center" vertical="center"/>
    </xf>
    <xf numFmtId="0" fontId="0" fillId="4" borderId="37" xfId="0" applyFill="1" applyBorder="1"/>
    <xf numFmtId="0" fontId="0" fillId="4" borderId="40" xfId="0" applyFill="1" applyBorder="1"/>
    <xf numFmtId="10" fontId="3" fillId="4" borderId="41" xfId="0" applyNumberFormat="1" applyFont="1" applyFill="1" applyBorder="1" applyAlignment="1">
      <alignment horizontal="center" vertical="center"/>
    </xf>
    <xf numFmtId="0" fontId="2" fillId="12" borderId="45" xfId="0" applyFont="1" applyFill="1" applyBorder="1" applyAlignment="1">
      <alignment horizontal="center" vertical="center"/>
    </xf>
    <xf numFmtId="0" fontId="6" fillId="0" borderId="47" xfId="0" applyFont="1" applyFill="1" applyBorder="1" applyAlignment="1"/>
    <xf numFmtId="9" fontId="0" fillId="0" borderId="0" xfId="0" applyNumberFormat="1" applyFont="1" applyAlignment="1"/>
    <xf numFmtId="164" fontId="0" fillId="0" borderId="0" xfId="0" applyNumberFormat="1" applyFont="1" applyAlignment="1"/>
    <xf numFmtId="9" fontId="0" fillId="0" borderId="0" xfId="2" applyFont="1" applyAlignment="1"/>
    <xf numFmtId="167" fontId="0" fillId="0" borderId="0" xfId="0" applyNumberFormat="1" applyFont="1" applyAlignment="1"/>
    <xf numFmtId="9" fontId="0" fillId="5" borderId="1" xfId="2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32" fillId="4" borderId="0" xfId="0" applyFont="1" applyFill="1"/>
    <xf numFmtId="164" fontId="33" fillId="7" borderId="0" xfId="0" applyNumberFormat="1" applyFont="1" applyFill="1"/>
    <xf numFmtId="0" fontId="31" fillId="4" borderId="0" xfId="0" applyFont="1" applyFill="1" applyAlignment="1">
      <alignment vertical="center" wrapText="1"/>
    </xf>
    <xf numFmtId="10" fontId="0" fillId="4" borderId="0" xfId="0" applyNumberFormat="1" applyFill="1"/>
    <xf numFmtId="164" fontId="0" fillId="4" borderId="37" xfId="2" applyNumberFormat="1" applyFont="1" applyFill="1" applyBorder="1"/>
    <xf numFmtId="164" fontId="34" fillId="0" borderId="0" xfId="0" applyNumberFormat="1" applyFont="1"/>
    <xf numFmtId="169" fontId="0" fillId="4" borderId="0" xfId="0" applyNumberFormat="1" applyFill="1" applyBorder="1" applyAlignment="1"/>
    <xf numFmtId="169" fontId="0" fillId="4" borderId="0" xfId="0" applyNumberFormat="1" applyFill="1"/>
    <xf numFmtId="169" fontId="0" fillId="4" borderId="0" xfId="0" applyNumberFormat="1" applyFill="1" applyBorder="1"/>
    <xf numFmtId="44" fontId="0" fillId="0" borderId="0" xfId="0" applyNumberFormat="1"/>
    <xf numFmtId="164" fontId="3" fillId="4" borderId="0" xfId="0" applyNumberFormat="1" applyFont="1" applyFill="1" applyBorder="1" applyAlignment="1"/>
    <xf numFmtId="171" fontId="3" fillId="4" borderId="46" xfId="0" applyNumberFormat="1" applyFont="1" applyFill="1" applyBorder="1" applyAlignment="1">
      <alignment horizontal="center" vertical="center"/>
    </xf>
    <xf numFmtId="44" fontId="0" fillId="4" borderId="0" xfId="0" applyNumberFormat="1" applyFill="1"/>
    <xf numFmtId="44" fontId="31" fillId="20" borderId="0" xfId="1" applyFont="1" applyFill="1" applyAlignment="1">
      <alignment horizontal="center" vertical="center" wrapText="1"/>
    </xf>
    <xf numFmtId="0" fontId="31" fillId="21" borderId="0" xfId="0" applyFont="1" applyFill="1" applyAlignment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/>
    </xf>
    <xf numFmtId="164" fontId="5" fillId="4" borderId="15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1" fillId="19" borderId="0" xfId="0" applyFont="1" applyFill="1" applyAlignment="1">
      <alignment horizontal="center" vertical="center" wrapText="1"/>
    </xf>
    <xf numFmtId="166" fontId="23" fillId="4" borderId="30" xfId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8" fillId="14" borderId="20" xfId="0" applyFont="1" applyFill="1" applyBorder="1" applyAlignment="1">
      <alignment horizontal="center" vertical="center" wrapText="1"/>
    </xf>
    <xf numFmtId="0" fontId="8" fillId="14" borderId="22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6" fillId="13" borderId="22" xfId="0" applyFont="1" applyFill="1" applyBorder="1" applyAlignment="1">
      <alignment horizontal="center" vertical="center" wrapText="1"/>
    </xf>
    <xf numFmtId="10" fontId="6" fillId="13" borderId="20" xfId="0" applyNumberFormat="1" applyFont="1" applyFill="1" applyBorder="1" applyAlignment="1">
      <alignment horizontal="center" vertical="center" wrapText="1"/>
    </xf>
    <xf numFmtId="10" fontId="6" fillId="13" borderId="19" xfId="0" applyNumberFormat="1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8" fillId="14" borderId="21" xfId="0" applyFont="1" applyFill="1" applyBorder="1" applyAlignment="1">
      <alignment horizontal="center" vertical="center" wrapText="1"/>
    </xf>
    <xf numFmtId="10" fontId="22" fillId="4" borderId="0" xfId="0" applyNumberFormat="1" applyFont="1" applyFill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2" borderId="38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4" borderId="3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164" fontId="3" fillId="4" borderId="42" xfId="0" applyNumberFormat="1" applyFont="1" applyFill="1" applyBorder="1" applyAlignment="1">
      <alignment horizontal="center" vertical="center"/>
    </xf>
    <xf numFmtId="164" fontId="3" fillId="4" borderId="43" xfId="0" applyNumberFormat="1" applyFont="1" applyFill="1" applyBorder="1" applyAlignment="1">
      <alignment horizontal="center" vertical="center"/>
    </xf>
    <xf numFmtId="170" fontId="3" fillId="4" borderId="42" xfId="2" applyNumberFormat="1" applyFont="1" applyFill="1" applyBorder="1" applyAlignment="1">
      <alignment horizontal="center" vertical="center"/>
    </xf>
    <xf numFmtId="170" fontId="3" fillId="4" borderId="43" xfId="2" applyNumberFormat="1" applyFont="1" applyFill="1" applyBorder="1" applyAlignment="1">
      <alignment horizontal="center" vertical="center"/>
    </xf>
    <xf numFmtId="0" fontId="8" fillId="12" borderId="23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center" vertical="center" wrapText="1"/>
    </xf>
    <xf numFmtId="0" fontId="7" fillId="0" borderId="35" xfId="0" applyFont="1" applyBorder="1" applyAlignment="1"/>
    <xf numFmtId="0" fontId="25" fillId="0" borderId="34" xfId="0" applyFont="1" applyBorder="1"/>
    <xf numFmtId="0" fontId="25" fillId="0" borderId="33" xfId="0" applyFont="1" applyBorder="1"/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</dxfs>
  <tableStyles count="0" defaultTableStyle="TableStyleMedium9" defaultPivotStyle="PivotStyleLight16"/>
  <colors>
    <mruColors>
      <color rgb="FF40BB87"/>
      <color rgb="FF2C4055"/>
      <color rgb="FF00CC66"/>
      <color rgb="FFCC0099"/>
      <color rgb="FFFF33CC"/>
      <color rgb="FFFFF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34-4D24-896B-38C9934AF9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Dash01!$A$23</c:f>
              <c:numCache>
                <c:formatCode>"R$"\ #,##0.00</c:formatCode>
                <c:ptCount val="1"/>
                <c:pt idx="0">
                  <c:v>17304.740000000002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4-4D24-896B-38C9934AF995}"/>
            </c:ext>
          </c:extLst>
        </c:ser>
        <c:ser>
          <c:idx val="1"/>
          <c:order val="1"/>
          <c:spPr>
            <a:solidFill>
              <a:srgbClr val="00CC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Dash01!$A$24</c:f>
              <c:numCache>
                <c:formatCode>"R$"\ #,##0.00</c:formatCode>
                <c:ptCount val="1"/>
                <c:pt idx="0">
                  <c:v>17074.849999999999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4-4D24-896B-38C9934AF995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34-4D24-896B-38C9934AF9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Dash01!$A$25</c:f>
              <c:numCache>
                <c:formatCode>"R$"\ #,##0.00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4-4D24-896B-38C9934AF995}"/>
            </c:ext>
          </c:extLst>
        </c:ser>
        <c:ser>
          <c:idx val="3"/>
          <c:order val="3"/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Dash01!$A$26</c:f>
              <c:numCache>
                <c:formatCode>"R$"\ #,##0.00</c:formatCode>
                <c:ptCount val="1"/>
                <c:pt idx="0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4-4D24-896B-38C9934AF9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2274440"/>
        <c:axId val="422274768"/>
      </c:barChart>
      <c:catAx>
        <c:axId val="42227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74768"/>
        <c:crosses val="autoZero"/>
        <c:auto val="1"/>
        <c:lblAlgn val="ctr"/>
        <c:lblOffset val="100"/>
        <c:noMultiLvlLbl val="0"/>
      </c:catAx>
      <c:valAx>
        <c:axId val="42227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2227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35-43F5-8127-15BCE6C5C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35-43F5-8127-15BCE6C5C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35-43F5-8127-15BCE6C5C0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35-43F5-8127-15BCE6C5C02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'LIVRO CAIXA'!$A$8:$A$9</c:f>
              <c:strCache>
                <c:ptCount val="2"/>
                <c:pt idx="0">
                  <c:v>Receita Anestesia</c:v>
                </c:pt>
                <c:pt idx="1">
                  <c:v>Receitas Dinheiro</c:v>
                </c:pt>
              </c:strCache>
            </c:strRef>
          </c:cat>
          <c:val>
            <c:numRef>
              <c:f>'LIVRO CAIXA'!$L$8:$L$9</c:f>
              <c:numCache>
                <c:formatCode>"R$"\ #,##0.00</c:formatCode>
                <c:ptCount val="2"/>
                <c:pt idx="0">
                  <c:v>14278.85</c:v>
                </c:pt>
                <c:pt idx="1">
                  <c:v>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6-4B7C-90F5-F980AC84E1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83-4EBD-871A-762D2FF80D8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83-4EBD-871A-762D2FF80D83}"/>
              </c:ext>
            </c:extLst>
          </c:dPt>
          <c:dPt>
            <c:idx val="2"/>
            <c:bubble3D val="0"/>
            <c:explosion val="13"/>
            <c:spPr>
              <a:solidFill>
                <a:srgbClr val="00CC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83-4EBD-871A-762D2FF80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83-4EBD-871A-762D2FF80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58-4475-83DD-6F10EB767AFA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83-4EBD-871A-762D2FF80D83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083-4EBD-871A-762D2FF80D83}"/>
              </c:ext>
            </c:extLst>
          </c:dPt>
          <c:dPt>
            <c:idx val="7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83-4EBD-871A-762D2FF80D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10-4363-9F9C-0ED0FA2CB4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B52-4D3C-8FD6-C87187CD53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B52-4D3C-8FD6-C87187CD53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B52-4D3C-8FD6-C87187CD53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B52-4D3C-8FD6-C87187CD53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B52-4D3C-8FD6-C87187CD53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B52-4D3C-8FD6-C87187CD53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'LIVRO CAIXA'!$A$11:$A$25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'LIVRO CAIXA'!$L$11:$L$25</c:f>
              <c:numCache>
                <c:formatCode>"R$"\ #,##0.00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3-4EBD-871A-762D2FF80D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60345075888357702"/>
          <c:y val="0.17185043792611085"/>
          <c:w val="0.25767573350059886"/>
          <c:h val="0.56996808130616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2728039416948"/>
          <c:y val="4.0963865784742946E-2"/>
          <c:w val="0.72794543921166111"/>
          <c:h val="0.6412694282691530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4-4CB8-B06F-1230D3BDD5F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4-4CB8-B06F-1230D3BDD5F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4-4CB8-B06F-1230D3BDD5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4-4CB8-B06F-1230D3BDD5F8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B4-4CB8-B06F-1230D3BDD5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FD-4EF0-A6ED-D0056DC114A1}"/>
              </c:ext>
            </c:extLst>
          </c:dPt>
          <c:dPt>
            <c:idx val="6"/>
            <c:bubble3D val="0"/>
            <c:spPr>
              <a:solidFill>
                <a:srgbClr val="00CC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4B4-4CB8-B06F-1230D3BDD5F8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B4-4CB8-B06F-1230D3BDD5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38-4C90-A0DD-D6EE6E47B1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38-4C90-A0DD-D6EE6E47B1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38-4C90-A0DD-D6EE6E47B1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38-4C90-A0DD-D6EE6E47B1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38-4C90-A0DD-D6EE6E47B1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38-4C90-A0DD-D6EE6E47B1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38-4C90-A0DD-D6EE6E47B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Planilha2!$G$27:$G$41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Planilha2!$H$27:$H$41</c:f>
              <c:numCache>
                <c:formatCode>General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B4-4CB8-B06F-1230D3BD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7924305428889664"/>
          <c:w val="1"/>
          <c:h val="0.31921092103680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Planilha2!$D$40</c:f>
              <c:strCache>
                <c:ptCount val="1"/>
                <c:pt idx="0">
                  <c:v>Mês Anterior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Planilha2!$D$42:$D$52</c:f>
              <c:numCache>
                <c:formatCode>_-"R$"\ * #,##0_-;\-"R$"\ * #,##0_-;_-"R$"\ * "-"??_-;_-@_-</c:formatCode>
                <c:ptCount val="11"/>
                <c:pt idx="0">
                  <c:v>16324</c:v>
                </c:pt>
                <c:pt idx="1">
                  <c:v>15457.76</c:v>
                </c:pt>
                <c:pt idx="2">
                  <c:v>21557.9</c:v>
                </c:pt>
                <c:pt idx="3">
                  <c:v>16793.43</c:v>
                </c:pt>
                <c:pt idx="4">
                  <c:v>20768.93</c:v>
                </c:pt>
                <c:pt idx="5">
                  <c:v>17544.82</c:v>
                </c:pt>
                <c:pt idx="6">
                  <c:v>21738.79</c:v>
                </c:pt>
                <c:pt idx="7">
                  <c:v>22901.43</c:v>
                </c:pt>
                <c:pt idx="8">
                  <c:v>19910.21</c:v>
                </c:pt>
                <c:pt idx="9">
                  <c:v>19349.740000000002</c:v>
                </c:pt>
                <c:pt idx="10">
                  <c:v>17074.849999999999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B-4ECB-B5FD-EB6F113C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33295"/>
        <c:axId val="2043574799"/>
      </c:areaChart>
      <c:lineChart>
        <c:grouping val="standard"/>
        <c:varyColors val="0"/>
        <c:ser>
          <c:idx val="0"/>
          <c:order val="0"/>
          <c:tx>
            <c:strRef>
              <c:f>Planilha2!$C$40</c:f>
              <c:strCache>
                <c:ptCount val="1"/>
                <c:pt idx="0">
                  <c:v>Essa Mês</c:v>
                </c:pt>
              </c:strCache>
            </c:strRef>
          </c:tx>
          <c:spPr>
            <a:ln w="101600" cap="flat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Planilha2!$C$41:$C$52</c:f>
              <c:numCache>
                <c:formatCode>_-"R$"\ * #,##0_-;\-"R$"\ * #,##0_-;_-"R$"\ * "-"??_-;_-@_-</c:formatCode>
                <c:ptCount val="12"/>
                <c:pt idx="0">
                  <c:v>16324</c:v>
                </c:pt>
                <c:pt idx="1">
                  <c:v>15457.76</c:v>
                </c:pt>
                <c:pt idx="2">
                  <c:v>21557.9</c:v>
                </c:pt>
                <c:pt idx="3">
                  <c:v>16793.43</c:v>
                </c:pt>
                <c:pt idx="4">
                  <c:v>20768.93</c:v>
                </c:pt>
                <c:pt idx="5">
                  <c:v>17544.82</c:v>
                </c:pt>
                <c:pt idx="6">
                  <c:v>21738.79</c:v>
                </c:pt>
                <c:pt idx="7">
                  <c:v>22901.43</c:v>
                </c:pt>
                <c:pt idx="8">
                  <c:v>19910.21</c:v>
                </c:pt>
                <c:pt idx="9">
                  <c:v>19349.740000000002</c:v>
                </c:pt>
                <c:pt idx="10">
                  <c:v>17074.849999999999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B-4ECB-B5FD-EB6F113C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033295"/>
        <c:axId val="2043574799"/>
      </c:lineChart>
      <c:catAx>
        <c:axId val="19170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574799"/>
        <c:crosses val="autoZero"/>
        <c:auto val="1"/>
        <c:lblAlgn val="ctr"/>
        <c:lblOffset val="100"/>
        <c:noMultiLvlLbl val="0"/>
      </c:catAx>
      <c:valAx>
        <c:axId val="2043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0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.png"/><Relationship Id="rId3" Type="http://schemas.openxmlformats.org/officeDocument/2006/relationships/image" Target="../media/image4.png"/><Relationship Id="rId7" Type="http://schemas.openxmlformats.org/officeDocument/2006/relationships/image" Target="../media/image8.emf"/><Relationship Id="rId12" Type="http://schemas.openxmlformats.org/officeDocument/2006/relationships/chart" Target="../charts/chart5.xml"/><Relationship Id="rId2" Type="http://schemas.openxmlformats.org/officeDocument/2006/relationships/image" Target="../media/image3.emf"/><Relationship Id="rId1" Type="http://schemas.openxmlformats.org/officeDocument/2006/relationships/chart" Target="../charts/chart4.xml"/><Relationship Id="rId6" Type="http://schemas.openxmlformats.org/officeDocument/2006/relationships/image" Target="../media/image7.svg"/><Relationship Id="rId11" Type="http://schemas.openxmlformats.org/officeDocument/2006/relationships/image" Target="../media/image12.emf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svg"/><Relationship Id="rId9" Type="http://schemas.openxmlformats.org/officeDocument/2006/relationships/image" Target="../media/image10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1131193</xdr:colOff>
      <xdr:row>0</xdr:row>
      <xdr:rowOff>737618</xdr:rowOff>
    </xdr:to>
    <xdr:pic>
      <xdr:nvPicPr>
        <xdr:cNvPr id="3" name="Imagem 2" descr="logoexcel.fw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1731268" cy="737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159200</xdr:colOff>
      <xdr:row>1</xdr:row>
      <xdr:rowOff>128058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1F3A37-7FA7-453A-B4D6-FFA411BE0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8125" cy="899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1131193</xdr:colOff>
      <xdr:row>0</xdr:row>
      <xdr:rowOff>737618</xdr:rowOff>
    </xdr:to>
    <xdr:pic>
      <xdr:nvPicPr>
        <xdr:cNvPr id="2" name="Imagem 1" descr="logoexcel.fw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1731268" cy="737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23812</xdr:rowOff>
    </xdr:from>
    <xdr:to>
      <xdr:col>3</xdr:col>
      <xdr:colOff>304800</xdr:colOff>
      <xdr:row>20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5524A-E004-4EAF-A3CD-4B9E69AFA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88105</xdr:rowOff>
    </xdr:from>
    <xdr:to>
      <xdr:col>5</xdr:col>
      <xdr:colOff>492918</xdr:colOff>
      <xdr:row>22</xdr:row>
      <xdr:rowOff>155574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EEE046-CC9B-471B-9491-DD74B5EA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11909</xdr:colOff>
      <xdr:row>8</xdr:row>
      <xdr:rowOff>22492</xdr:rowOff>
    </xdr:from>
    <xdr:to>
      <xdr:col>9</xdr:col>
      <xdr:colOff>1393033</xdr:colOff>
      <xdr:row>22</xdr:row>
      <xdr:rowOff>178594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BE730C-5C85-4649-996A-C469D8FC9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</xdr:colOff>
      <xdr:row>0</xdr:row>
      <xdr:rowOff>8</xdr:rowOff>
    </xdr:from>
    <xdr:to>
      <xdr:col>2</xdr:col>
      <xdr:colOff>499744</xdr:colOff>
      <xdr:row>1</xdr:row>
      <xdr:rowOff>125685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BB7594-20AB-4DC0-8041-84E013B2C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" y="8"/>
          <a:ext cx="2988125" cy="8995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2</xdr:row>
      <xdr:rowOff>79373</xdr:rowOff>
    </xdr:from>
    <xdr:to>
      <xdr:col>19</xdr:col>
      <xdr:colOff>190500</xdr:colOff>
      <xdr:row>24</xdr:row>
      <xdr:rowOff>114299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A175DF84-C748-43C1-8975-A2E09CBA8AD4}"/>
            </a:ext>
          </a:extLst>
        </xdr:cNvPr>
        <xdr:cNvSpPr/>
      </xdr:nvSpPr>
      <xdr:spPr>
        <a:xfrm>
          <a:off x="6022975" y="1041398"/>
          <a:ext cx="5749925" cy="4292601"/>
        </a:xfrm>
        <a:prstGeom prst="roundRect">
          <a:avLst>
            <a:gd name="adj" fmla="val 449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274825</xdr:colOff>
      <xdr:row>2</xdr:row>
      <xdr:rowOff>20543</xdr:rowOff>
    </xdr:from>
    <xdr:to>
      <xdr:col>19</xdr:col>
      <xdr:colOff>333375</xdr:colOff>
      <xdr:row>24</xdr:row>
      <xdr:rowOff>85725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9F724372-81E0-4357-83A5-F5B70361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2</xdr:row>
      <xdr:rowOff>174625</xdr:rowOff>
    </xdr:from>
    <xdr:to>
      <xdr:col>4</xdr:col>
      <xdr:colOff>457577</xdr:colOff>
      <xdr:row>10</xdr:row>
      <xdr:rowOff>164177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3DB9B9B0-9D35-41D2-897C-D5FCD49BF7B1}"/>
            </a:ext>
          </a:extLst>
        </xdr:cNvPr>
        <xdr:cNvSpPr/>
      </xdr:nvSpPr>
      <xdr:spPr>
        <a:xfrm>
          <a:off x="520700" y="365125"/>
          <a:ext cx="2349877" cy="1513552"/>
        </a:xfrm>
        <a:prstGeom prst="roundRect">
          <a:avLst>
            <a:gd name="adj" fmla="val 449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533003</xdr:colOff>
      <xdr:row>3</xdr:row>
      <xdr:rowOff>63093</xdr:rowOff>
    </xdr:from>
    <xdr:to>
      <xdr:col>1</xdr:col>
      <xdr:colOff>577249</xdr:colOff>
      <xdr:row>5</xdr:row>
      <xdr:rowOff>47653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1D53832D-A227-4698-AB57-BADB966000CE}"/>
            </a:ext>
          </a:extLst>
        </xdr:cNvPr>
        <xdr:cNvSpPr txBox="1"/>
      </xdr:nvSpPr>
      <xdr:spPr>
        <a:xfrm>
          <a:off x="533003" y="444093"/>
          <a:ext cx="647496" cy="365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>
              <a:solidFill>
                <a:schemeClr val="bg1">
                  <a:lumMod val="50000"/>
                </a:schemeClr>
              </a:solidFill>
            </a:rPr>
            <a:t>Lucro</a:t>
          </a:r>
        </a:p>
      </xdr:txBody>
    </xdr:sp>
    <xdr:clientData/>
  </xdr:twoCellAnchor>
  <xdr:twoCellAnchor>
    <xdr:from>
      <xdr:col>0</xdr:col>
      <xdr:colOff>520700</xdr:colOff>
      <xdr:row>5</xdr:row>
      <xdr:rowOff>169062</xdr:rowOff>
    </xdr:from>
    <xdr:to>
      <xdr:col>3</xdr:col>
      <xdr:colOff>109677</xdr:colOff>
      <xdr:row>8</xdr:row>
      <xdr:rowOff>71212</xdr:rowOff>
    </xdr:to>
    <xdr:sp macro="" textlink="'LIVRO CAIXA'!L26">
      <xdr:nvSpPr>
        <xdr:cNvPr id="64" name="CaixaDeTexto 63">
          <a:extLst>
            <a:ext uri="{FF2B5EF4-FFF2-40B4-BE49-F238E27FC236}">
              <a16:creationId xmlns:a16="http://schemas.microsoft.com/office/drawing/2014/main" id="{26BDEA30-5182-4021-A59F-CCF0BC533EA6}"/>
            </a:ext>
          </a:extLst>
        </xdr:cNvPr>
        <xdr:cNvSpPr txBox="1"/>
      </xdr:nvSpPr>
      <xdr:spPr>
        <a:xfrm>
          <a:off x="520700" y="931062"/>
          <a:ext cx="1417777" cy="473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fld id="{98074AC6-FC7C-41F0-ABB3-B000EB0FE619}" type="TxLink">
            <a:rPr lang="en-US" sz="1400" b="1" i="0" u="none" strike="noStrike">
              <a:solidFill>
                <a:srgbClr val="262626"/>
              </a:solidFill>
              <a:latin typeface="Calibri"/>
              <a:ea typeface="+mn-ea"/>
              <a:cs typeface="Calibri"/>
            </a:rPr>
            <a:pPr marL="0" indent="0" algn="l"/>
            <a:t>R$ 15.219,85</a:t>
          </a:fld>
          <a:endParaRPr lang="pt-BR" sz="1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564356</xdr:colOff>
          <xdr:row>8</xdr:row>
          <xdr:rowOff>90935</xdr:rowOff>
        </xdr:from>
        <xdr:to>
          <xdr:col>2</xdr:col>
          <xdr:colOff>588158</xdr:colOff>
          <xdr:row>10</xdr:row>
          <xdr:rowOff>104775</xdr:rowOff>
        </xdr:to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D2B7FA18-86A9-486A-ABED-75288781C7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lanilha2!$E$4" spid="_x0000_s7816"/>
                </a:ext>
              </a:extLst>
            </xdr:cNvPicPr>
          </xdr:nvPicPr>
          <xdr:blipFill>
            <a:blip xmlns:r="http://schemas.openxmlformats.org/officeDocument/2006/relationships" r:embed="rId2">
              <a:alphaModFix/>
            </a:blip>
            <a:srcRect/>
            <a:stretch>
              <a:fillRect/>
            </a:stretch>
          </xdr:blipFill>
          <xdr:spPr bwMode="auto">
            <a:xfrm>
              <a:off x="564356" y="1424435"/>
              <a:ext cx="1243002" cy="39484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433373</xdr:colOff>
      <xdr:row>3</xdr:row>
      <xdr:rowOff>76254</xdr:rowOff>
    </xdr:from>
    <xdr:to>
      <xdr:col>4</xdr:col>
      <xdr:colOff>371456</xdr:colOff>
      <xdr:row>6</xdr:row>
      <xdr:rowOff>31207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4D18DA32-F699-49C5-9D89-78729D687FBA}"/>
            </a:ext>
          </a:extLst>
        </xdr:cNvPr>
        <xdr:cNvSpPr/>
      </xdr:nvSpPr>
      <xdr:spPr>
        <a:xfrm>
          <a:off x="2243123" y="457254"/>
          <a:ext cx="541333" cy="526453"/>
        </a:xfrm>
        <a:prstGeom prst="roundRect">
          <a:avLst>
            <a:gd name="adj" fmla="val 11068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482585</xdr:colOff>
      <xdr:row>3</xdr:row>
      <xdr:rowOff>155222</xdr:rowOff>
    </xdr:from>
    <xdr:to>
      <xdr:col>4</xdr:col>
      <xdr:colOff>314504</xdr:colOff>
      <xdr:row>5</xdr:row>
      <xdr:rowOff>175416</xdr:rowOff>
    </xdr:to>
    <xdr:pic>
      <xdr:nvPicPr>
        <xdr:cNvPr id="70" name="Gráfico 24" descr="Dólar">
          <a:extLst>
            <a:ext uri="{FF2B5EF4-FFF2-40B4-BE49-F238E27FC236}">
              <a16:creationId xmlns:a16="http://schemas.microsoft.com/office/drawing/2014/main" id="{A71664C1-720C-4D47-AD6A-48F555F01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92335" y="536222"/>
          <a:ext cx="435169" cy="401194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2</xdr:row>
      <xdr:rowOff>178859</xdr:rowOff>
    </xdr:from>
    <xdr:to>
      <xdr:col>9</xdr:col>
      <xdr:colOff>133727</xdr:colOff>
      <xdr:row>10</xdr:row>
      <xdr:rowOff>168411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755C4E6-3C3D-4746-9FED-7B83B03B38BA}"/>
            </a:ext>
          </a:extLst>
        </xdr:cNvPr>
        <xdr:cNvGrpSpPr/>
      </xdr:nvGrpSpPr>
      <xdr:grpSpPr>
        <a:xfrm>
          <a:off x="3228975" y="1140884"/>
          <a:ext cx="2391152" cy="1513552"/>
          <a:chOff x="3250142" y="390525"/>
          <a:chExt cx="2408085" cy="1513552"/>
        </a:xfrm>
      </xdr:grpSpPr>
      <xdr:sp macro="" textlink="">
        <xdr:nvSpPr>
          <xdr:cNvPr id="97" name="Retângulo: Cantos Arredondados 96">
            <a:extLst>
              <a:ext uri="{FF2B5EF4-FFF2-40B4-BE49-F238E27FC236}">
                <a16:creationId xmlns:a16="http://schemas.microsoft.com/office/drawing/2014/main" id="{990D6CFF-6A64-4990-8CA7-DA18663C41A6}"/>
              </a:ext>
            </a:extLst>
          </xdr:cNvPr>
          <xdr:cNvSpPr/>
        </xdr:nvSpPr>
        <xdr:spPr>
          <a:xfrm>
            <a:off x="3266017" y="390525"/>
            <a:ext cx="2392210" cy="1513552"/>
          </a:xfrm>
          <a:prstGeom prst="roundRect">
            <a:avLst>
              <a:gd name="adj" fmla="val 4493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71E3E308-F1F0-42F3-9113-91A644225D8A}"/>
              </a:ext>
            </a:extLst>
          </xdr:cNvPr>
          <xdr:cNvSpPr txBox="1"/>
        </xdr:nvSpPr>
        <xdr:spPr>
          <a:xfrm>
            <a:off x="3339042" y="476250"/>
            <a:ext cx="1095861" cy="3333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Crescimento</a:t>
            </a:r>
          </a:p>
        </xdr:txBody>
      </xdr:sp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3A5BA330-18E4-4BA9-A4E8-879BD4EEF431}"/>
              </a:ext>
            </a:extLst>
          </xdr:cNvPr>
          <xdr:cNvSpPr/>
        </xdr:nvSpPr>
        <xdr:spPr>
          <a:xfrm>
            <a:off x="5001140" y="466779"/>
            <a:ext cx="551916" cy="526453"/>
          </a:xfrm>
          <a:prstGeom prst="roundRect">
            <a:avLst>
              <a:gd name="adj" fmla="val 11068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4" name="Gráfico 203" descr="Tendência para cima">
            <a:extLst>
              <a:ext uri="{FF2B5EF4-FFF2-40B4-BE49-F238E27FC236}">
                <a16:creationId xmlns:a16="http://schemas.microsoft.com/office/drawing/2014/main" id="{F48C3A4D-8AF6-4D94-9355-7024733138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063067" y="514350"/>
            <a:ext cx="425165" cy="409575"/>
          </a:xfrm>
          <a:prstGeom prst="rect">
            <a:avLst/>
          </a:prstGeom>
        </xdr:spPr>
      </xdr:pic>
      <xdr:sp macro="" textlink="Planilha2!C5">
        <xdr:nvSpPr>
          <xdr:cNvPr id="105" name="CaixaDeTexto 104">
            <a:extLst>
              <a:ext uri="{FF2B5EF4-FFF2-40B4-BE49-F238E27FC236}">
                <a16:creationId xmlns:a16="http://schemas.microsoft.com/office/drawing/2014/main" id="{6027B6C8-A927-4682-A936-A62C80D3830B}"/>
              </a:ext>
            </a:extLst>
          </xdr:cNvPr>
          <xdr:cNvSpPr txBox="1"/>
        </xdr:nvSpPr>
        <xdr:spPr>
          <a:xfrm>
            <a:off x="3250142" y="904875"/>
            <a:ext cx="118525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indent="0" algn="l"/>
            <a:fld id="{C4150EBD-3072-4554-89F9-7A30AE6372E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l"/>
              <a:t>-R$ 2.274,89</a:t>
            </a:fld>
            <a:endParaRPr lang="pt-BR" sz="16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07" name="Imagem 106">
                <a:extLst>
                  <a:ext uri="{FF2B5EF4-FFF2-40B4-BE49-F238E27FC236}">
                    <a16:creationId xmlns:a16="http://schemas.microsoft.com/office/drawing/2014/main" id="{5DE09FDF-A18F-4542-90FB-967A7ACB6F4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lanilha2!E5" spid="_x0000_s7817"/>
                  </a:ext>
                </a:extLst>
              </xdr:cNvPicPr>
            </xdr:nvPicPr>
            <xdr:blipFill>
              <a:blip xmlns:r="http://schemas.openxmlformats.org/officeDocument/2006/relationships" r:embed="rId7">
                <a:alphaModFix/>
              </a:blip>
              <a:srcRect/>
              <a:stretch>
                <a:fillRect/>
              </a:stretch>
            </xdr:blipFill>
            <xdr:spPr bwMode="auto">
              <a:xfrm>
                <a:off x="3366823" y="1424435"/>
                <a:ext cx="1251468" cy="394840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F236F852-D129-4ABC-A0E5-29027C08D161}"/>
              </a:ext>
            </a:extLst>
          </xdr:cNvPr>
          <xdr:cNvSpPr txBox="1"/>
        </xdr:nvSpPr>
        <xdr:spPr>
          <a:xfrm>
            <a:off x="4516626" y="1597025"/>
            <a:ext cx="1007992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800">
                <a:solidFill>
                  <a:schemeClr val="bg1">
                    <a:lumMod val="50000"/>
                  </a:schemeClr>
                </a:solidFill>
              </a:rPr>
              <a:t>Nos</a:t>
            </a:r>
            <a:r>
              <a:rPr lang="pt-BR" sz="800" baseline="0">
                <a:solidFill>
                  <a:schemeClr val="bg1">
                    <a:lumMod val="50000"/>
                  </a:schemeClr>
                </a:solidFill>
              </a:rPr>
              <a:t> últimos 30 dias</a:t>
            </a:r>
            <a:endParaRPr lang="pt-BR" sz="8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550710</xdr:colOff>
      <xdr:row>12</xdr:row>
      <xdr:rowOff>31092</xdr:rowOff>
    </xdr:from>
    <xdr:to>
      <xdr:col>4</xdr:col>
      <xdr:colOff>487587</xdr:colOff>
      <xdr:row>20</xdr:row>
      <xdr:rowOff>20644</xdr:rowOff>
    </xdr:to>
    <xdr:sp macro="" textlink="">
      <xdr:nvSpPr>
        <xdr:cNvPr id="111" name="Retângulo: Cantos Arredondados 110">
          <a:extLst>
            <a:ext uri="{FF2B5EF4-FFF2-40B4-BE49-F238E27FC236}">
              <a16:creationId xmlns:a16="http://schemas.microsoft.com/office/drawing/2014/main" id="{C5377DF7-8484-4A2F-B686-C55FA6FF8685}"/>
            </a:ext>
          </a:extLst>
        </xdr:cNvPr>
        <xdr:cNvSpPr/>
      </xdr:nvSpPr>
      <xdr:spPr>
        <a:xfrm>
          <a:off x="550710" y="2126592"/>
          <a:ext cx="2381627" cy="1513552"/>
        </a:xfrm>
        <a:prstGeom prst="roundRect">
          <a:avLst>
            <a:gd name="adj" fmla="val 449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199458</xdr:colOff>
      <xdr:row>12</xdr:row>
      <xdr:rowOff>25127</xdr:rowOff>
    </xdr:from>
    <xdr:to>
      <xdr:col>9</xdr:col>
      <xdr:colOff>136447</xdr:colOff>
      <xdr:row>20</xdr:row>
      <xdr:rowOff>14679</xdr:rowOff>
    </xdr:to>
    <xdr:sp macro="" textlink="">
      <xdr:nvSpPr>
        <xdr:cNvPr id="114" name="Retângulo: Cantos Arredondados 113">
          <a:extLst>
            <a:ext uri="{FF2B5EF4-FFF2-40B4-BE49-F238E27FC236}">
              <a16:creationId xmlns:a16="http://schemas.microsoft.com/office/drawing/2014/main" id="{E3140E26-6026-4F32-8A2D-8410872749C8}"/>
            </a:ext>
          </a:extLst>
        </xdr:cNvPr>
        <xdr:cNvSpPr/>
      </xdr:nvSpPr>
      <xdr:spPr>
        <a:xfrm>
          <a:off x="3247458" y="2120627"/>
          <a:ext cx="2375389" cy="1513552"/>
        </a:xfrm>
        <a:prstGeom prst="roundRect">
          <a:avLst>
            <a:gd name="adj" fmla="val 449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93580</xdr:colOff>
      <xdr:row>12</xdr:row>
      <xdr:rowOff>101381</xdr:rowOff>
    </xdr:from>
    <xdr:to>
      <xdr:col>9</xdr:col>
      <xdr:colOff>32015</xdr:colOff>
      <xdr:row>15</xdr:row>
      <xdr:rowOff>56334</xdr:rowOff>
    </xdr:to>
    <xdr:sp macro="" textlink="">
      <xdr:nvSpPr>
        <xdr:cNvPr id="116" name="Retângulo: Cantos Arredondados 115">
          <a:extLst>
            <a:ext uri="{FF2B5EF4-FFF2-40B4-BE49-F238E27FC236}">
              <a16:creationId xmlns:a16="http://schemas.microsoft.com/office/drawing/2014/main" id="{8C49418D-4C9F-41DA-B8C3-37612F7E57F0}"/>
            </a:ext>
          </a:extLst>
        </xdr:cNvPr>
        <xdr:cNvSpPr/>
      </xdr:nvSpPr>
      <xdr:spPr>
        <a:xfrm>
          <a:off x="4970380" y="2196881"/>
          <a:ext cx="548035" cy="526453"/>
        </a:xfrm>
        <a:prstGeom prst="roundRect">
          <a:avLst>
            <a:gd name="adj" fmla="val 11068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219075</xdr:colOff>
      <xdr:row>12</xdr:row>
      <xdr:rowOff>161924</xdr:rowOff>
    </xdr:from>
    <xdr:to>
      <xdr:col>8</xdr:col>
      <xdr:colOff>514350</xdr:colOff>
      <xdr:row>14</xdr:row>
      <xdr:rowOff>174137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EADBD87D-D6C5-4062-8DE9-0920A39D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5875" y="2257424"/>
          <a:ext cx="295275" cy="393213"/>
        </a:xfrm>
        <a:prstGeom prst="rect">
          <a:avLst/>
        </a:prstGeom>
      </xdr:spPr>
    </xdr:pic>
    <xdr:clientData/>
  </xdr:twoCellAnchor>
  <xdr:twoCellAnchor>
    <xdr:from>
      <xdr:col>5</xdr:col>
      <xdr:colOff>323850</xdr:colOff>
      <xdr:row>12</xdr:row>
      <xdr:rowOff>85725</xdr:rowOff>
    </xdr:from>
    <xdr:to>
      <xdr:col>7</xdr:col>
      <xdr:colOff>85726</xdr:colOff>
      <xdr:row>13</xdr:row>
      <xdr:rowOff>159785</xdr:rowOff>
    </xdr:to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id="{BF74372B-BC72-492F-ABE6-535715BCC4F2}"/>
            </a:ext>
          </a:extLst>
        </xdr:cNvPr>
        <xdr:cNvSpPr txBox="1"/>
      </xdr:nvSpPr>
      <xdr:spPr>
        <a:xfrm>
          <a:off x="3371850" y="2181225"/>
          <a:ext cx="9810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>
              <a:solidFill>
                <a:schemeClr val="bg1">
                  <a:lumMod val="50000"/>
                </a:schemeClr>
              </a:solidFill>
            </a:rPr>
            <a:t>Qtd</a:t>
          </a:r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 Exame</a:t>
          </a:r>
          <a:endParaRPr lang="pt-BR" sz="14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406399</xdr:colOff>
      <xdr:row>14</xdr:row>
      <xdr:rowOff>111125</xdr:rowOff>
    </xdr:from>
    <xdr:to>
      <xdr:col>7</xdr:col>
      <xdr:colOff>337096</xdr:colOff>
      <xdr:row>16</xdr:row>
      <xdr:rowOff>72911</xdr:rowOff>
    </xdr:to>
    <xdr:sp macro="" textlink="Planilha2!C3">
      <xdr:nvSpPr>
        <xdr:cNvPr id="32" name="CaixaDeTexto 31">
          <a:extLst>
            <a:ext uri="{FF2B5EF4-FFF2-40B4-BE49-F238E27FC236}">
              <a16:creationId xmlns:a16="http://schemas.microsoft.com/office/drawing/2014/main" id="{B025FC8F-3516-4178-BC54-3730612B70BD}"/>
            </a:ext>
          </a:extLst>
        </xdr:cNvPr>
        <xdr:cNvSpPr txBox="1"/>
      </xdr:nvSpPr>
      <xdr:spPr>
        <a:xfrm>
          <a:off x="3454399" y="2587625"/>
          <a:ext cx="114989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fld id="{0CD4A83B-4151-4245-A8E6-8FC0B439BC11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105</a:t>
          </a:fld>
          <a:endParaRPr lang="pt-BR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297656</xdr:colOff>
          <xdr:row>17</xdr:row>
          <xdr:rowOff>33785</xdr:rowOff>
        </xdr:from>
        <xdr:to>
          <xdr:col>7</xdr:col>
          <xdr:colOff>321458</xdr:colOff>
          <xdr:row>19</xdr:row>
          <xdr:rowOff>47625</xdr:rowOff>
        </xdr:to>
        <xdr:pic>
          <xdr:nvPicPr>
            <xdr:cNvPr id="123" name="Imagem 122">
              <a:extLst>
                <a:ext uri="{FF2B5EF4-FFF2-40B4-BE49-F238E27FC236}">
                  <a16:creationId xmlns:a16="http://schemas.microsoft.com/office/drawing/2014/main" id="{13C17870-3B4F-45FD-829E-18C7A0ECA29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lanilha2!E3" spid="_x0000_s7818"/>
                </a:ext>
              </a:extLst>
            </xdr:cNvPicPr>
          </xdr:nvPicPr>
          <xdr:blipFill>
            <a:blip xmlns:r="http://schemas.openxmlformats.org/officeDocument/2006/relationships" r:embed="rId9">
              <a:alphaModFix/>
            </a:blip>
            <a:srcRect/>
            <a:stretch>
              <a:fillRect/>
            </a:stretch>
          </xdr:blipFill>
          <xdr:spPr bwMode="auto">
            <a:xfrm>
              <a:off x="3345656" y="3081785"/>
              <a:ext cx="1243002" cy="39484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142875</xdr:colOff>
      <xdr:row>17</xdr:row>
      <xdr:rowOff>171450</xdr:rowOff>
    </xdr:from>
    <xdr:to>
      <xdr:col>9</xdr:col>
      <xdr:colOff>48404</xdr:colOff>
      <xdr:row>19</xdr:row>
      <xdr:rowOff>84210</xdr:rowOff>
    </xdr:to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D09F177B-9291-4907-8F80-6770BEC0E9A5}"/>
            </a:ext>
          </a:extLst>
        </xdr:cNvPr>
        <xdr:cNvSpPr txBox="1"/>
      </xdr:nvSpPr>
      <xdr:spPr>
        <a:xfrm>
          <a:off x="4410075" y="3219450"/>
          <a:ext cx="1124729" cy="293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800">
              <a:solidFill>
                <a:schemeClr val="bg1">
                  <a:lumMod val="50000"/>
                </a:schemeClr>
              </a:solidFill>
            </a:rPr>
            <a:t>Nos</a:t>
          </a:r>
          <a:r>
            <a:rPr lang="pt-BR" sz="800" baseline="0">
              <a:solidFill>
                <a:schemeClr val="bg1">
                  <a:lumMod val="50000"/>
                </a:schemeClr>
              </a:solidFill>
            </a:rPr>
            <a:t> últimos 30 dias</a:t>
          </a:r>
          <a:endParaRPr lang="pt-BR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542925</xdr:colOff>
      <xdr:row>9</xdr:row>
      <xdr:rowOff>9525</xdr:rowOff>
    </xdr:from>
    <xdr:to>
      <xdr:col>5</xdr:col>
      <xdr:colOff>14694</xdr:colOff>
      <xdr:row>10</xdr:row>
      <xdr:rowOff>119642</xdr:rowOff>
    </xdr:to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A08075E4-608C-40F3-BAF3-462660761AE5}"/>
            </a:ext>
          </a:extLst>
        </xdr:cNvPr>
        <xdr:cNvSpPr txBox="1"/>
      </xdr:nvSpPr>
      <xdr:spPr>
        <a:xfrm>
          <a:off x="1762125" y="1533525"/>
          <a:ext cx="1300569" cy="300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800">
              <a:solidFill>
                <a:schemeClr val="bg1">
                  <a:lumMod val="50000"/>
                </a:schemeClr>
              </a:solidFill>
            </a:rPr>
            <a:t>Nos</a:t>
          </a:r>
          <a:r>
            <a:rPr lang="pt-BR" sz="800" baseline="0">
              <a:solidFill>
                <a:schemeClr val="bg1">
                  <a:lumMod val="50000"/>
                </a:schemeClr>
              </a:solidFill>
            </a:rPr>
            <a:t> últimos 30 dias</a:t>
          </a:r>
          <a:endParaRPr lang="pt-BR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584862</xdr:colOff>
      <xdr:row>12</xdr:row>
      <xdr:rowOff>113893</xdr:rowOff>
    </xdr:from>
    <xdr:to>
      <xdr:col>3</xdr:col>
      <xdr:colOff>125942</xdr:colOff>
      <xdr:row>14</xdr:row>
      <xdr:rowOff>98453</xdr:rowOff>
    </xdr:to>
    <xdr:sp macro="" textlink="">
      <xdr:nvSpPr>
        <xdr:cNvPr id="126" name="CaixaDeTexto 125">
          <a:extLst>
            <a:ext uri="{FF2B5EF4-FFF2-40B4-BE49-F238E27FC236}">
              <a16:creationId xmlns:a16="http://schemas.microsoft.com/office/drawing/2014/main" id="{1ABD1DE4-594B-44E5-AF42-468ED7FA8356}"/>
            </a:ext>
          </a:extLst>
        </xdr:cNvPr>
        <xdr:cNvSpPr txBox="1"/>
      </xdr:nvSpPr>
      <xdr:spPr>
        <a:xfrm>
          <a:off x="584862" y="2276068"/>
          <a:ext cx="1369880" cy="365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>
              <a:solidFill>
                <a:schemeClr val="bg1">
                  <a:lumMod val="50000"/>
                </a:schemeClr>
              </a:solidFill>
            </a:rPr>
            <a:t>Realizado</a:t>
          </a:r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 x Meta</a:t>
          </a:r>
          <a:endParaRPr lang="pt-BR" sz="14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433373</xdr:colOff>
      <xdr:row>12</xdr:row>
      <xdr:rowOff>139754</xdr:rowOff>
    </xdr:from>
    <xdr:to>
      <xdr:col>4</xdr:col>
      <xdr:colOff>371456</xdr:colOff>
      <xdr:row>15</xdr:row>
      <xdr:rowOff>94707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58C58290-01DE-48C0-B619-341E348023E9}"/>
            </a:ext>
          </a:extLst>
        </xdr:cNvPr>
        <xdr:cNvSpPr/>
      </xdr:nvSpPr>
      <xdr:spPr>
        <a:xfrm>
          <a:off x="2274873" y="2298754"/>
          <a:ext cx="551916" cy="526453"/>
        </a:xfrm>
        <a:prstGeom prst="roundRect">
          <a:avLst>
            <a:gd name="adj" fmla="val 11068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534461</xdr:colOff>
      <xdr:row>12</xdr:row>
      <xdr:rowOff>160867</xdr:rowOff>
    </xdr:from>
    <xdr:to>
      <xdr:col>4</xdr:col>
      <xdr:colOff>318051</xdr:colOff>
      <xdr:row>15</xdr:row>
      <xdr:rowOff>4762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D59EA370-2462-4000-B945-387DBAC5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63261" y="2323042"/>
          <a:ext cx="393190" cy="4153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2381</xdr:colOff>
          <xdr:row>17</xdr:row>
          <xdr:rowOff>52835</xdr:rowOff>
        </xdr:from>
        <xdr:to>
          <xdr:col>3</xdr:col>
          <xdr:colOff>26183</xdr:colOff>
          <xdr:row>19</xdr:row>
          <xdr:rowOff>66675</xdr:rowOff>
        </xdr:to>
        <xdr:pic>
          <xdr:nvPicPr>
            <xdr:cNvPr id="130" name="Imagem 129">
              <a:extLst>
                <a:ext uri="{FF2B5EF4-FFF2-40B4-BE49-F238E27FC236}">
                  <a16:creationId xmlns:a16="http://schemas.microsoft.com/office/drawing/2014/main" id="{A61C7FDF-613E-4570-8DD1-D77B15E255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lanilha2!E6" spid="_x0000_s7819"/>
                </a:ext>
              </a:extLst>
            </xdr:cNvPicPr>
          </xdr:nvPicPr>
          <xdr:blipFill>
            <a:blip xmlns:r="http://schemas.openxmlformats.org/officeDocument/2006/relationships" r:embed="rId11">
              <a:alphaModFix/>
            </a:blip>
            <a:srcRect/>
            <a:stretch>
              <a:fillRect/>
            </a:stretch>
          </xdr:blipFill>
          <xdr:spPr bwMode="auto">
            <a:xfrm>
              <a:off x="611981" y="3167510"/>
              <a:ext cx="1243002" cy="39484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596900</xdr:colOff>
      <xdr:row>14</xdr:row>
      <xdr:rowOff>188112</xdr:rowOff>
    </xdr:from>
    <xdr:to>
      <xdr:col>3</xdr:col>
      <xdr:colOff>185877</xdr:colOff>
      <xdr:row>17</xdr:row>
      <xdr:rowOff>90262</xdr:rowOff>
    </xdr:to>
    <xdr:sp macro="" textlink="Planilha2!C6">
      <xdr:nvSpPr>
        <xdr:cNvPr id="131" name="CaixaDeTexto 130">
          <a:extLst>
            <a:ext uri="{FF2B5EF4-FFF2-40B4-BE49-F238E27FC236}">
              <a16:creationId xmlns:a16="http://schemas.microsoft.com/office/drawing/2014/main" id="{0CAA65DD-86F8-457D-BFA1-D1A9A4B16CB9}"/>
            </a:ext>
          </a:extLst>
        </xdr:cNvPr>
        <xdr:cNvSpPr txBox="1"/>
      </xdr:nvSpPr>
      <xdr:spPr>
        <a:xfrm>
          <a:off x="596900" y="2731287"/>
          <a:ext cx="1417777" cy="473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fld id="{648BD331-936C-4C2C-8841-440600CE3203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-R$ 229,89</a:t>
          </a:fld>
          <a:endParaRPr lang="pt-BR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600075</xdr:colOff>
      <xdr:row>18</xdr:row>
      <xdr:rowOff>38100</xdr:rowOff>
    </xdr:from>
    <xdr:to>
      <xdr:col>5</xdr:col>
      <xdr:colOff>71844</xdr:colOff>
      <xdr:row>19</xdr:row>
      <xdr:rowOff>148217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3BB1CB9A-2401-41B8-8D20-E8C1DADB225D}"/>
            </a:ext>
          </a:extLst>
        </xdr:cNvPr>
        <xdr:cNvSpPr txBox="1"/>
      </xdr:nvSpPr>
      <xdr:spPr>
        <a:xfrm>
          <a:off x="1819275" y="3343275"/>
          <a:ext cx="1300569" cy="300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800">
              <a:solidFill>
                <a:schemeClr val="bg1">
                  <a:lumMod val="50000"/>
                </a:schemeClr>
              </a:solidFill>
            </a:rPr>
            <a:t>Nos</a:t>
          </a:r>
          <a:r>
            <a:rPr lang="pt-BR" sz="800" baseline="0">
              <a:solidFill>
                <a:schemeClr val="bg1">
                  <a:lumMod val="50000"/>
                </a:schemeClr>
              </a:solidFill>
            </a:rPr>
            <a:t> últimos 30 dias</a:t>
          </a:r>
          <a:endParaRPr lang="pt-BR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210187</xdr:colOff>
      <xdr:row>22</xdr:row>
      <xdr:rowOff>9526</xdr:rowOff>
    </xdr:from>
    <xdr:to>
      <xdr:col>15</xdr:col>
      <xdr:colOff>428625</xdr:colOff>
      <xdr:row>41</xdr:row>
      <xdr:rowOff>152401</xdr:rowOff>
    </xdr:to>
    <xdr:grpSp>
      <xdr:nvGrpSpPr>
        <xdr:cNvPr id="7175" name="Agrupar 7174">
          <a:extLst>
            <a:ext uri="{FF2B5EF4-FFF2-40B4-BE49-F238E27FC236}">
              <a16:creationId xmlns:a16="http://schemas.microsoft.com/office/drawing/2014/main" id="{CA07025E-CF73-43C1-990B-F7FFE3943E1E}"/>
            </a:ext>
          </a:extLst>
        </xdr:cNvPr>
        <xdr:cNvGrpSpPr/>
      </xdr:nvGrpSpPr>
      <xdr:grpSpPr>
        <a:xfrm>
          <a:off x="210187" y="4848226"/>
          <a:ext cx="9362438" cy="3762375"/>
          <a:chOff x="609601" y="4772509"/>
          <a:chExt cx="6195646" cy="2375324"/>
        </a:xfrm>
      </xdr:grpSpPr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C594EAED-BE98-49DE-BA02-A08031B4361A}"/>
              </a:ext>
            </a:extLst>
          </xdr:cNvPr>
          <xdr:cNvSpPr txBox="1"/>
        </xdr:nvSpPr>
        <xdr:spPr>
          <a:xfrm>
            <a:off x="1271018" y="4772509"/>
            <a:ext cx="1425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/>
                </a:solidFill>
              </a:rPr>
              <a:t>FATURAMENTO</a:t>
            </a:r>
          </a:p>
        </xdr:txBody>
      </xdr:sp>
      <xdr:sp macro="" textlink="">
        <xdr:nvSpPr>
          <xdr:cNvPr id="137" name="CaixaDeTexto 136">
            <a:extLst>
              <a:ext uri="{FF2B5EF4-FFF2-40B4-BE49-F238E27FC236}">
                <a16:creationId xmlns:a16="http://schemas.microsoft.com/office/drawing/2014/main" id="{1BAA3530-0386-4ECD-BAE7-363E213C575B}"/>
              </a:ext>
            </a:extLst>
          </xdr:cNvPr>
          <xdr:cNvSpPr txBox="1"/>
        </xdr:nvSpPr>
        <xdr:spPr>
          <a:xfrm>
            <a:off x="2371646" y="5079328"/>
            <a:ext cx="99413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pt-BR" sz="800">
                <a:solidFill>
                  <a:schemeClr val="bg1">
                    <a:lumMod val="50000"/>
                  </a:schemeClr>
                </a:solidFill>
              </a:rPr>
              <a:t>Mês Atual</a:t>
            </a:r>
          </a:p>
        </xdr:txBody>
      </xdr:sp>
      <xdr:sp macro="" textlink="">
        <xdr:nvSpPr>
          <xdr:cNvPr id="138" name="CaixaDeTexto 137">
            <a:extLst>
              <a:ext uri="{FF2B5EF4-FFF2-40B4-BE49-F238E27FC236}">
                <a16:creationId xmlns:a16="http://schemas.microsoft.com/office/drawing/2014/main" id="{CAD7B3AA-5F1D-475A-902E-8D379C65C67F}"/>
              </a:ext>
            </a:extLst>
          </xdr:cNvPr>
          <xdr:cNvSpPr txBox="1"/>
        </xdr:nvSpPr>
        <xdr:spPr>
          <a:xfrm>
            <a:off x="1251638" y="5067301"/>
            <a:ext cx="99413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pt-BR" sz="800">
                <a:solidFill>
                  <a:schemeClr val="bg1">
                    <a:lumMod val="50000"/>
                  </a:schemeClr>
                </a:solidFill>
              </a:rPr>
              <a:t>Mês Anterior</a:t>
            </a:r>
          </a:p>
        </xdr:txBody>
      </xdr:sp>
      <xdr:sp macro="" textlink="'FLUXO DE CAIXA'!L7">
        <xdr:nvSpPr>
          <xdr:cNvPr id="139" name="CaixaDeTexto 138">
            <a:extLst>
              <a:ext uri="{FF2B5EF4-FFF2-40B4-BE49-F238E27FC236}">
                <a16:creationId xmlns:a16="http://schemas.microsoft.com/office/drawing/2014/main" id="{D1794787-1ED5-49DC-BB81-7CC1AA57C795}"/>
              </a:ext>
            </a:extLst>
          </xdr:cNvPr>
          <xdr:cNvSpPr txBox="1"/>
        </xdr:nvSpPr>
        <xdr:spPr>
          <a:xfrm>
            <a:off x="1293936" y="5210176"/>
            <a:ext cx="1079963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indent="0" algn="l"/>
            <a:fld id="{A74910B7-D25C-4416-B2B9-5BD52D80D163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l"/>
              <a:t>R$ 19.349,74</a:t>
            </a:fld>
            <a:endParaRPr lang="pt-BR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'FLUXO DE CAIXA'!M7">
        <xdr:nvSpPr>
          <xdr:cNvPr id="140" name="CaixaDeTexto 139">
            <a:extLst>
              <a:ext uri="{FF2B5EF4-FFF2-40B4-BE49-F238E27FC236}">
                <a16:creationId xmlns:a16="http://schemas.microsoft.com/office/drawing/2014/main" id="{76108124-B26A-45D0-83FE-1CB614A43A14}"/>
              </a:ext>
            </a:extLst>
          </xdr:cNvPr>
          <xdr:cNvSpPr txBox="1"/>
        </xdr:nvSpPr>
        <xdr:spPr>
          <a:xfrm>
            <a:off x="2471241" y="5234230"/>
            <a:ext cx="1079963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indent="0" algn="l"/>
            <a:fld id="{1C3A41A4-023A-4F6E-8912-A9163B08CCD4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l"/>
              <a:t>R$ 17.074,85</a:t>
            </a:fld>
            <a:endParaRPr lang="pt-BR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141" name="Gráfico 140">
            <a:extLst>
              <a:ext uri="{FF2B5EF4-FFF2-40B4-BE49-F238E27FC236}">
                <a16:creationId xmlns:a16="http://schemas.microsoft.com/office/drawing/2014/main" id="{00274C91-BF6D-4A68-96D9-FDCBD9BCE315}"/>
              </a:ext>
            </a:extLst>
          </xdr:cNvPr>
          <xdr:cNvGraphicFramePr>
            <a:graphicFrameLocks/>
          </xdr:cNvGraphicFramePr>
        </xdr:nvGraphicFramePr>
        <xdr:xfrm>
          <a:off x="609601" y="5690508"/>
          <a:ext cx="6195646" cy="1457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42" name="Elipse 141">
            <a:extLst>
              <a:ext uri="{FF2B5EF4-FFF2-40B4-BE49-F238E27FC236}">
                <a16:creationId xmlns:a16="http://schemas.microsoft.com/office/drawing/2014/main" id="{BBC30A9E-0B01-470F-87C0-E88C84615BB5}"/>
              </a:ext>
            </a:extLst>
          </xdr:cNvPr>
          <xdr:cNvSpPr/>
        </xdr:nvSpPr>
        <xdr:spPr>
          <a:xfrm>
            <a:off x="1262095" y="5284582"/>
            <a:ext cx="76200" cy="76200"/>
          </a:xfrm>
          <a:prstGeom prst="ellipse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3" name="Elipse 142">
            <a:extLst>
              <a:ext uri="{FF2B5EF4-FFF2-40B4-BE49-F238E27FC236}">
                <a16:creationId xmlns:a16="http://schemas.microsoft.com/office/drawing/2014/main" id="{A7655263-97C8-4EA2-B3C3-0C8AE2597892}"/>
              </a:ext>
            </a:extLst>
          </xdr:cNvPr>
          <xdr:cNvSpPr/>
        </xdr:nvSpPr>
        <xdr:spPr>
          <a:xfrm>
            <a:off x="2357949" y="5282080"/>
            <a:ext cx="77116" cy="76200"/>
          </a:xfrm>
          <a:prstGeom prst="ellips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549725</xdr:colOff>
      <xdr:row>1</xdr:row>
      <xdr:rowOff>128058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8F11A309-8375-48B1-AE7A-A8E7C532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8125" cy="8995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1740793</xdr:colOff>
      <xdr:row>0</xdr:row>
      <xdr:rowOff>737618</xdr:rowOff>
    </xdr:to>
    <xdr:pic>
      <xdr:nvPicPr>
        <xdr:cNvPr id="3" name="Imagem 2" descr="logoexcel.fw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1731268" cy="737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0"/>
  <sheetViews>
    <sheetView topLeftCell="B1" workbookViewId="0">
      <selection activeCell="M11" sqref="M11"/>
    </sheetView>
  </sheetViews>
  <sheetFormatPr defaultColWidth="9.140625" defaultRowHeight="15" x14ac:dyDescent="0.25"/>
  <cols>
    <col min="1" max="1" width="9.140625" style="3"/>
    <col min="2" max="2" width="18.42578125" style="3" customWidth="1"/>
    <col min="3" max="14" width="11.7109375" style="3" bestFit="1" customWidth="1"/>
    <col min="15" max="15" width="12.7109375" style="3" bestFit="1" customWidth="1"/>
    <col min="16" max="17" width="11.7109375" style="3" bestFit="1" customWidth="1"/>
    <col min="18" max="16384" width="9.140625" style="3"/>
  </cols>
  <sheetData>
    <row r="1" spans="2:18" s="67" customFormat="1" ht="60.75" customHeight="1" x14ac:dyDescent="0.25"/>
    <row r="2" spans="2:18" s="68" customFormat="1" ht="14.25" customHeight="1" x14ac:dyDescent="0.25">
      <c r="C2" s="69"/>
      <c r="D2" s="69"/>
    </row>
    <row r="4" spans="2:18" ht="15.75" thickBot="1" x14ac:dyDescent="0.3"/>
    <row r="5" spans="2:18" ht="27" customHeight="1" thickBot="1" x14ac:dyDescent="0.3">
      <c r="B5" s="2" t="s">
        <v>6</v>
      </c>
      <c r="C5" s="9" t="s">
        <v>7</v>
      </c>
      <c r="D5" s="30" t="s">
        <v>8</v>
      </c>
      <c r="E5" s="7" t="s">
        <v>9</v>
      </c>
      <c r="F5" s="8" t="s">
        <v>10</v>
      </c>
      <c r="G5" s="7" t="s">
        <v>11</v>
      </c>
      <c r="H5" s="8" t="s">
        <v>12</v>
      </c>
      <c r="I5" s="7" t="s">
        <v>13</v>
      </c>
      <c r="J5" s="8" t="s">
        <v>14</v>
      </c>
      <c r="K5" s="7" t="s">
        <v>15</v>
      </c>
      <c r="L5" s="7" t="s">
        <v>16</v>
      </c>
      <c r="M5" s="8" t="s">
        <v>17</v>
      </c>
      <c r="N5" s="7" t="s">
        <v>18</v>
      </c>
      <c r="O5" s="7" t="s">
        <v>19</v>
      </c>
    </row>
    <row r="6" spans="2:18" ht="19.5" customHeight="1" thickBot="1" x14ac:dyDescent="0.3">
      <c r="B6" s="44" t="s">
        <v>20</v>
      </c>
      <c r="C6" s="18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39">
        <f>SUM(C6:N6)</f>
        <v>0</v>
      </c>
    </row>
    <row r="7" spans="2:18" ht="19.5" customHeight="1" thickBot="1" x14ac:dyDescent="0.3">
      <c r="B7" s="45" t="s">
        <v>21</v>
      </c>
      <c r="C7" s="22">
        <f>'LIVRO CAIXA'!B6</f>
        <v>16324</v>
      </c>
      <c r="D7" s="22">
        <v>0</v>
      </c>
      <c r="E7" s="22">
        <f>'LIVRO CAIXA'!D6</f>
        <v>21557.9</v>
      </c>
      <c r="F7" s="22">
        <f>'LIVRO CAIXA'!E6</f>
        <v>16793.43</v>
      </c>
      <c r="G7" s="22">
        <f>'LIVRO CAIXA'!F6</f>
        <v>20768.93</v>
      </c>
      <c r="H7" s="22">
        <f>'LIVRO CAIXA'!G6</f>
        <v>17544.82</v>
      </c>
      <c r="I7" s="22">
        <f>'LIVRO CAIXA'!H6</f>
        <v>21738.79</v>
      </c>
      <c r="J7" s="22">
        <f>'LIVRO CAIXA'!I6</f>
        <v>22901.43</v>
      </c>
      <c r="K7" s="22">
        <f>'LIVRO CAIXA'!J6</f>
        <v>19910.21</v>
      </c>
      <c r="L7" s="22">
        <f>'LIVRO CAIXA'!K6</f>
        <v>19349.740000000002</v>
      </c>
      <c r="M7" s="22">
        <f>'LIVRO CAIXA'!L6</f>
        <v>17074.849999999999</v>
      </c>
      <c r="N7" s="22">
        <f>'LIVRO CAIXA'!M6</f>
        <v>0</v>
      </c>
      <c r="O7" s="21">
        <f>SUM(C7:N7)</f>
        <v>193964.1</v>
      </c>
      <c r="Q7" s="154">
        <f>D7-C7</f>
        <v>-16324</v>
      </c>
      <c r="R7" s="151">
        <f>Q7*R8/Q8</f>
        <v>-1</v>
      </c>
    </row>
    <row r="8" spans="2:18" ht="19.5" customHeight="1" thickBot="1" x14ac:dyDescent="0.3">
      <c r="B8" s="46" t="s">
        <v>22</v>
      </c>
      <c r="C8" s="19">
        <f>'LIVRO CAIXA'!B10</f>
        <v>5890.5</v>
      </c>
      <c r="D8" s="19">
        <v>0</v>
      </c>
      <c r="E8" s="19">
        <f>'LIVRO CAIXA'!D10</f>
        <v>6603.63</v>
      </c>
      <c r="F8" s="19">
        <f>'LIVRO CAIXA'!E10</f>
        <v>7353.0700000000006</v>
      </c>
      <c r="G8" s="19">
        <f>'LIVRO CAIXA'!F10</f>
        <v>6120.63</v>
      </c>
      <c r="H8" s="19">
        <f>'LIVRO CAIXA'!G10</f>
        <v>3051.39</v>
      </c>
      <c r="I8" s="19">
        <f>'LIVRO CAIXA'!H10</f>
        <v>3144.38</v>
      </c>
      <c r="J8" s="19">
        <f>'LIVRO CAIXA'!I10</f>
        <v>2780.63</v>
      </c>
      <c r="K8" s="19">
        <f>'LIVRO CAIXA'!J10</f>
        <v>2080</v>
      </c>
      <c r="L8" s="19">
        <f>'LIVRO CAIXA'!K10</f>
        <v>2278</v>
      </c>
      <c r="M8" s="19">
        <f>'LIVRO CAIXA'!L10</f>
        <v>1855</v>
      </c>
      <c r="N8" s="19">
        <f>'LIVRO CAIXA'!M10</f>
        <v>2502.1999999999998</v>
      </c>
      <c r="O8" s="39">
        <f>SUM(C8:N8)</f>
        <v>43659.43</v>
      </c>
      <c r="P8" s="4"/>
      <c r="Q8" s="154">
        <f>C7</f>
        <v>16324</v>
      </c>
      <c r="R8" s="155">
        <v>1</v>
      </c>
    </row>
    <row r="9" spans="2:18" ht="18.75" customHeight="1" thickBot="1" x14ac:dyDescent="0.3">
      <c r="B9" s="2" t="s">
        <v>23</v>
      </c>
      <c r="C9" s="25">
        <f t="shared" ref="C9:O9" si="0">C7-C8</f>
        <v>10433.5</v>
      </c>
      <c r="D9" s="32">
        <f t="shared" si="0"/>
        <v>0</v>
      </c>
      <c r="E9" s="23">
        <f t="shared" si="0"/>
        <v>14954.27</v>
      </c>
      <c r="F9" s="24">
        <f t="shared" si="0"/>
        <v>9440.36</v>
      </c>
      <c r="G9" s="23">
        <f t="shared" si="0"/>
        <v>14648.3</v>
      </c>
      <c r="H9" s="24">
        <f t="shared" si="0"/>
        <v>14493.43</v>
      </c>
      <c r="I9" s="23">
        <f t="shared" si="0"/>
        <v>18594.41</v>
      </c>
      <c r="J9" s="24">
        <f t="shared" si="0"/>
        <v>20120.8</v>
      </c>
      <c r="K9" s="23">
        <f t="shared" si="0"/>
        <v>17830.21</v>
      </c>
      <c r="L9" s="23">
        <f t="shared" si="0"/>
        <v>17071.740000000002</v>
      </c>
      <c r="M9" s="24">
        <f t="shared" si="0"/>
        <v>15219.849999999999</v>
      </c>
      <c r="N9" s="23">
        <f t="shared" si="0"/>
        <v>-2502.1999999999998</v>
      </c>
      <c r="O9" s="23">
        <f t="shared" si="0"/>
        <v>150304.67000000001</v>
      </c>
    </row>
    <row r="10" spans="2:18" ht="19.5" customHeight="1" thickBot="1" x14ac:dyDescent="0.3">
      <c r="B10" s="7" t="s">
        <v>24</v>
      </c>
      <c r="C10" s="20">
        <f t="shared" ref="C10:O10" si="1">C9+C6</f>
        <v>10433.5</v>
      </c>
      <c r="D10" s="33">
        <f t="shared" si="1"/>
        <v>0</v>
      </c>
      <c r="E10" s="34">
        <f t="shared" si="1"/>
        <v>14954.27</v>
      </c>
      <c r="F10" s="16">
        <f t="shared" si="1"/>
        <v>9440.36</v>
      </c>
      <c r="G10" s="34">
        <f t="shared" si="1"/>
        <v>14648.3</v>
      </c>
      <c r="H10" s="16">
        <f t="shared" si="1"/>
        <v>14493.43</v>
      </c>
      <c r="I10" s="34">
        <f t="shared" si="1"/>
        <v>18594.41</v>
      </c>
      <c r="J10" s="16">
        <f t="shared" si="1"/>
        <v>20120.8</v>
      </c>
      <c r="K10" s="34">
        <f t="shared" si="1"/>
        <v>17830.21</v>
      </c>
      <c r="L10" s="34">
        <f t="shared" si="1"/>
        <v>17071.740000000002</v>
      </c>
      <c r="M10" s="16">
        <f t="shared" si="1"/>
        <v>15219.849999999999</v>
      </c>
      <c r="N10" s="34">
        <f t="shared" si="1"/>
        <v>-2502.1999999999998</v>
      </c>
      <c r="O10" s="34">
        <f t="shared" si="1"/>
        <v>150304.67000000001</v>
      </c>
    </row>
    <row r="11" spans="2:18" ht="19.5" customHeight="1" thickBot="1" x14ac:dyDescent="0.3">
      <c r="B11" s="2" t="s">
        <v>25</v>
      </c>
      <c r="C11" s="28">
        <f>C9*100%/C7</f>
        <v>0.63915094339622647</v>
      </c>
      <c r="D11" s="27" t="e">
        <f t="shared" ref="D11:O11" si="2">D9*100%/D7</f>
        <v>#DIV/0!</v>
      </c>
      <c r="E11" s="26">
        <f t="shared" si="2"/>
        <v>0.69367934724625313</v>
      </c>
      <c r="F11" s="27">
        <f t="shared" si="2"/>
        <v>0.56214602972710159</v>
      </c>
      <c r="G11" s="26">
        <f t="shared" si="2"/>
        <v>0.70529873228904905</v>
      </c>
      <c r="H11" s="27">
        <f t="shared" si="2"/>
        <v>0.82608029036490549</v>
      </c>
      <c r="I11" s="26">
        <f t="shared" si="2"/>
        <v>0.85535625487895139</v>
      </c>
      <c r="J11" s="27">
        <f t="shared" si="2"/>
        <v>0.87858269112452803</v>
      </c>
      <c r="K11" s="26">
        <f t="shared" si="2"/>
        <v>0.89553098636327788</v>
      </c>
      <c r="L11" s="26">
        <f t="shared" si="2"/>
        <v>0.88227231993814903</v>
      </c>
      <c r="M11" s="27">
        <f t="shared" si="2"/>
        <v>0.89136068545258085</v>
      </c>
      <c r="N11" s="26" t="e">
        <f t="shared" si="2"/>
        <v>#DIV/0!</v>
      </c>
      <c r="O11" s="26">
        <f t="shared" si="2"/>
        <v>0.77490973845160016</v>
      </c>
    </row>
    <row r="12" spans="2:18" x14ac:dyDescent="0.25">
      <c r="I12" s="35"/>
      <c r="K12" s="35"/>
      <c r="L12" s="35"/>
      <c r="N12" s="35"/>
      <c r="O12" s="35"/>
    </row>
    <row r="13" spans="2:18" x14ac:dyDescent="0.25">
      <c r="C13" s="43"/>
      <c r="D13" s="43"/>
      <c r="I13" s="35"/>
      <c r="K13" s="35"/>
      <c r="L13" s="35"/>
      <c r="N13" s="35"/>
      <c r="O13" s="35"/>
    </row>
    <row r="14" spans="2:18" ht="15.75" thickBot="1" x14ac:dyDescent="0.3">
      <c r="C14" s="10"/>
      <c r="D14" s="13"/>
      <c r="I14" s="35"/>
      <c r="K14" s="35"/>
      <c r="L14" s="35"/>
      <c r="N14" s="35"/>
      <c r="O14" s="35"/>
    </row>
    <row r="15" spans="2:18" ht="15.75" thickBot="1" x14ac:dyDescent="0.3">
      <c r="B15" s="14" t="s">
        <v>26</v>
      </c>
      <c r="I15" s="35"/>
      <c r="K15" s="35"/>
      <c r="L15" s="35"/>
      <c r="N15" s="35"/>
      <c r="O15" s="35"/>
    </row>
    <row r="16" spans="2:18" ht="19.5" customHeight="1" thickBot="1" x14ac:dyDescent="0.3">
      <c r="B16" s="11" t="s">
        <v>27</v>
      </c>
      <c r="C16" s="40"/>
      <c r="D16" s="17"/>
      <c r="E16" s="40"/>
      <c r="F16" s="17"/>
      <c r="G16" s="40"/>
      <c r="H16" s="17"/>
      <c r="I16" s="36"/>
      <c r="J16" s="17"/>
      <c r="K16" s="36"/>
      <c r="L16" s="36"/>
      <c r="M16" s="17"/>
      <c r="N16" s="36"/>
      <c r="O16" s="36"/>
    </row>
    <row r="17" spans="2:15" ht="19.5" customHeight="1" thickBot="1" x14ac:dyDescent="0.3">
      <c r="B17" s="12" t="s">
        <v>28</v>
      </c>
      <c r="C17" s="41"/>
      <c r="D17" s="42"/>
      <c r="E17" s="41"/>
      <c r="F17" s="42"/>
      <c r="G17" s="41"/>
      <c r="H17" s="42"/>
      <c r="I17" s="41"/>
      <c r="J17" s="42"/>
      <c r="K17" s="41"/>
      <c r="L17" s="41"/>
      <c r="M17" s="42"/>
      <c r="N17" s="41"/>
      <c r="O17" s="41"/>
    </row>
    <row r="18" spans="2:15" ht="19.5" customHeight="1" thickBot="1" x14ac:dyDescent="0.3">
      <c r="B18" s="1" t="s">
        <v>29</v>
      </c>
      <c r="C18" s="38"/>
      <c r="D18" s="17"/>
      <c r="E18" s="38"/>
      <c r="F18" s="17"/>
      <c r="G18" s="36"/>
      <c r="H18" s="17"/>
      <c r="I18" s="36"/>
      <c r="J18" s="17"/>
      <c r="K18" s="38"/>
      <c r="L18" s="36"/>
      <c r="M18" s="17"/>
      <c r="N18" s="38"/>
      <c r="O18" s="36"/>
    </row>
    <row r="19" spans="2:15" ht="15.75" thickBot="1" x14ac:dyDescent="0.3">
      <c r="G19" s="37"/>
      <c r="I19" s="35"/>
    </row>
    <row r="20" spans="2:15" ht="15.75" thickBot="1" x14ac:dyDescent="0.3">
      <c r="I20" s="3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G4:H8"/>
  <sheetViews>
    <sheetView workbookViewId="0">
      <selection activeCell="G12" sqref="G12"/>
    </sheetView>
  </sheetViews>
  <sheetFormatPr defaultRowHeight="15" x14ac:dyDescent="0.25"/>
  <cols>
    <col min="7" max="7" width="17" bestFit="1" customWidth="1"/>
    <col min="8" max="8" width="13.28515625" bestFit="1" customWidth="1"/>
  </cols>
  <sheetData>
    <row r="4" spans="7:8" x14ac:dyDescent="0.25">
      <c r="G4" t="s">
        <v>191</v>
      </c>
      <c r="H4" s="193">
        <v>5600</v>
      </c>
    </row>
    <row r="5" spans="7:8" x14ac:dyDescent="0.25">
      <c r="G5" t="s">
        <v>192</v>
      </c>
      <c r="H5" s="193">
        <v>600</v>
      </c>
    </row>
    <row r="6" spans="7:8" x14ac:dyDescent="0.25">
      <c r="G6" t="s">
        <v>193</v>
      </c>
      <c r="H6" s="193">
        <v>7562.4</v>
      </c>
    </row>
    <row r="8" spans="7:8" x14ac:dyDescent="0.25">
      <c r="H8" s="193">
        <f>SUM(H4:H6)</f>
        <v>13762.4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opLeftCell="A11" workbookViewId="0">
      <selection activeCell="L26" sqref="L26"/>
    </sheetView>
  </sheetViews>
  <sheetFormatPr defaultColWidth="9.140625" defaultRowHeight="15" x14ac:dyDescent="0.25"/>
  <cols>
    <col min="1" max="1" width="30" style="3" bestFit="1" customWidth="1"/>
    <col min="2" max="2" width="12.42578125" style="3" bestFit="1" customWidth="1"/>
    <col min="3" max="13" width="11.7109375" style="3" bestFit="1" customWidth="1"/>
    <col min="14" max="14" width="12.42578125" style="3" bestFit="1" customWidth="1"/>
    <col min="15" max="16384" width="9.140625" style="3"/>
  </cols>
  <sheetData>
    <row r="1" spans="1:14" s="67" customFormat="1" ht="60.75" customHeight="1" x14ac:dyDescent="0.25"/>
    <row r="2" spans="1:14" s="68" customFormat="1" ht="14.25" customHeight="1" x14ac:dyDescent="0.25"/>
    <row r="3" spans="1:14" ht="42" customHeight="1" x14ac:dyDescent="0.25">
      <c r="A3" s="70" t="s">
        <v>38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5" customHeight="1" thickBot="1" x14ac:dyDescent="0.3">
      <c r="A5" s="47" t="s">
        <v>30</v>
      </c>
      <c r="B5" s="63" t="s">
        <v>7</v>
      </c>
      <c r="C5" s="64" t="s">
        <v>8</v>
      </c>
      <c r="D5" s="65" t="s">
        <v>9</v>
      </c>
      <c r="E5" s="66" t="s">
        <v>10</v>
      </c>
      <c r="F5" s="65" t="s">
        <v>11</v>
      </c>
      <c r="G5" s="66" t="s">
        <v>12</v>
      </c>
      <c r="H5" s="65" t="s">
        <v>13</v>
      </c>
      <c r="I5" s="66" t="s">
        <v>14</v>
      </c>
      <c r="J5" s="65" t="s">
        <v>15</v>
      </c>
      <c r="K5" s="65" t="s">
        <v>16</v>
      </c>
      <c r="L5" s="66" t="s">
        <v>17</v>
      </c>
      <c r="M5" s="65" t="s">
        <v>18</v>
      </c>
      <c r="N5" s="65" t="s">
        <v>19</v>
      </c>
    </row>
    <row r="6" spans="1:14" ht="20.25" customHeight="1" thickBot="1" x14ac:dyDescent="0.3">
      <c r="A6" s="47" t="s">
        <v>21</v>
      </c>
      <c r="B6" s="48">
        <f>SUM(B7:B9)</f>
        <v>16324</v>
      </c>
      <c r="C6" s="48">
        <f>SUM(C7:C9)</f>
        <v>15457.76</v>
      </c>
      <c r="D6" s="48">
        <f t="shared" ref="D6:M6" si="0">SUM(D7:D9)</f>
        <v>21557.9</v>
      </c>
      <c r="E6" s="48">
        <f t="shared" si="0"/>
        <v>16793.43</v>
      </c>
      <c r="F6" s="48">
        <f t="shared" si="0"/>
        <v>20768.93</v>
      </c>
      <c r="G6" s="48">
        <f t="shared" si="0"/>
        <v>17544.82</v>
      </c>
      <c r="H6" s="48">
        <f t="shared" si="0"/>
        <v>21738.79</v>
      </c>
      <c r="I6" s="48">
        <f t="shared" si="0"/>
        <v>22901.43</v>
      </c>
      <c r="J6" s="48">
        <f t="shared" si="0"/>
        <v>19910.21</v>
      </c>
      <c r="K6" s="48">
        <f t="shared" si="0"/>
        <v>19349.740000000002</v>
      </c>
      <c r="L6" s="48">
        <f>SUM(L7:L9)</f>
        <v>17074.849999999999</v>
      </c>
      <c r="M6" s="48">
        <f t="shared" si="0"/>
        <v>0</v>
      </c>
      <c r="N6" s="39"/>
    </row>
    <row r="7" spans="1:14" ht="19.5" customHeight="1" thickBot="1" x14ac:dyDescent="0.3">
      <c r="A7" s="47" t="s">
        <v>41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39"/>
    </row>
    <row r="8" spans="1:14" ht="19.5" customHeight="1" thickBot="1" x14ac:dyDescent="0.3">
      <c r="A8" s="47" t="s">
        <v>42</v>
      </c>
      <c r="B8" s="18">
        <v>16324</v>
      </c>
      <c r="C8" s="18">
        <v>15457.76</v>
      </c>
      <c r="D8" s="18">
        <v>21557.9</v>
      </c>
      <c r="E8" s="18">
        <v>16793.43</v>
      </c>
      <c r="F8" s="18">
        <v>20768.93</v>
      </c>
      <c r="G8" s="18">
        <v>17544.82</v>
      </c>
      <c r="H8" s="18">
        <v>21738.79</v>
      </c>
      <c r="I8" s="18">
        <v>22901.43</v>
      </c>
      <c r="J8" s="18">
        <v>19910.21</v>
      </c>
      <c r="K8" s="18">
        <v>19349.740000000002</v>
      </c>
      <c r="L8" s="18">
        <v>14278.85</v>
      </c>
      <c r="M8" s="18">
        <v>0</v>
      </c>
      <c r="N8" s="39"/>
    </row>
    <row r="9" spans="1:14" ht="19.5" customHeight="1" thickBot="1" x14ac:dyDescent="0.3">
      <c r="A9" s="47" t="s">
        <v>179</v>
      </c>
      <c r="B9" s="18">
        <v>0</v>
      </c>
      <c r="C9" s="18">
        <v>0</v>
      </c>
      <c r="D9" s="18"/>
      <c r="E9" s="18"/>
      <c r="F9" s="18"/>
      <c r="G9" s="18"/>
      <c r="H9" s="18"/>
      <c r="I9" s="18"/>
      <c r="J9" s="18"/>
      <c r="K9" s="18"/>
      <c r="L9" s="18">
        <v>2796</v>
      </c>
      <c r="M9" s="18">
        <v>0</v>
      </c>
      <c r="N9" s="39"/>
    </row>
    <row r="10" spans="1:14" ht="19.5" customHeight="1" thickBot="1" x14ac:dyDescent="0.3">
      <c r="A10" s="47" t="s">
        <v>31</v>
      </c>
      <c r="B10" s="49">
        <f>SUM(B11:B25)</f>
        <v>5890.5</v>
      </c>
      <c r="C10" s="49">
        <f t="shared" ref="C10:M10" si="1">SUM(C11:C24)</f>
        <v>5858.21</v>
      </c>
      <c r="D10" s="49">
        <f t="shared" si="1"/>
        <v>6603.63</v>
      </c>
      <c r="E10" s="49">
        <f t="shared" si="1"/>
        <v>7353.0700000000006</v>
      </c>
      <c r="F10" s="49">
        <f t="shared" si="1"/>
        <v>6120.63</v>
      </c>
      <c r="G10" s="49">
        <f t="shared" si="1"/>
        <v>3051.39</v>
      </c>
      <c r="H10" s="49">
        <f t="shared" si="1"/>
        <v>3144.38</v>
      </c>
      <c r="I10" s="49">
        <f t="shared" si="1"/>
        <v>2780.63</v>
      </c>
      <c r="J10" s="49">
        <f t="shared" si="1"/>
        <v>2080</v>
      </c>
      <c r="K10" s="49">
        <f t="shared" si="1"/>
        <v>2278</v>
      </c>
      <c r="L10" s="49">
        <f t="shared" si="1"/>
        <v>1855</v>
      </c>
      <c r="M10" s="49">
        <f t="shared" si="1"/>
        <v>2502.1999999999998</v>
      </c>
      <c r="N10" s="49">
        <f>SUM(B10:M10)</f>
        <v>49517.639999999992</v>
      </c>
    </row>
    <row r="11" spans="1:14" ht="19.5" customHeight="1" thickBot="1" x14ac:dyDescent="0.3">
      <c r="A11" s="47" t="s">
        <v>180</v>
      </c>
      <c r="B11" s="18">
        <f>930.5+400</f>
        <v>1330.5</v>
      </c>
      <c r="C11" s="18">
        <v>495.9</v>
      </c>
      <c r="D11" s="18">
        <v>850</v>
      </c>
      <c r="E11" s="18">
        <f>756.4+600</f>
        <v>1356.4</v>
      </c>
      <c r="F11" s="18">
        <v>1931</v>
      </c>
      <c r="G11" s="18">
        <v>896</v>
      </c>
      <c r="H11" s="18">
        <v>935</v>
      </c>
      <c r="I11" s="18">
        <v>825</v>
      </c>
      <c r="J11" s="18">
        <v>755</v>
      </c>
      <c r="K11" s="18">
        <v>953</v>
      </c>
      <c r="L11" s="18">
        <v>530</v>
      </c>
      <c r="M11" s="18">
        <v>0</v>
      </c>
      <c r="N11" s="39"/>
    </row>
    <row r="12" spans="1:14" ht="19.5" customHeight="1" thickBot="1" x14ac:dyDescent="0.3">
      <c r="A12" s="47" t="s">
        <v>184</v>
      </c>
      <c r="B12" s="18">
        <v>42</v>
      </c>
      <c r="C12" s="18">
        <v>42</v>
      </c>
      <c r="D12" s="18">
        <v>42</v>
      </c>
      <c r="E12" s="18">
        <v>42</v>
      </c>
      <c r="F12" s="18">
        <v>45</v>
      </c>
      <c r="G12" s="18">
        <v>50.58</v>
      </c>
      <c r="H12" s="18">
        <v>50.75</v>
      </c>
      <c r="I12" s="18">
        <v>50</v>
      </c>
      <c r="J12" s="18">
        <v>42</v>
      </c>
      <c r="K12" s="18">
        <v>42</v>
      </c>
      <c r="L12" s="18">
        <v>42</v>
      </c>
      <c r="M12" s="18">
        <v>42</v>
      </c>
      <c r="N12" s="39"/>
    </row>
    <row r="13" spans="1:14" ht="19.5" customHeight="1" thickBot="1" x14ac:dyDescent="0.3">
      <c r="A13" s="47" t="s">
        <v>186</v>
      </c>
      <c r="B13" s="18">
        <v>1200</v>
      </c>
      <c r="C13" s="18">
        <v>1200</v>
      </c>
      <c r="D13" s="18">
        <v>1200</v>
      </c>
      <c r="E13" s="18">
        <v>1200</v>
      </c>
      <c r="F13" s="18">
        <v>1200</v>
      </c>
      <c r="G13" s="18">
        <v>1200</v>
      </c>
      <c r="H13" s="18">
        <v>1200</v>
      </c>
      <c r="I13" s="18">
        <v>1200</v>
      </c>
      <c r="J13" s="18">
        <v>1200</v>
      </c>
      <c r="K13" s="18">
        <v>1200</v>
      </c>
      <c r="L13" s="18">
        <v>1200</v>
      </c>
      <c r="M13" s="18">
        <v>1200</v>
      </c>
      <c r="N13" s="39"/>
    </row>
    <row r="14" spans="1:14" ht="19.5" customHeight="1" thickBot="1" x14ac:dyDescent="0.3">
      <c r="A14" s="47" t="s">
        <v>187</v>
      </c>
      <c r="B14" s="18">
        <v>157</v>
      </c>
      <c r="C14" s="18">
        <v>141.31</v>
      </c>
      <c r="D14" s="18">
        <v>172</v>
      </c>
      <c r="E14" s="18">
        <v>192.37</v>
      </c>
      <c r="F14" s="18">
        <v>35</v>
      </c>
      <c r="G14" s="18">
        <v>159.18</v>
      </c>
      <c r="H14" s="18">
        <v>140</v>
      </c>
      <c r="I14" s="18">
        <v>160</v>
      </c>
      <c r="J14" s="18">
        <v>0</v>
      </c>
      <c r="K14" s="18">
        <v>0</v>
      </c>
      <c r="L14" s="18">
        <v>0</v>
      </c>
      <c r="M14" s="18">
        <v>0</v>
      </c>
      <c r="N14" s="39"/>
    </row>
    <row r="15" spans="1:14" ht="19.5" customHeight="1" thickBot="1" x14ac:dyDescent="0.3">
      <c r="A15" s="47" t="s">
        <v>185</v>
      </c>
      <c r="B15" s="18">
        <v>83</v>
      </c>
      <c r="C15" s="18">
        <v>83</v>
      </c>
      <c r="D15" s="18">
        <v>83</v>
      </c>
      <c r="E15" s="18">
        <v>83</v>
      </c>
      <c r="F15" s="18">
        <v>85</v>
      </c>
      <c r="G15" s="18">
        <v>83</v>
      </c>
      <c r="H15" s="18">
        <v>83</v>
      </c>
      <c r="I15" s="18">
        <v>83</v>
      </c>
      <c r="J15" s="18">
        <v>83</v>
      </c>
      <c r="K15" s="18">
        <v>83</v>
      </c>
      <c r="L15" s="18">
        <v>83</v>
      </c>
      <c r="M15" s="18">
        <v>83</v>
      </c>
      <c r="N15" s="39"/>
    </row>
    <row r="16" spans="1:14" ht="19.5" customHeight="1" thickBot="1" x14ac:dyDescent="0.3">
      <c r="A16" s="47" t="s">
        <v>183</v>
      </c>
      <c r="B16" s="18">
        <v>447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39"/>
    </row>
    <row r="17" spans="1:14" ht="19.5" customHeight="1" thickBot="1" x14ac:dyDescent="0.3">
      <c r="A17" s="47" t="s">
        <v>188</v>
      </c>
      <c r="B17" s="18">
        <v>90</v>
      </c>
      <c r="C17" s="18">
        <v>10</v>
      </c>
      <c r="D17" s="18">
        <v>0</v>
      </c>
      <c r="E17" s="18">
        <v>2400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39"/>
    </row>
    <row r="18" spans="1:14" ht="19.5" customHeight="1" thickBot="1" x14ac:dyDescent="0.3">
      <c r="A18" s="47" t="s">
        <v>32</v>
      </c>
      <c r="B18" s="18">
        <v>408</v>
      </c>
      <c r="C18" s="18">
        <v>394</v>
      </c>
      <c r="D18" s="18">
        <v>266</v>
      </c>
      <c r="E18" s="18">
        <v>272</v>
      </c>
      <c r="F18" s="18">
        <v>15</v>
      </c>
      <c r="G18" s="18">
        <v>0</v>
      </c>
      <c r="H18" s="18">
        <v>21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23"/>
    </row>
    <row r="19" spans="1:14" ht="19.5" customHeight="1" thickBot="1" x14ac:dyDescent="0.3">
      <c r="A19" s="47" t="s">
        <v>33</v>
      </c>
      <c r="B19" s="18">
        <v>500</v>
      </c>
      <c r="C19" s="18">
        <v>415</v>
      </c>
      <c r="D19" s="18">
        <v>560</v>
      </c>
      <c r="E19" s="18">
        <v>241.67</v>
      </c>
      <c r="F19" s="18">
        <v>250</v>
      </c>
      <c r="G19" s="18">
        <v>200</v>
      </c>
      <c r="H19" s="18">
        <v>252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34"/>
    </row>
    <row r="20" spans="1:14" ht="19.5" customHeight="1" thickBot="1" x14ac:dyDescent="0.3">
      <c r="A20" s="47" t="s">
        <v>181</v>
      </c>
      <c r="B20" s="18">
        <v>973</v>
      </c>
      <c r="C20" s="18">
        <v>973</v>
      </c>
      <c r="D20" s="18">
        <v>973</v>
      </c>
      <c r="E20" s="18">
        <v>973</v>
      </c>
      <c r="F20" s="18">
        <v>973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34"/>
    </row>
    <row r="21" spans="1:14" ht="19.5" customHeight="1" thickBot="1" x14ac:dyDescent="0.3">
      <c r="A21" s="47" t="s">
        <v>182</v>
      </c>
      <c r="B21" s="18">
        <v>430</v>
      </c>
      <c r="C21" s="18">
        <v>486</v>
      </c>
      <c r="D21" s="18">
        <v>462.63</v>
      </c>
      <c r="E21" s="18">
        <v>462.63</v>
      </c>
      <c r="F21" s="18">
        <v>462.63</v>
      </c>
      <c r="G21" s="18">
        <v>462.63</v>
      </c>
      <c r="H21" s="18">
        <v>462.63</v>
      </c>
      <c r="I21" s="18">
        <v>462.63</v>
      </c>
      <c r="J21" s="18">
        <v>0</v>
      </c>
      <c r="K21" s="18">
        <v>0</v>
      </c>
      <c r="L21" s="18">
        <v>0</v>
      </c>
      <c r="M21" s="18">
        <v>0</v>
      </c>
      <c r="N21" s="26"/>
    </row>
    <row r="22" spans="1:14" ht="19.5" customHeight="1" thickBot="1" x14ac:dyDescent="0.3">
      <c r="A22" s="47" t="s">
        <v>34</v>
      </c>
      <c r="B22" s="18">
        <v>230</v>
      </c>
      <c r="C22" s="18">
        <f>1588+30</f>
        <v>1618</v>
      </c>
      <c r="D22" s="18">
        <v>1995</v>
      </c>
      <c r="E22" s="18">
        <v>130</v>
      </c>
      <c r="F22" s="18">
        <v>1124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26"/>
    </row>
    <row r="23" spans="1:14" ht="19.5" customHeight="1" thickBot="1" x14ac:dyDescent="0.3">
      <c r="A23" s="47" t="s">
        <v>35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677.2</v>
      </c>
      <c r="N23" s="26"/>
    </row>
    <row r="24" spans="1:14" ht="19.5" customHeight="1" thickBot="1" x14ac:dyDescent="0.3">
      <c r="A24" s="47" t="s">
        <v>37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500</v>
      </c>
      <c r="N24" s="26"/>
    </row>
    <row r="25" spans="1:14" ht="19.5" customHeight="1" thickBot="1" x14ac:dyDescent="0.3">
      <c r="A25" s="47" t="s">
        <v>36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26"/>
    </row>
    <row r="26" spans="1:14" ht="19.5" customHeight="1" x14ac:dyDescent="0.25">
      <c r="A26" s="47" t="s">
        <v>3</v>
      </c>
      <c r="B26" s="48">
        <f t="shared" ref="B26:N26" si="2">B6-B10</f>
        <v>10433.5</v>
      </c>
      <c r="C26" s="48">
        <f t="shared" si="2"/>
        <v>9599.5499999999993</v>
      </c>
      <c r="D26" s="48">
        <f t="shared" si="2"/>
        <v>14954.27</v>
      </c>
      <c r="E26" s="48">
        <f t="shared" si="2"/>
        <v>9440.36</v>
      </c>
      <c r="F26" s="48">
        <f t="shared" si="2"/>
        <v>14648.3</v>
      </c>
      <c r="G26" s="48">
        <f t="shared" si="2"/>
        <v>14493.43</v>
      </c>
      <c r="H26" s="48">
        <f t="shared" si="2"/>
        <v>18594.41</v>
      </c>
      <c r="I26" s="48">
        <f t="shared" si="2"/>
        <v>20120.8</v>
      </c>
      <c r="J26" s="48">
        <f t="shared" si="2"/>
        <v>17830.21</v>
      </c>
      <c r="K26" s="48">
        <f t="shared" si="2"/>
        <v>17071.740000000002</v>
      </c>
      <c r="L26" s="48">
        <f t="shared" si="2"/>
        <v>15219.849999999999</v>
      </c>
      <c r="M26" s="48">
        <f t="shared" si="2"/>
        <v>-2502.1999999999998</v>
      </c>
      <c r="N26" s="48">
        <f t="shared" si="2"/>
        <v>-49517.639999999992</v>
      </c>
    </row>
    <row r="27" spans="1:14" ht="19.5" customHeight="1" x14ac:dyDescent="0.25"/>
    <row r="28" spans="1:14" x14ac:dyDescent="0.25">
      <c r="A28" s="10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0"/>
  <sheetViews>
    <sheetView topLeftCell="D4" workbookViewId="0">
      <selection activeCell="M7" sqref="M7"/>
    </sheetView>
  </sheetViews>
  <sheetFormatPr defaultColWidth="9.140625" defaultRowHeight="15" x14ac:dyDescent="0.25"/>
  <cols>
    <col min="1" max="1" width="9.140625" style="3"/>
    <col min="2" max="2" width="22.140625" style="3" bestFit="1" customWidth="1"/>
    <col min="3" max="14" width="11.7109375" style="3" bestFit="1" customWidth="1"/>
    <col min="15" max="15" width="12.7109375" style="3" bestFit="1" customWidth="1"/>
    <col min="16" max="16384" width="9.140625" style="3"/>
  </cols>
  <sheetData>
    <row r="1" spans="2:15" s="67" customFormat="1" ht="60.75" customHeight="1" x14ac:dyDescent="0.25"/>
    <row r="2" spans="2:15" s="68" customFormat="1" x14ac:dyDescent="0.25"/>
    <row r="4" spans="2:15" ht="15.75" thickBot="1" x14ac:dyDescent="0.3"/>
    <row r="5" spans="2:15" ht="22.5" customHeight="1" thickBot="1" x14ac:dyDescent="0.3">
      <c r="B5" s="2" t="s">
        <v>43</v>
      </c>
      <c r="C5" s="9" t="s">
        <v>7</v>
      </c>
      <c r="D5" s="30" t="s">
        <v>8</v>
      </c>
      <c r="E5" s="7" t="s">
        <v>9</v>
      </c>
      <c r="F5" s="8" t="s">
        <v>10</v>
      </c>
      <c r="G5" s="7" t="s">
        <v>11</v>
      </c>
      <c r="H5" s="8" t="s">
        <v>12</v>
      </c>
      <c r="I5" s="7" t="s">
        <v>13</v>
      </c>
      <c r="J5" s="8" t="s">
        <v>14</v>
      </c>
      <c r="K5" s="7" t="s">
        <v>15</v>
      </c>
      <c r="L5" s="7" t="s">
        <v>16</v>
      </c>
      <c r="M5" s="8" t="s">
        <v>17</v>
      </c>
      <c r="N5" s="7" t="s">
        <v>18</v>
      </c>
      <c r="O5" s="7" t="s">
        <v>19</v>
      </c>
    </row>
    <row r="6" spans="2:15" ht="22.5" customHeight="1" thickBot="1" x14ac:dyDescent="0.3">
      <c r="B6" s="54" t="s">
        <v>44</v>
      </c>
      <c r="C6" s="18">
        <v>17304.740000000002</v>
      </c>
      <c r="D6" s="31"/>
      <c r="E6" s="29"/>
      <c r="F6" s="15"/>
      <c r="G6" s="29"/>
      <c r="H6" s="15"/>
      <c r="I6" s="29"/>
      <c r="J6" s="15"/>
      <c r="K6" s="29"/>
      <c r="L6" s="29"/>
      <c r="M6" s="183">
        <v>17304.740000000002</v>
      </c>
      <c r="N6" s="39">
        <v>17304.740000000002</v>
      </c>
      <c r="O6" s="39">
        <f>SUM(C6:N6)</f>
        <v>51914.22</v>
      </c>
    </row>
    <row r="7" spans="2:15" ht="22.5" customHeight="1" thickBot="1" x14ac:dyDescent="0.3">
      <c r="B7" s="9" t="s">
        <v>45</v>
      </c>
      <c r="C7" s="22">
        <f>'LIVRO CAIXA'!B6</f>
        <v>16324</v>
      </c>
      <c r="D7" s="22">
        <f>'LIVRO CAIXA'!C6</f>
        <v>15457.76</v>
      </c>
      <c r="E7" s="22">
        <f>'LIVRO CAIXA'!D6</f>
        <v>21557.9</v>
      </c>
      <c r="F7" s="22">
        <f>'LIVRO CAIXA'!E6</f>
        <v>16793.43</v>
      </c>
      <c r="G7" s="22">
        <f>'LIVRO CAIXA'!F6</f>
        <v>20768.93</v>
      </c>
      <c r="H7" s="22">
        <f>'LIVRO CAIXA'!G6</f>
        <v>17544.82</v>
      </c>
      <c r="I7" s="22">
        <f>'LIVRO CAIXA'!H6</f>
        <v>21738.79</v>
      </c>
      <c r="J7" s="22">
        <f>'LIVRO CAIXA'!I6</f>
        <v>22901.43</v>
      </c>
      <c r="K7" s="22">
        <f>'LIVRO CAIXA'!J6</f>
        <v>19910.21</v>
      </c>
      <c r="L7" s="22">
        <f>'LIVRO CAIXA'!K6</f>
        <v>19349.740000000002</v>
      </c>
      <c r="M7" s="22">
        <f>'LIVRO CAIXA'!L6</f>
        <v>17074.849999999999</v>
      </c>
      <c r="N7" s="22">
        <f>'LIVRO CAIXA'!M6</f>
        <v>0</v>
      </c>
      <c r="O7" s="21">
        <f>SUM(C7:N7)</f>
        <v>209421.86</v>
      </c>
    </row>
    <row r="8" spans="2:15" ht="22.5" customHeight="1" x14ac:dyDescent="0.25">
      <c r="B8" s="2" t="s">
        <v>46</v>
      </c>
      <c r="C8" s="60">
        <f>(C7*100%/C6)-100%</f>
        <v>-5.6674645212814623E-2</v>
      </c>
      <c r="D8" s="164" t="str">
        <f t="shared" ref="D8:N8" si="0">IFERROR((D7*100%)/D6,"%")</f>
        <v>%</v>
      </c>
      <c r="E8" s="164" t="str">
        <f t="shared" si="0"/>
        <v>%</v>
      </c>
      <c r="F8" s="164" t="str">
        <f t="shared" si="0"/>
        <v>%</v>
      </c>
      <c r="G8" s="164" t="str">
        <f t="shared" si="0"/>
        <v>%</v>
      </c>
      <c r="H8" s="164" t="str">
        <f t="shared" si="0"/>
        <v>%</v>
      </c>
      <c r="I8" s="164" t="str">
        <f t="shared" si="0"/>
        <v>%</v>
      </c>
      <c r="J8" s="164" t="str">
        <f t="shared" si="0"/>
        <v>%</v>
      </c>
      <c r="K8" s="164" t="str">
        <f t="shared" si="0"/>
        <v>%</v>
      </c>
      <c r="L8" s="164" t="str">
        <f t="shared" si="0"/>
        <v>%</v>
      </c>
      <c r="M8" s="58">
        <f t="shared" si="0"/>
        <v>0.98671520057510231</v>
      </c>
      <c r="N8" s="58">
        <f t="shared" si="0"/>
        <v>0</v>
      </c>
      <c r="O8" s="58">
        <f t="shared" ref="O8" si="1">(O7*100%/O6)-100%</f>
        <v>3.0339980067118404</v>
      </c>
    </row>
    <row r="9" spans="2:15" ht="22.5" customHeight="1" thickBot="1" x14ac:dyDescent="0.3">
      <c r="B9" s="55"/>
      <c r="C9" s="59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</row>
    <row r="10" spans="2:15" ht="22.5" customHeight="1" thickBot="1" x14ac:dyDescent="0.3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2:15" ht="22.5" customHeight="1" thickBot="1" x14ac:dyDescent="0.3">
      <c r="B11" s="2" t="s">
        <v>43</v>
      </c>
      <c r="C11" s="9" t="s">
        <v>7</v>
      </c>
      <c r="D11" s="30" t="s">
        <v>8</v>
      </c>
      <c r="E11" s="7" t="s">
        <v>9</v>
      </c>
      <c r="F11" s="8" t="s">
        <v>10</v>
      </c>
      <c r="G11" s="7" t="s">
        <v>11</v>
      </c>
      <c r="H11" s="8" t="s">
        <v>12</v>
      </c>
      <c r="I11" s="7" t="s">
        <v>13</v>
      </c>
      <c r="J11" s="8" t="s">
        <v>14</v>
      </c>
      <c r="K11" s="7" t="s">
        <v>15</v>
      </c>
      <c r="L11" s="7" t="s">
        <v>16</v>
      </c>
      <c r="M11" s="8" t="s">
        <v>17</v>
      </c>
      <c r="N11" s="7" t="s">
        <v>18</v>
      </c>
      <c r="O11" s="7" t="s">
        <v>19</v>
      </c>
    </row>
    <row r="12" spans="2:15" ht="22.5" customHeight="1" thickBot="1" x14ac:dyDescent="0.3">
      <c r="B12" s="54" t="s">
        <v>47</v>
      </c>
      <c r="C12" s="18">
        <v>7500</v>
      </c>
      <c r="D12" s="142">
        <v>7500</v>
      </c>
      <c r="E12" s="39">
        <v>7500</v>
      </c>
      <c r="F12" s="39">
        <v>7500</v>
      </c>
      <c r="G12" s="39">
        <v>7500</v>
      </c>
      <c r="H12" s="39">
        <v>7500</v>
      </c>
      <c r="I12" s="39">
        <v>7500</v>
      </c>
      <c r="J12" s="39">
        <v>7500</v>
      </c>
      <c r="K12" s="39">
        <v>7500</v>
      </c>
      <c r="L12" s="39">
        <v>7500</v>
      </c>
      <c r="M12" s="39">
        <v>7500</v>
      </c>
      <c r="N12" s="39">
        <v>7500</v>
      </c>
      <c r="O12" s="39">
        <f>SUM(C12:N12)</f>
        <v>90000</v>
      </c>
    </row>
    <row r="13" spans="2:15" ht="22.5" customHeight="1" thickBot="1" x14ac:dyDescent="0.3">
      <c r="B13" s="2" t="s">
        <v>48</v>
      </c>
      <c r="C13" s="22">
        <f>'LIVRO CAIXA'!B10</f>
        <v>5890.5</v>
      </c>
      <c r="D13" s="22">
        <f>'LIVRO CAIXA'!C10</f>
        <v>5858.21</v>
      </c>
      <c r="E13" s="22">
        <f>'LIVRO CAIXA'!D10</f>
        <v>6603.63</v>
      </c>
      <c r="F13" s="22">
        <f>'LIVRO CAIXA'!E10</f>
        <v>7353.0700000000006</v>
      </c>
      <c r="G13" s="22">
        <f>'LIVRO CAIXA'!F10</f>
        <v>6120.63</v>
      </c>
      <c r="H13" s="22">
        <f>'LIVRO CAIXA'!G10</f>
        <v>3051.39</v>
      </c>
      <c r="I13" s="22">
        <f>'LIVRO CAIXA'!H10</f>
        <v>3144.38</v>
      </c>
      <c r="J13" s="22">
        <f>'LIVRO CAIXA'!I10</f>
        <v>2780.63</v>
      </c>
      <c r="K13" s="22">
        <f>'LIVRO CAIXA'!J10</f>
        <v>2080</v>
      </c>
      <c r="L13" s="22">
        <f>'LIVRO CAIXA'!K10</f>
        <v>2278</v>
      </c>
      <c r="M13" s="22">
        <f>'LIVRO CAIXA'!L10</f>
        <v>1855</v>
      </c>
      <c r="N13" s="22">
        <f>'LIVRO CAIXA'!M10</f>
        <v>2502.1999999999998</v>
      </c>
      <c r="O13" s="21">
        <f>SUM(C13:N13)</f>
        <v>49517.639999999992</v>
      </c>
    </row>
    <row r="14" spans="2:15" ht="22.5" customHeight="1" thickBot="1" x14ac:dyDescent="0.3">
      <c r="B14" s="7" t="s">
        <v>46</v>
      </c>
      <c r="C14" s="182">
        <f t="shared" ref="C14:N14" si="2">IFERROR((C13*100%)/C12,"%")</f>
        <v>0.78539999999999999</v>
      </c>
      <c r="D14" s="58">
        <f t="shared" si="2"/>
        <v>0.78109466666666671</v>
      </c>
      <c r="E14" s="58">
        <f t="shared" si="2"/>
        <v>0.88048400000000004</v>
      </c>
      <c r="F14" s="58">
        <f t="shared" si="2"/>
        <v>0.98040933333333347</v>
      </c>
      <c r="G14" s="58">
        <f t="shared" si="2"/>
        <v>0.81608400000000003</v>
      </c>
      <c r="H14" s="58">
        <f t="shared" si="2"/>
        <v>0.40685199999999999</v>
      </c>
      <c r="I14" s="58">
        <f t="shared" si="2"/>
        <v>0.41925066666666666</v>
      </c>
      <c r="J14" s="58">
        <f t="shared" si="2"/>
        <v>0.37075066666666667</v>
      </c>
      <c r="K14" s="58">
        <f t="shared" si="2"/>
        <v>0.27733333333333332</v>
      </c>
      <c r="L14" s="58">
        <f t="shared" si="2"/>
        <v>0.30373333333333336</v>
      </c>
      <c r="M14" s="58">
        <f t="shared" si="2"/>
        <v>0.24733333333333332</v>
      </c>
      <c r="N14" s="58">
        <f t="shared" si="2"/>
        <v>0.33362666666666663</v>
      </c>
      <c r="O14" s="58">
        <f t="shared" ref="O14" si="3">(O13*100%/O12)-100%</f>
        <v>-0.44980400000000009</v>
      </c>
    </row>
    <row r="16" spans="2:15" ht="15.75" thickBot="1" x14ac:dyDescent="0.3"/>
    <row r="17" spans="2:15" ht="22.5" customHeight="1" thickBot="1" x14ac:dyDescent="0.3">
      <c r="B17" s="2" t="s">
        <v>49</v>
      </c>
      <c r="C17" s="9" t="s">
        <v>7</v>
      </c>
      <c r="D17" s="30" t="s">
        <v>8</v>
      </c>
      <c r="E17" s="7" t="s">
        <v>9</v>
      </c>
      <c r="F17" s="8" t="s">
        <v>10</v>
      </c>
      <c r="G17" s="7" t="s">
        <v>11</v>
      </c>
      <c r="H17" s="8" t="s">
        <v>12</v>
      </c>
      <c r="I17" s="7" t="s">
        <v>13</v>
      </c>
      <c r="J17" s="8" t="s">
        <v>14</v>
      </c>
      <c r="K17" s="7" t="s">
        <v>15</v>
      </c>
      <c r="L17" s="7" t="s">
        <v>16</v>
      </c>
      <c r="M17" s="8" t="s">
        <v>17</v>
      </c>
      <c r="N17" s="7" t="s">
        <v>18</v>
      </c>
      <c r="O17" s="7" t="s">
        <v>19</v>
      </c>
    </row>
    <row r="18" spans="2:15" ht="22.5" customHeight="1" thickBot="1" x14ac:dyDescent="0.3">
      <c r="B18" s="54" t="s">
        <v>50</v>
      </c>
      <c r="C18" s="18">
        <f>C6-C12</f>
        <v>9804.7400000000016</v>
      </c>
      <c r="D18" s="31"/>
      <c r="E18" s="29"/>
      <c r="F18" s="15"/>
      <c r="G18" s="29"/>
      <c r="H18" s="15"/>
      <c r="I18" s="29"/>
      <c r="J18" s="15"/>
      <c r="K18" s="29"/>
      <c r="L18" s="29"/>
      <c r="M18" s="15"/>
      <c r="N18" s="29"/>
      <c r="O18" s="39">
        <f>SUM(C18:N18)</f>
        <v>9804.7400000000016</v>
      </c>
    </row>
    <row r="19" spans="2:15" ht="22.5" customHeight="1" thickBot="1" x14ac:dyDescent="0.3">
      <c r="B19" s="2" t="s">
        <v>51</v>
      </c>
      <c r="C19" s="22">
        <f>C7-C13</f>
        <v>10433.5</v>
      </c>
      <c r="D19" s="22">
        <f>'LIVRO CAIXA'!C25</f>
        <v>0</v>
      </c>
      <c r="E19" s="22">
        <f>'LIVRO CAIXA'!D25</f>
        <v>0</v>
      </c>
      <c r="F19" s="22">
        <f>'LIVRO CAIXA'!E25</f>
        <v>0</v>
      </c>
      <c r="G19" s="22">
        <f>'LIVRO CAIXA'!F25</f>
        <v>0</v>
      </c>
      <c r="H19" s="22">
        <f>'LIVRO CAIXA'!G25</f>
        <v>0</v>
      </c>
      <c r="I19" s="22">
        <f>'LIVRO CAIXA'!H25</f>
        <v>0</v>
      </c>
      <c r="J19" s="22">
        <f>'LIVRO CAIXA'!I25</f>
        <v>0</v>
      </c>
      <c r="K19" s="22">
        <f>'LIVRO CAIXA'!J25</f>
        <v>0</v>
      </c>
      <c r="L19" s="22">
        <f>'LIVRO CAIXA'!K25</f>
        <v>0</v>
      </c>
      <c r="M19" s="22">
        <f>'LIVRO CAIXA'!L25</f>
        <v>0</v>
      </c>
      <c r="N19" s="22">
        <f>'LIVRO CAIXA'!M25</f>
        <v>0</v>
      </c>
      <c r="O19" s="21">
        <f>SUM(C19:N19)</f>
        <v>10433.5</v>
      </c>
    </row>
    <row r="20" spans="2:15" ht="22.5" customHeight="1" thickBot="1" x14ac:dyDescent="0.3">
      <c r="B20" s="7" t="s">
        <v>46</v>
      </c>
      <c r="C20" s="60">
        <f>(C19*100%/C18)-100%</f>
        <v>6.4128166580653678E-2</v>
      </c>
      <c r="D20" s="164" t="str">
        <f t="shared" ref="D20:N20" si="4">IFERROR((D19*100%)/D18,"%")</f>
        <v>%</v>
      </c>
      <c r="E20" s="164" t="str">
        <f t="shared" si="4"/>
        <v>%</v>
      </c>
      <c r="F20" s="164" t="str">
        <f t="shared" si="4"/>
        <v>%</v>
      </c>
      <c r="G20" s="164" t="str">
        <f t="shared" si="4"/>
        <v>%</v>
      </c>
      <c r="H20" s="164" t="str">
        <f t="shared" si="4"/>
        <v>%</v>
      </c>
      <c r="I20" s="164" t="str">
        <f t="shared" si="4"/>
        <v>%</v>
      </c>
      <c r="J20" s="164" t="str">
        <f t="shared" si="4"/>
        <v>%</v>
      </c>
      <c r="K20" s="164" t="str">
        <f t="shared" si="4"/>
        <v>%</v>
      </c>
      <c r="L20" s="164" t="str">
        <f t="shared" si="4"/>
        <v>%</v>
      </c>
      <c r="M20" s="164" t="str">
        <f t="shared" si="4"/>
        <v>%</v>
      </c>
      <c r="N20" s="164" t="str">
        <f t="shared" si="4"/>
        <v>%</v>
      </c>
      <c r="O20" s="58">
        <f t="shared" ref="O20" si="5">(O19*100%/O18)-100%</f>
        <v>6.4128166580653678E-2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Normal="100" workbookViewId="0">
      <selection activeCell="F4" sqref="F4"/>
    </sheetView>
  </sheetViews>
  <sheetFormatPr defaultColWidth="9.140625" defaultRowHeight="15" x14ac:dyDescent="0.25"/>
  <cols>
    <col min="1" max="1" width="28.140625" style="3" customWidth="1"/>
    <col min="2" max="3" width="9.140625" style="3"/>
    <col min="4" max="4" width="18.7109375" style="3" customWidth="1"/>
    <col min="5" max="5" width="15.140625" style="3" customWidth="1"/>
    <col min="6" max="6" width="11.7109375" style="3" bestFit="1" customWidth="1"/>
    <col min="7" max="7" width="25" style="3" bestFit="1" customWidth="1"/>
    <col min="8" max="8" width="9.140625" style="3"/>
    <col min="9" max="9" width="19.28515625" style="3" customWidth="1"/>
    <col min="10" max="10" width="27.5703125" style="3" customWidth="1"/>
    <col min="11" max="12" width="9.140625" style="3"/>
    <col min="13" max="13" width="9.140625" style="3" hidden="1" customWidth="1"/>
    <col min="14" max="16384" width="9.140625" style="3"/>
  </cols>
  <sheetData>
    <row r="1" spans="1:16" ht="60.7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16" ht="19.5" customHeight="1" x14ac:dyDescent="0.25"/>
    <row r="4" spans="1:16" ht="18.75" customHeight="1" x14ac:dyDescent="0.3">
      <c r="A4" s="50" t="s">
        <v>39</v>
      </c>
      <c r="D4" s="50" t="s">
        <v>40</v>
      </c>
      <c r="G4" s="3" t="s">
        <v>3</v>
      </c>
      <c r="J4" s="158">
        <v>1</v>
      </c>
      <c r="K4" s="157"/>
      <c r="L4" s="157"/>
      <c r="M4" s="157"/>
    </row>
    <row r="5" spans="1:16" ht="46.5" customHeight="1" x14ac:dyDescent="0.25">
      <c r="A5" s="199">
        <f>'FLUXO DE CAIXA'!M7</f>
        <v>17074.849999999999</v>
      </c>
      <c r="B5" s="200"/>
      <c r="D5" s="199">
        <f>'FLUXO DE CAIXA'!M8</f>
        <v>1855</v>
      </c>
      <c r="E5" s="200"/>
      <c r="G5" s="199">
        <f>'LIVRO CAIXA'!L26</f>
        <v>15219.849999999999</v>
      </c>
      <c r="H5" s="200"/>
      <c r="J5" s="202" t="s">
        <v>189</v>
      </c>
      <c r="K5" s="202"/>
      <c r="L5" s="202"/>
      <c r="M5" s="202"/>
      <c r="N5" s="186"/>
      <c r="O5" s="186"/>
    </row>
    <row r="6" spans="1:16" ht="18" customHeight="1" x14ac:dyDescent="0.25">
      <c r="A6" s="51" t="s">
        <v>0</v>
      </c>
      <c r="B6" s="61">
        <f>META!C8</f>
        <v>-5.6674645212814623E-2</v>
      </c>
      <c r="D6" s="52" t="s">
        <v>0</v>
      </c>
      <c r="E6" s="62">
        <f>META!C14</f>
        <v>0.78539999999999999</v>
      </c>
      <c r="G6" s="51" t="s">
        <v>4</v>
      </c>
      <c r="H6" s="61">
        <f>META!C20</f>
        <v>6.4128166580653678E-2</v>
      </c>
      <c r="J6" s="202"/>
      <c r="K6" s="202"/>
      <c r="L6" s="202"/>
      <c r="M6" s="202"/>
      <c r="N6" s="186"/>
      <c r="O6" s="186"/>
    </row>
    <row r="7" spans="1:16" ht="15" customHeight="1" x14ac:dyDescent="0.25">
      <c r="C7" s="43"/>
      <c r="J7" s="202"/>
      <c r="K7" s="202"/>
      <c r="L7" s="202"/>
      <c r="M7" s="202"/>
      <c r="N7" s="186"/>
      <c r="O7" s="186"/>
    </row>
    <row r="8" spans="1:16" ht="15" customHeight="1" x14ac:dyDescent="0.25">
      <c r="A8" s="14" t="s">
        <v>1</v>
      </c>
      <c r="H8" s="156"/>
      <c r="J8" s="202"/>
      <c r="K8" s="202"/>
      <c r="L8" s="202"/>
      <c r="M8" s="202"/>
      <c r="N8" s="186"/>
      <c r="O8" s="186"/>
    </row>
    <row r="9" spans="1:16" ht="15" customHeight="1" x14ac:dyDescent="0.25">
      <c r="D9" s="201" t="s">
        <v>2</v>
      </c>
      <c r="E9" s="201"/>
      <c r="G9" s="156" t="s">
        <v>5</v>
      </c>
      <c r="J9" s="202"/>
      <c r="K9" s="202"/>
      <c r="L9" s="202"/>
      <c r="M9" s="202"/>
      <c r="N9" s="186"/>
      <c r="O9" s="186"/>
    </row>
    <row r="10" spans="1:16" ht="18.75" x14ac:dyDescent="0.3">
      <c r="J10" s="160">
        <v>2</v>
      </c>
      <c r="K10" s="159"/>
      <c r="L10" s="159"/>
      <c r="M10" s="159"/>
    </row>
    <row r="11" spans="1:16" ht="15" customHeight="1" x14ac:dyDescent="0.25">
      <c r="J11" s="197" t="s">
        <v>190</v>
      </c>
      <c r="K11" s="197"/>
      <c r="L11" s="197"/>
      <c r="M11" s="197"/>
      <c r="N11" s="186"/>
      <c r="O11" s="186"/>
    </row>
    <row r="12" spans="1:16" ht="15" customHeight="1" x14ac:dyDescent="0.25">
      <c r="J12" s="197"/>
      <c r="K12" s="197"/>
      <c r="L12" s="197"/>
      <c r="M12" s="197"/>
      <c r="N12" s="186"/>
      <c r="O12" s="186"/>
    </row>
    <row r="13" spans="1:16" ht="15" customHeight="1" x14ac:dyDescent="0.25">
      <c r="B13" s="43"/>
      <c r="C13" s="43"/>
      <c r="J13" s="197"/>
      <c r="K13" s="197"/>
      <c r="L13" s="197"/>
      <c r="M13" s="197"/>
      <c r="N13" s="186"/>
      <c r="O13" s="186"/>
    </row>
    <row r="14" spans="1:16" ht="15" customHeight="1" x14ac:dyDescent="0.25">
      <c r="B14" s="43"/>
      <c r="C14" s="43"/>
      <c r="J14" s="197"/>
      <c r="K14" s="197"/>
      <c r="L14" s="197"/>
      <c r="M14" s="197"/>
      <c r="N14" s="186"/>
      <c r="O14" s="186"/>
    </row>
    <row r="15" spans="1:16" ht="15" customHeight="1" x14ac:dyDescent="0.25">
      <c r="J15" s="197"/>
      <c r="K15" s="197"/>
      <c r="L15" s="197"/>
      <c r="M15" s="197"/>
      <c r="N15" s="186"/>
      <c r="O15" s="186"/>
    </row>
    <row r="16" spans="1:16" ht="15" customHeight="1" x14ac:dyDescent="0.25">
      <c r="J16" s="197"/>
      <c r="K16" s="197"/>
      <c r="L16" s="197"/>
      <c r="M16" s="197"/>
      <c r="N16" s="186"/>
      <c r="O16" s="186"/>
    </row>
    <row r="17" spans="1:15" ht="15" customHeight="1" x14ac:dyDescent="0.25">
      <c r="J17" s="197"/>
      <c r="K17" s="197"/>
      <c r="L17" s="197"/>
      <c r="M17" s="197"/>
      <c r="N17" s="186"/>
      <c r="O17" s="186"/>
    </row>
    <row r="18" spans="1:15" ht="15" customHeight="1" x14ac:dyDescent="0.25">
      <c r="J18" s="197"/>
      <c r="K18" s="197"/>
      <c r="L18" s="197"/>
      <c r="M18" s="197"/>
      <c r="N18" s="186"/>
      <c r="O18" s="186"/>
    </row>
    <row r="19" spans="1:15" ht="18.75" x14ac:dyDescent="0.3">
      <c r="J19" s="162">
        <v>3</v>
      </c>
      <c r="K19" s="161"/>
      <c r="L19" s="161"/>
      <c r="M19" s="161"/>
    </row>
    <row r="20" spans="1:15" ht="15" customHeight="1" x14ac:dyDescent="0.25">
      <c r="J20" s="198"/>
      <c r="K20" s="198"/>
      <c r="L20" s="198"/>
      <c r="M20" s="198"/>
      <c r="N20" s="186"/>
      <c r="O20" s="186"/>
    </row>
    <row r="21" spans="1:15" ht="15" customHeight="1" x14ac:dyDescent="0.25">
      <c r="A21" s="184"/>
      <c r="B21" s="184"/>
      <c r="C21" s="184"/>
      <c r="J21" s="198"/>
      <c r="K21" s="198"/>
      <c r="L21" s="198"/>
      <c r="M21" s="198"/>
      <c r="N21" s="186"/>
      <c r="O21" s="186"/>
    </row>
    <row r="22" spans="1:15" ht="15.75" customHeight="1" thickBot="1" x14ac:dyDescent="0.3">
      <c r="A22" s="152"/>
      <c r="B22" s="152"/>
      <c r="C22" s="152"/>
      <c r="J22" s="198"/>
      <c r="K22" s="198"/>
      <c r="L22" s="198"/>
      <c r="M22" s="198"/>
      <c r="N22" s="186"/>
      <c r="O22" s="186"/>
    </row>
    <row r="23" spans="1:15" ht="15.75" customHeight="1" thickBot="1" x14ac:dyDescent="0.3">
      <c r="A23" s="150">
        <f>META!M6</f>
        <v>17304.740000000002</v>
      </c>
      <c r="B23" s="151">
        <f>A23*$B$27/$A$27</f>
        <v>0.39567628277754524</v>
      </c>
      <c r="C23" s="152"/>
      <c r="J23" s="198"/>
      <c r="K23" s="198"/>
      <c r="L23" s="198"/>
      <c r="M23" s="198"/>
      <c r="N23" s="186"/>
      <c r="O23" s="186"/>
    </row>
    <row r="24" spans="1:15" ht="15.75" customHeight="1" thickBot="1" x14ac:dyDescent="0.3">
      <c r="A24" s="153">
        <f>META!M7</f>
        <v>17074.849999999999</v>
      </c>
      <c r="B24" s="151">
        <f>A24*$B$27/$A$27</f>
        <v>0.39041980272365651</v>
      </c>
      <c r="C24" s="152"/>
      <c r="D24" s="165"/>
      <c r="J24" s="198"/>
      <c r="K24" s="198"/>
      <c r="L24" s="198"/>
      <c r="M24" s="198"/>
      <c r="N24" s="186"/>
      <c r="O24" s="186"/>
    </row>
    <row r="25" spans="1:15" ht="15.75" customHeight="1" thickBot="1" x14ac:dyDescent="0.3">
      <c r="A25" s="150">
        <f>META!C12</f>
        <v>7500</v>
      </c>
      <c r="B25" s="151">
        <f>A25*$B$27/$A$27</f>
        <v>0.17148897474516167</v>
      </c>
      <c r="C25" s="152"/>
      <c r="D25" s="165"/>
      <c r="J25" s="198"/>
      <c r="K25" s="198"/>
      <c r="L25" s="198"/>
      <c r="M25" s="198"/>
      <c r="N25" s="186"/>
      <c r="O25" s="186"/>
    </row>
    <row r="26" spans="1:15" ht="15.75" customHeight="1" thickBot="1" x14ac:dyDescent="0.3">
      <c r="A26" s="153">
        <f>META!M13</f>
        <v>1855</v>
      </c>
      <c r="B26" s="151">
        <f>A26*$B$27/$A$27</f>
        <v>4.2414939753636659E-2</v>
      </c>
      <c r="C26" s="152"/>
      <c r="D26" s="165"/>
      <c r="J26" s="198"/>
      <c r="K26" s="198"/>
      <c r="L26" s="198"/>
      <c r="M26" s="198"/>
      <c r="N26" s="186"/>
      <c r="O26" s="186"/>
    </row>
    <row r="27" spans="1:15" ht="15" customHeight="1" x14ac:dyDescent="0.25">
      <c r="A27" s="166">
        <f>SUM(A23:A26)</f>
        <v>43734.59</v>
      </c>
      <c r="B27" s="155">
        <v>1</v>
      </c>
      <c r="C27" s="152"/>
      <c r="D27" s="165"/>
      <c r="J27" s="198"/>
      <c r="K27" s="198"/>
      <c r="L27" s="198"/>
      <c r="M27" s="198"/>
      <c r="N27" s="186"/>
      <c r="O27" s="186"/>
    </row>
    <row r="28" spans="1:15" ht="15" customHeight="1" x14ac:dyDescent="0.25">
      <c r="A28" s="184"/>
      <c r="B28" s="184"/>
      <c r="C28" s="184"/>
      <c r="D28" s="165"/>
      <c r="J28" s="198"/>
      <c r="K28" s="198"/>
      <c r="L28" s="198"/>
      <c r="M28" s="198"/>
      <c r="N28" s="186"/>
      <c r="O28" s="186"/>
    </row>
    <row r="29" spans="1:15" x14ac:dyDescent="0.25">
      <c r="A29" s="184"/>
      <c r="B29" s="184"/>
      <c r="C29" s="184"/>
      <c r="D29" s="165"/>
    </row>
    <row r="30" spans="1:15" x14ac:dyDescent="0.25">
      <c r="A30" s="184"/>
      <c r="B30" s="184"/>
      <c r="C30" s="184"/>
      <c r="D30" s="165"/>
    </row>
    <row r="31" spans="1:15" x14ac:dyDescent="0.25">
      <c r="A31" s="184"/>
      <c r="B31" s="184"/>
      <c r="C31" s="184"/>
      <c r="D31" s="165"/>
    </row>
    <row r="32" spans="1:15" x14ac:dyDescent="0.25">
      <c r="A32" s="184"/>
      <c r="B32" s="184"/>
      <c r="C32" s="184"/>
      <c r="D32" s="165"/>
    </row>
    <row r="33" spans="1:4" x14ac:dyDescent="0.25">
      <c r="A33" s="165"/>
      <c r="B33" s="165"/>
      <c r="C33" s="165"/>
      <c r="D33" s="165"/>
    </row>
    <row r="34" spans="1:4" x14ac:dyDescent="0.25">
      <c r="A34" s="165"/>
      <c r="B34" s="165"/>
      <c r="C34" s="165"/>
      <c r="D34" s="165"/>
    </row>
    <row r="35" spans="1:4" x14ac:dyDescent="0.25">
      <c r="A35" s="165"/>
      <c r="B35" s="165"/>
      <c r="C35" s="165"/>
      <c r="D35" s="165"/>
    </row>
    <row r="36" spans="1:4" x14ac:dyDescent="0.25">
      <c r="A36" s="165"/>
      <c r="B36" s="165"/>
      <c r="C36" s="165"/>
      <c r="D36" s="165"/>
    </row>
    <row r="37" spans="1:4" x14ac:dyDescent="0.25">
      <c r="A37" s="165"/>
      <c r="B37" s="165"/>
      <c r="C37" s="165"/>
      <c r="D37" s="165"/>
    </row>
    <row r="38" spans="1:4" x14ac:dyDescent="0.25">
      <c r="A38" s="165"/>
      <c r="B38" s="165"/>
      <c r="C38" s="165"/>
      <c r="D38" s="165"/>
    </row>
    <row r="39" spans="1:4" x14ac:dyDescent="0.25">
      <c r="A39" s="165"/>
      <c r="B39" s="165"/>
      <c r="C39" s="165"/>
      <c r="D39" s="165"/>
    </row>
    <row r="40" spans="1:4" x14ac:dyDescent="0.25">
      <c r="A40" s="165"/>
      <c r="B40" s="165"/>
      <c r="C40" s="165"/>
      <c r="D40" s="165"/>
    </row>
  </sheetData>
  <mergeCells count="7">
    <mergeCell ref="J11:M18"/>
    <mergeCell ref="J20:M28"/>
    <mergeCell ref="A5:B5"/>
    <mergeCell ref="D5:E5"/>
    <mergeCell ref="G5:H5"/>
    <mergeCell ref="D9:E9"/>
    <mergeCell ref="J5:M9"/>
  </mergeCells>
  <pageMargins left="0.511811024" right="0.511811024" top="0.78740157499999996" bottom="0.78740157499999996" header="0.31496062000000002" footer="0.31496062000000002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2"/>
  <sheetViews>
    <sheetView zoomScaleNormal="100" workbookViewId="0">
      <selection activeCell="T1" sqref="T1"/>
    </sheetView>
  </sheetViews>
  <sheetFormatPr defaultColWidth="9.140625" defaultRowHeight="15" x14ac:dyDescent="0.25"/>
  <cols>
    <col min="1" max="4" width="9.140625" style="3"/>
    <col min="5" max="6" width="9.140625" style="43"/>
    <col min="7" max="16384" width="9.140625" style="3"/>
  </cols>
  <sheetData>
    <row r="1" spans="1:20" ht="60.7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12" spans="1:20" ht="20.25" customHeight="1" x14ac:dyDescent="0.25"/>
  </sheetData>
  <pageMargins left="0.511811024" right="0.511811024" top="0.78740157499999996" bottom="0.78740157499999996" header="0.31496062000000002" footer="0.31496062000000002"/>
  <pageSetup paperSize="8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workbookViewId="0">
      <selection activeCell="X20" sqref="X20"/>
    </sheetView>
  </sheetViews>
  <sheetFormatPr defaultColWidth="9.140625" defaultRowHeight="15" x14ac:dyDescent="0.25"/>
  <cols>
    <col min="1" max="1" width="26.140625" style="3" bestFit="1" customWidth="1"/>
    <col min="2" max="2" width="23.42578125" style="3" customWidth="1"/>
    <col min="3" max="3" width="14.5703125" style="3" customWidth="1"/>
    <col min="4" max="4" width="16.140625" style="3" customWidth="1"/>
    <col min="5" max="5" width="20.85546875" style="3" bestFit="1" customWidth="1"/>
    <col min="6" max="6" width="27.85546875" style="3" customWidth="1"/>
    <col min="7" max="7" width="37.140625" style="3" customWidth="1"/>
    <col min="8" max="8" width="18.140625" style="3" bestFit="1" customWidth="1"/>
    <col min="9" max="9" width="13.140625" style="3" bestFit="1" customWidth="1"/>
    <col min="10" max="10" width="12.7109375" style="3" bestFit="1" customWidth="1"/>
    <col min="11" max="12" width="9.140625" style="3"/>
    <col min="13" max="13" width="10.28515625" style="3" bestFit="1" customWidth="1"/>
    <col min="14" max="14" width="28" style="3" bestFit="1" customWidth="1"/>
    <col min="15" max="15" width="13" style="3" customWidth="1"/>
    <col min="16" max="16" width="10.42578125" style="3" customWidth="1"/>
    <col min="17" max="16384" width="9.140625" style="3"/>
  </cols>
  <sheetData>
    <row r="1" spans="1:20" s="67" customFormat="1" ht="60.75" customHeight="1" x14ac:dyDescent="0.25"/>
    <row r="2" spans="1:20" s="68" customFormat="1" ht="14.25" customHeight="1" x14ac:dyDescent="0.25">
      <c r="C2" s="69"/>
      <c r="D2" s="69"/>
    </row>
    <row r="4" spans="1:20" x14ac:dyDescent="0.25">
      <c r="A4" s="14" t="s">
        <v>52</v>
      </c>
    </row>
    <row r="5" spans="1:20" ht="27" customHeight="1" x14ac:dyDescent="0.25">
      <c r="A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20" ht="19.5" customHeight="1" x14ac:dyDescent="0.25">
      <c r="A6" s="73" t="s">
        <v>53</v>
      </c>
      <c r="C6" s="100"/>
      <c r="D6" s="72"/>
      <c r="E6" s="72"/>
      <c r="F6" s="72"/>
      <c r="G6" s="72"/>
      <c r="H6" s="72"/>
      <c r="I6" s="72"/>
      <c r="J6" s="72"/>
      <c r="K6" s="72"/>
      <c r="L6" s="72"/>
      <c r="M6" s="95"/>
      <c r="N6" s="95"/>
      <c r="O6" s="95"/>
      <c r="P6" s="95"/>
      <c r="Q6" s="95"/>
      <c r="R6" s="95"/>
      <c r="S6" s="95"/>
      <c r="T6" s="95"/>
    </row>
    <row r="7" spans="1:20" ht="19.5" customHeight="1" thickBot="1" x14ac:dyDescent="0.3">
      <c r="A7" s="73" t="s">
        <v>169</v>
      </c>
      <c r="C7" s="100"/>
      <c r="D7" s="71"/>
      <c r="E7" s="71"/>
      <c r="F7" s="71"/>
      <c r="G7" s="87"/>
      <c r="H7" s="87"/>
      <c r="I7" s="71"/>
      <c r="J7" s="71"/>
      <c r="K7" s="71"/>
      <c r="L7" s="71"/>
      <c r="M7" s="95"/>
      <c r="N7" s="95"/>
      <c r="O7" s="95"/>
      <c r="P7" s="95"/>
      <c r="Q7" s="95"/>
      <c r="R7" s="95"/>
      <c r="S7" s="95"/>
      <c r="T7" s="95"/>
    </row>
    <row r="8" spans="1:20" ht="19.5" customHeight="1" thickTop="1" thickBot="1" x14ac:dyDescent="0.35">
      <c r="A8" s="73" t="s">
        <v>54</v>
      </c>
      <c r="C8" s="100"/>
      <c r="D8" s="71"/>
      <c r="E8" s="163"/>
      <c r="F8" s="71"/>
      <c r="G8" s="129" t="s">
        <v>103</v>
      </c>
      <c r="H8" s="96"/>
      <c r="I8" s="71"/>
      <c r="J8" s="71"/>
      <c r="K8" s="71"/>
      <c r="L8" s="71"/>
      <c r="M8" s="83"/>
      <c r="N8" s="84"/>
      <c r="O8" s="84"/>
      <c r="P8" s="84"/>
      <c r="Q8" s="84"/>
      <c r="R8" s="84"/>
      <c r="S8" s="84"/>
      <c r="T8" s="84"/>
    </row>
    <row r="9" spans="1:20" ht="18.75" customHeight="1" thickTop="1" thickBot="1" x14ac:dyDescent="0.35">
      <c r="B9" s="73"/>
      <c r="C9" s="101"/>
      <c r="D9" s="56"/>
      <c r="E9" s="56"/>
      <c r="F9" s="56"/>
      <c r="G9" s="128">
        <f>G11*F22</f>
        <v>900</v>
      </c>
      <c r="H9" s="43"/>
      <c r="I9" s="56"/>
      <c r="J9" s="56"/>
      <c r="K9" s="56"/>
      <c r="L9" s="56"/>
      <c r="M9" s="83"/>
      <c r="N9" s="84"/>
      <c r="O9" s="84"/>
      <c r="P9" s="84"/>
      <c r="Q9" s="84"/>
      <c r="R9" s="84"/>
      <c r="S9" s="84"/>
      <c r="T9" s="84"/>
    </row>
    <row r="10" spans="1:20" ht="39.75" thickTop="1" thickBot="1" x14ac:dyDescent="0.3">
      <c r="B10" s="43"/>
      <c r="C10" s="10"/>
      <c r="D10" s="43"/>
      <c r="E10" s="43"/>
      <c r="F10" s="56"/>
      <c r="G10" s="56"/>
      <c r="H10" s="56"/>
      <c r="I10" s="56"/>
      <c r="J10" s="56"/>
      <c r="K10" s="56"/>
      <c r="L10" s="56"/>
      <c r="M10" s="209" t="s">
        <v>96</v>
      </c>
      <c r="N10" s="211"/>
      <c r="O10" s="82" t="s">
        <v>95</v>
      </c>
      <c r="P10" s="82" t="s">
        <v>94</v>
      </c>
    </row>
    <row r="11" spans="1:20" ht="33" customHeight="1" thickTop="1" thickBot="1" x14ac:dyDescent="0.3">
      <c r="A11" s="204" t="s">
        <v>55</v>
      </c>
      <c r="B11" s="204"/>
      <c r="C11" s="204"/>
      <c r="D11" s="133"/>
      <c r="F11" s="86" t="s">
        <v>104</v>
      </c>
      <c r="G11" s="130">
        <v>15000</v>
      </c>
      <c r="H11" s="123"/>
      <c r="I11" s="57"/>
      <c r="J11" s="57"/>
      <c r="K11" s="57"/>
      <c r="L11" s="57"/>
      <c r="M11" s="76" t="s">
        <v>84</v>
      </c>
      <c r="N11" s="75" t="s">
        <v>93</v>
      </c>
      <c r="O11" s="79">
        <v>0.06</v>
      </c>
      <c r="P11" s="75" t="s">
        <v>77</v>
      </c>
    </row>
    <row r="12" spans="1:20" ht="25.5" customHeight="1" thickTop="1" thickBot="1" x14ac:dyDescent="0.3">
      <c r="A12" s="5" t="s">
        <v>56</v>
      </c>
      <c r="B12" s="6" t="s">
        <v>60</v>
      </c>
      <c r="C12" s="6" t="s">
        <v>128</v>
      </c>
      <c r="D12" s="120" t="s">
        <v>61</v>
      </c>
      <c r="F12" s="86" t="s">
        <v>102</v>
      </c>
      <c r="G12" s="131">
        <f>G11*12</f>
        <v>180000</v>
      </c>
      <c r="H12" s="123"/>
      <c r="I12" s="43"/>
      <c r="J12" s="43"/>
      <c r="K12" s="43"/>
      <c r="L12" s="43"/>
      <c r="M12" s="76" t="s">
        <v>83</v>
      </c>
      <c r="N12" s="75" t="s">
        <v>92</v>
      </c>
      <c r="O12" s="79">
        <v>0.112</v>
      </c>
      <c r="P12" s="81">
        <v>9360</v>
      </c>
    </row>
    <row r="13" spans="1:20" ht="19.5" thickTop="1" thickBot="1" x14ac:dyDescent="0.3">
      <c r="A13" s="99" t="s">
        <v>57</v>
      </c>
      <c r="B13" s="121">
        <f>F22</f>
        <v>0.06</v>
      </c>
      <c r="C13" s="4">
        <f>B13*$G$11</f>
        <v>900</v>
      </c>
      <c r="D13" s="122">
        <f>B13*$G$12</f>
        <v>10800</v>
      </c>
      <c r="E13" s="4"/>
      <c r="F13" s="86" t="s">
        <v>101</v>
      </c>
      <c r="G13" s="130">
        <v>0</v>
      </c>
      <c r="H13" s="123"/>
      <c r="I13" s="74"/>
      <c r="K13" s="43"/>
      <c r="L13" s="43"/>
      <c r="M13" s="76" t="s">
        <v>82</v>
      </c>
      <c r="N13" s="75" t="s">
        <v>91</v>
      </c>
      <c r="O13" s="79">
        <v>0.13500000000000001</v>
      </c>
      <c r="P13" s="81">
        <v>17640</v>
      </c>
    </row>
    <row r="14" spans="1:20" ht="18.75" thickTop="1" thickBot="1" x14ac:dyDescent="0.3">
      <c r="A14" s="99" t="s">
        <v>58</v>
      </c>
      <c r="B14" s="121">
        <v>0.1633</v>
      </c>
      <c r="C14" s="4">
        <f t="shared" ref="C14:C15" si="0">B14*$G$11</f>
        <v>2449.5</v>
      </c>
      <c r="D14" s="122">
        <f>B14*$G$12</f>
        <v>29394</v>
      </c>
      <c r="F14" s="86" t="s">
        <v>100</v>
      </c>
      <c r="G14" s="126">
        <v>0.06</v>
      </c>
      <c r="H14" s="124"/>
      <c r="I14" s="43"/>
      <c r="J14" s="74"/>
      <c r="K14" s="43"/>
      <c r="L14" s="43"/>
      <c r="M14" s="76" t="s">
        <v>81</v>
      </c>
      <c r="N14" s="75" t="s">
        <v>90</v>
      </c>
      <c r="O14" s="79">
        <v>0.16</v>
      </c>
      <c r="P14" s="81">
        <v>35640</v>
      </c>
    </row>
    <row r="15" spans="1:20" ht="18.75" thickTop="1" thickBot="1" x14ac:dyDescent="0.3">
      <c r="A15" s="99" t="s">
        <v>59</v>
      </c>
      <c r="B15" s="121">
        <v>0.3483</v>
      </c>
      <c r="C15" s="4">
        <f t="shared" si="0"/>
        <v>5224.5</v>
      </c>
      <c r="D15" s="122">
        <f>B15*$G$12</f>
        <v>62694</v>
      </c>
      <c r="F15" s="85" t="s">
        <v>99</v>
      </c>
      <c r="G15" s="127">
        <f>F22</f>
        <v>0.06</v>
      </c>
      <c r="H15" s="125"/>
      <c r="I15" s="43"/>
      <c r="J15" s="74"/>
      <c r="K15" s="43"/>
      <c r="L15" s="43"/>
      <c r="M15" s="76" t="s">
        <v>80</v>
      </c>
      <c r="N15" s="75" t="s">
        <v>89</v>
      </c>
      <c r="O15" s="79">
        <v>0.21</v>
      </c>
      <c r="P15" s="81">
        <v>125640</v>
      </c>
    </row>
    <row r="16" spans="1:20" ht="19.5" customHeight="1" thickTop="1" thickBot="1" x14ac:dyDescent="0.3">
      <c r="F16" s="43"/>
      <c r="G16" s="43"/>
      <c r="H16" s="43"/>
      <c r="I16" s="74"/>
      <c r="J16" s="43"/>
      <c r="K16" s="43"/>
      <c r="L16" s="43"/>
      <c r="M16" s="76" t="s">
        <v>78</v>
      </c>
      <c r="N16" s="75" t="s">
        <v>88</v>
      </c>
      <c r="O16" s="79">
        <v>0.33</v>
      </c>
      <c r="P16" s="81">
        <v>648000</v>
      </c>
    </row>
    <row r="17" spans="2:20" ht="19.5" customHeight="1" x14ac:dyDescent="0.25">
      <c r="C17" s="88"/>
      <c r="F17" s="87"/>
      <c r="I17" s="87"/>
      <c r="K17" s="43"/>
      <c r="L17" s="43"/>
    </row>
    <row r="18" spans="2:20" ht="19.5" customHeight="1" x14ac:dyDescent="0.25">
      <c r="I18" s="97"/>
      <c r="K18" s="43"/>
      <c r="L18" s="43"/>
    </row>
    <row r="19" spans="2:20" ht="19.5" thickBot="1" x14ac:dyDescent="0.35">
      <c r="C19" s="90"/>
      <c r="D19" s="89"/>
      <c r="E19" s="89"/>
      <c r="F19" s="89"/>
      <c r="G19" s="89"/>
      <c r="I19" s="98"/>
      <c r="K19" s="43"/>
      <c r="L19" s="43"/>
    </row>
    <row r="20" spans="2:20" ht="19.5" thickBot="1" x14ac:dyDescent="0.35">
      <c r="C20" s="119" t="s">
        <v>98</v>
      </c>
      <c r="D20" s="119"/>
      <c r="E20" s="119"/>
      <c r="F20" s="119"/>
      <c r="G20" s="90"/>
      <c r="I20" s="43"/>
      <c r="K20" s="43"/>
      <c r="L20" s="43"/>
      <c r="M20" s="215" t="s">
        <v>87</v>
      </c>
      <c r="N20" s="209" t="s">
        <v>86</v>
      </c>
      <c r="O20" s="210"/>
      <c r="P20" s="210"/>
      <c r="Q20" s="210"/>
      <c r="R20" s="210"/>
      <c r="S20" s="210"/>
      <c r="T20" s="211"/>
    </row>
    <row r="21" spans="2:20" ht="26.25" thickBot="1" x14ac:dyDescent="0.35">
      <c r="C21" s="132" t="s">
        <v>97</v>
      </c>
      <c r="D21" s="132"/>
      <c r="E21" s="132"/>
      <c r="F21" s="132"/>
      <c r="G21" s="90"/>
      <c r="M21" s="216"/>
      <c r="N21" s="209" t="s">
        <v>74</v>
      </c>
      <c r="O21" s="211"/>
      <c r="P21" s="80" t="s">
        <v>73</v>
      </c>
      <c r="Q21" s="80" t="s">
        <v>72</v>
      </c>
      <c r="R21" s="80" t="s">
        <v>71</v>
      </c>
      <c r="S21" s="80" t="s">
        <v>70</v>
      </c>
      <c r="T21" s="80" t="s">
        <v>85</v>
      </c>
    </row>
    <row r="22" spans="2:20" ht="18.75" thickBot="1" x14ac:dyDescent="0.3">
      <c r="B22" s="92">
        <f>G12*G14</f>
        <v>10800</v>
      </c>
      <c r="C22" s="93" t="s">
        <v>77</v>
      </c>
      <c r="D22" s="94">
        <v>0</v>
      </c>
      <c r="E22" s="92"/>
      <c r="F22" s="217">
        <f>(B22-D22)/B23</f>
        <v>0.06</v>
      </c>
      <c r="G22" s="217"/>
      <c r="I22" s="43"/>
      <c r="M22" s="76" t="s">
        <v>84</v>
      </c>
      <c r="N22" s="213">
        <v>0.04</v>
      </c>
      <c r="O22" s="214"/>
      <c r="P22" s="79">
        <v>3.5000000000000003E-2</v>
      </c>
      <c r="Q22" s="79">
        <v>0.12820000000000001</v>
      </c>
      <c r="R22" s="79">
        <v>2.7799999999999998E-2</v>
      </c>
      <c r="S22" s="79">
        <v>0.434</v>
      </c>
      <c r="T22" s="79">
        <v>0.33500000000000002</v>
      </c>
    </row>
    <row r="23" spans="2:20" ht="18.75" thickBot="1" x14ac:dyDescent="0.3">
      <c r="B23" s="203">
        <f>G12</f>
        <v>180000</v>
      </c>
      <c r="C23" s="203"/>
      <c r="D23" s="203"/>
      <c r="E23" s="203"/>
      <c r="F23" s="217"/>
      <c r="G23" s="217"/>
      <c r="I23" s="91"/>
      <c r="M23" s="76" t="s">
        <v>83</v>
      </c>
      <c r="N23" s="213">
        <v>0.04</v>
      </c>
      <c r="O23" s="214"/>
      <c r="P23" s="79">
        <v>3.5000000000000003E-2</v>
      </c>
      <c r="Q23" s="79">
        <v>0.14050000000000001</v>
      </c>
      <c r="R23" s="79">
        <v>3.0499999999999999E-2</v>
      </c>
      <c r="S23" s="79">
        <v>0.434</v>
      </c>
      <c r="T23" s="79">
        <v>0.32</v>
      </c>
    </row>
    <row r="24" spans="2:20" ht="15.75" thickBot="1" x14ac:dyDescent="0.3">
      <c r="M24" s="76" t="s">
        <v>82</v>
      </c>
      <c r="N24" s="213">
        <v>0.04</v>
      </c>
      <c r="O24" s="214"/>
      <c r="P24" s="79">
        <v>3.5000000000000003E-2</v>
      </c>
      <c r="Q24" s="79">
        <v>0.13639999999999999</v>
      </c>
      <c r="R24" s="79">
        <v>2.9600000000000001E-2</v>
      </c>
      <c r="S24" s="79">
        <v>0.434</v>
      </c>
      <c r="T24" s="79">
        <v>0.32500000000000001</v>
      </c>
    </row>
    <row r="25" spans="2:20" ht="15.75" thickBot="1" x14ac:dyDescent="0.3">
      <c r="M25" s="76" t="s">
        <v>81</v>
      </c>
      <c r="N25" s="213">
        <v>0.04</v>
      </c>
      <c r="O25" s="214"/>
      <c r="P25" s="79">
        <v>3.5000000000000003E-2</v>
      </c>
      <c r="Q25" s="79">
        <v>0.13639999999999999</v>
      </c>
      <c r="R25" s="79">
        <v>2.9600000000000001E-2</v>
      </c>
      <c r="S25" s="79">
        <v>0.434</v>
      </c>
      <c r="T25" s="79">
        <v>0.32500000000000001</v>
      </c>
    </row>
    <row r="26" spans="2:20" ht="26.25" thickBot="1" x14ac:dyDescent="0.3">
      <c r="M26" s="76" t="s">
        <v>80</v>
      </c>
      <c r="N26" s="213">
        <v>0.04</v>
      </c>
      <c r="O26" s="214"/>
      <c r="P26" s="79">
        <v>3.5000000000000003E-2</v>
      </c>
      <c r="Q26" s="79">
        <v>0.12820000000000001</v>
      </c>
      <c r="R26" s="79">
        <v>2.7799999999999998E-2</v>
      </c>
      <c r="S26" s="79">
        <v>0.434</v>
      </c>
      <c r="T26" s="75" t="s">
        <v>79</v>
      </c>
    </row>
    <row r="27" spans="2:20" ht="15.75" thickBot="1" x14ac:dyDescent="0.3">
      <c r="M27" s="76" t="s">
        <v>78</v>
      </c>
      <c r="N27" s="213">
        <v>0.35</v>
      </c>
      <c r="O27" s="214"/>
      <c r="P27" s="79">
        <v>0.15</v>
      </c>
      <c r="Q27" s="79">
        <v>0.1603</v>
      </c>
      <c r="R27" s="79">
        <v>3.4700000000000002E-2</v>
      </c>
      <c r="S27" s="79">
        <v>0.30499999999999999</v>
      </c>
      <c r="T27" s="75" t="s">
        <v>77</v>
      </c>
    </row>
    <row r="28" spans="2:20" ht="33.75" customHeight="1" thickBot="1" x14ac:dyDescent="0.3">
      <c r="M28" s="207" t="s">
        <v>76</v>
      </c>
      <c r="N28" s="212"/>
      <c r="O28" s="212"/>
      <c r="P28" s="212"/>
      <c r="Q28" s="212"/>
      <c r="R28" s="212"/>
      <c r="S28" s="212"/>
      <c r="T28" s="208"/>
    </row>
    <row r="29" spans="2:20" ht="26.25" thickBot="1" x14ac:dyDescent="0.3">
      <c r="M29" s="78" t="s">
        <v>75</v>
      </c>
      <c r="N29" s="77" t="s">
        <v>74</v>
      </c>
      <c r="O29" s="205" t="s">
        <v>73</v>
      </c>
      <c r="P29" s="206"/>
      <c r="Q29" s="77" t="s">
        <v>72</v>
      </c>
      <c r="R29" s="77" t="s">
        <v>71</v>
      </c>
      <c r="S29" s="77" t="s">
        <v>70</v>
      </c>
      <c r="T29" s="77" t="s">
        <v>69</v>
      </c>
    </row>
    <row r="30" spans="2:20" ht="77.25" thickBot="1" x14ac:dyDescent="0.3">
      <c r="M30" s="76" t="s">
        <v>68</v>
      </c>
      <c r="N30" s="75" t="s">
        <v>67</v>
      </c>
      <c r="O30" s="207" t="s">
        <v>66</v>
      </c>
      <c r="P30" s="208"/>
      <c r="Q30" s="75" t="s">
        <v>65</v>
      </c>
      <c r="R30" s="75" t="s">
        <v>64</v>
      </c>
      <c r="S30" s="75" t="s">
        <v>63</v>
      </c>
      <c r="T30" s="75" t="s">
        <v>62</v>
      </c>
    </row>
    <row r="31" spans="2:20" x14ac:dyDescent="0.25">
      <c r="M31" s="53"/>
    </row>
    <row r="33" spans="2:2" x14ac:dyDescent="0.25">
      <c r="B33" s="53"/>
    </row>
  </sheetData>
  <mergeCells count="16">
    <mergeCell ref="M10:N10"/>
    <mergeCell ref="M20:M21"/>
    <mergeCell ref="N21:O21"/>
    <mergeCell ref="N27:O27"/>
    <mergeCell ref="F22:G23"/>
    <mergeCell ref="B23:E23"/>
    <mergeCell ref="A11:C11"/>
    <mergeCell ref="O29:P29"/>
    <mergeCell ref="O30:P30"/>
    <mergeCell ref="N20:T20"/>
    <mergeCell ref="M28:T28"/>
    <mergeCell ref="N22:O22"/>
    <mergeCell ref="N23:O23"/>
    <mergeCell ref="N24:O24"/>
    <mergeCell ref="N25:O25"/>
    <mergeCell ref="N26:O2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S22"/>
  <sheetViews>
    <sheetView tabSelected="1" topLeftCell="B1" workbookViewId="0">
      <selection activeCell="I10" sqref="I10"/>
    </sheetView>
  </sheetViews>
  <sheetFormatPr defaultColWidth="9.140625" defaultRowHeight="15" x14ac:dyDescent="0.25"/>
  <cols>
    <col min="1" max="1" width="9.140625" style="3"/>
    <col min="2" max="2" width="12.85546875" style="3" bestFit="1" customWidth="1"/>
    <col min="3" max="4" width="12.5703125" style="3" bestFit="1" customWidth="1"/>
    <col min="5" max="5" width="17.5703125" style="3" customWidth="1"/>
    <col min="6" max="7" width="11.7109375" style="3" bestFit="1" customWidth="1"/>
    <col min="8" max="8" width="9.140625" style="3"/>
    <col min="9" max="9" width="14.5703125" style="3" bestFit="1" customWidth="1"/>
    <col min="10" max="11" width="9.140625" style="3"/>
    <col min="12" max="13" width="10.5703125" style="3" bestFit="1" customWidth="1"/>
    <col min="14" max="16384" width="9.140625" style="3"/>
  </cols>
  <sheetData>
    <row r="3" spans="1:19" x14ac:dyDescent="0.25">
      <c r="B3" s="43" t="s">
        <v>170</v>
      </c>
      <c r="C3" s="43"/>
      <c r="D3" s="43"/>
      <c r="E3" s="43"/>
      <c r="F3" s="43"/>
      <c r="G3" s="43"/>
      <c r="H3" s="4"/>
      <c r="I3" s="4"/>
      <c r="J3" s="4"/>
      <c r="K3" s="4"/>
      <c r="L3" s="4"/>
      <c r="M3" s="4"/>
    </row>
    <row r="4" spans="1:19" ht="15.75" thickBot="1" x14ac:dyDescent="0.3">
      <c r="B4" s="43"/>
      <c r="C4" s="43"/>
      <c r="D4" s="173"/>
      <c r="E4" s="173"/>
      <c r="F4" s="173"/>
      <c r="G4" s="173"/>
      <c r="H4" s="188">
        <f>$F$7*M14</f>
        <v>93.120906728800918</v>
      </c>
      <c r="I4" s="188">
        <f>$F$7*O14</f>
        <v>81.4807933877008</v>
      </c>
      <c r="J4" s="188">
        <f>$F$7*P14</f>
        <v>298.45250606580692</v>
      </c>
      <c r="K4" s="188">
        <f>$F$7*Q14</f>
        <v>64.719030176516625</v>
      </c>
      <c r="L4" s="188">
        <f>$F$7*R14</f>
        <v>1010.3618380074898</v>
      </c>
      <c r="M4" s="188">
        <f>$F$7*S14</f>
        <v>779.8875938537077</v>
      </c>
      <c r="N4" s="187">
        <v>2.01E-2</v>
      </c>
      <c r="O4" s="187">
        <v>2.1600000000000001E-2</v>
      </c>
      <c r="R4" s="3">
        <f>301.5+50.56</f>
        <v>352.06</v>
      </c>
    </row>
    <row r="5" spans="1:19" ht="33" customHeight="1" thickTop="1" thickBot="1" x14ac:dyDescent="0.3">
      <c r="A5" s="43"/>
      <c r="B5" s="220"/>
      <c r="C5" s="221"/>
      <c r="D5" s="218" t="s">
        <v>172</v>
      </c>
      <c r="E5" s="219"/>
      <c r="F5" s="219" t="s">
        <v>173</v>
      </c>
      <c r="G5" s="219"/>
      <c r="H5" s="172" t="s">
        <v>74</v>
      </c>
      <c r="I5" s="172" t="s">
        <v>73</v>
      </c>
      <c r="J5" s="172" t="s">
        <v>72</v>
      </c>
      <c r="K5" s="172" t="s">
        <v>71</v>
      </c>
      <c r="L5" s="172" t="s">
        <v>70</v>
      </c>
      <c r="M5" s="176" t="s">
        <v>69</v>
      </c>
      <c r="N5" s="72">
        <v>301.5</v>
      </c>
      <c r="O5" s="3">
        <v>323.85000000000002</v>
      </c>
      <c r="S5" s="4">
        <f>R6-R4</f>
        <v>-352.06</v>
      </c>
    </row>
    <row r="6" spans="1:19" ht="24.75" customHeight="1" thickTop="1" thickBot="1" x14ac:dyDescent="0.3">
      <c r="A6" s="174"/>
      <c r="B6" s="222" t="s">
        <v>171</v>
      </c>
      <c r="C6" s="223"/>
      <c r="D6" s="224">
        <v>272099</v>
      </c>
      <c r="E6" s="225"/>
      <c r="F6" s="226">
        <f>((D6*H14)-I14)/D6</f>
        <v>7.7600755607334093E-2</v>
      </c>
      <c r="G6" s="227"/>
      <c r="H6" s="175">
        <f>M15*F6</f>
        <v>3.1040302242933636E-3</v>
      </c>
      <c r="I6" s="175">
        <f>O15*F6</f>
        <v>2.7160264462566933E-3</v>
      </c>
      <c r="J6" s="175">
        <f>P15*F6</f>
        <v>1.0902906162830441E-2</v>
      </c>
      <c r="K6" s="175">
        <f>Q15*F6</f>
        <v>2.3668230460236897E-3</v>
      </c>
      <c r="L6" s="175">
        <f>R15*F6</f>
        <v>3.3678727933582994E-2</v>
      </c>
      <c r="M6" s="195">
        <f>S15*F6</f>
        <v>2.4832241794346909E-2</v>
      </c>
      <c r="N6" s="72">
        <v>50.56</v>
      </c>
      <c r="O6" s="3">
        <v>54.31</v>
      </c>
      <c r="R6" s="74">
        <f>J9+J10</f>
        <v>0</v>
      </c>
    </row>
    <row r="7" spans="1:19" ht="15.75" thickTop="1" x14ac:dyDescent="0.25">
      <c r="B7" s="43" t="s">
        <v>176</v>
      </c>
      <c r="C7" s="74">
        <v>30000</v>
      </c>
      <c r="D7" s="167"/>
      <c r="E7" s="167" t="s">
        <v>177</v>
      </c>
      <c r="F7" s="194">
        <f>F6*C7</f>
        <v>2328.0226682200228</v>
      </c>
      <c r="H7" s="74"/>
      <c r="I7" s="74">
        <f>F7-N5</f>
        <v>2026.5226682200228</v>
      </c>
      <c r="J7" s="74"/>
      <c r="K7" s="74"/>
      <c r="L7" s="74"/>
      <c r="M7" s="74"/>
      <c r="N7" s="43">
        <f>SUM(N5:N6)</f>
        <v>352.06</v>
      </c>
      <c r="R7" s="43"/>
    </row>
    <row r="8" spans="1:19" x14ac:dyDescent="0.25">
      <c r="B8" s="43"/>
      <c r="C8" s="189"/>
      <c r="D8" s="43"/>
      <c r="E8" s="168"/>
      <c r="F8" s="74">
        <f>D6*F6</f>
        <v>21115.088</v>
      </c>
      <c r="G8" s="190"/>
      <c r="H8" s="192"/>
      <c r="I8" s="43"/>
      <c r="K8" s="43"/>
      <c r="L8" s="43"/>
      <c r="M8" s="43"/>
      <c r="N8" s="43"/>
      <c r="R8" s="43"/>
    </row>
    <row r="9" spans="1:19" x14ac:dyDescent="0.25">
      <c r="B9" s="43"/>
      <c r="C9" s="74"/>
      <c r="D9" s="74"/>
      <c r="E9" s="43"/>
      <c r="F9" s="43"/>
      <c r="G9" s="191"/>
      <c r="H9" s="74"/>
      <c r="I9" s="43"/>
      <c r="J9" s="74"/>
      <c r="K9" s="43"/>
      <c r="L9" s="74"/>
      <c r="M9" s="43"/>
      <c r="N9" s="169"/>
    </row>
    <row r="10" spans="1:19" x14ac:dyDescent="0.25">
      <c r="B10" s="43"/>
      <c r="C10" s="43"/>
      <c r="D10" s="43">
        <v>210186.6</v>
      </c>
      <c r="E10" s="43"/>
      <c r="F10" s="43">
        <v>8.08</v>
      </c>
      <c r="G10" s="169">
        <v>0.15317563840297799</v>
      </c>
      <c r="I10" s="187">
        <v>2.4832E-2</v>
      </c>
      <c r="J10" s="74"/>
      <c r="M10" s="3">
        <v>2.0312999999999999</v>
      </c>
    </row>
    <row r="11" spans="1:19" ht="15.75" thickBot="1" x14ac:dyDescent="0.3">
      <c r="I11" s="4"/>
    </row>
    <row r="12" spans="1:19" ht="39" customHeight="1" thickBot="1" x14ac:dyDescent="0.3">
      <c r="B12" s="196">
        <v>15354.33</v>
      </c>
      <c r="D12" s="230" t="s">
        <v>96</v>
      </c>
      <c r="E12" s="231"/>
      <c r="F12" s="231"/>
      <c r="G12" s="232"/>
      <c r="H12" s="170" t="s">
        <v>95</v>
      </c>
      <c r="I12" s="170" t="s">
        <v>94</v>
      </c>
      <c r="K12" s="3" t="s">
        <v>174</v>
      </c>
      <c r="L12" s="228" t="s">
        <v>87</v>
      </c>
      <c r="M12" s="230" t="s">
        <v>86</v>
      </c>
      <c r="N12" s="231"/>
      <c r="O12" s="231"/>
      <c r="P12" s="231"/>
      <c r="Q12" s="231"/>
      <c r="R12" s="231"/>
      <c r="S12" s="232"/>
    </row>
    <row r="13" spans="1:19" ht="26.25" thickBot="1" x14ac:dyDescent="0.3">
      <c r="D13" s="76" t="s">
        <v>84</v>
      </c>
      <c r="E13" s="207" t="s">
        <v>93</v>
      </c>
      <c r="F13" s="212"/>
      <c r="G13" s="208"/>
      <c r="H13" s="79">
        <v>0.06</v>
      </c>
      <c r="I13" s="75">
        <v>0</v>
      </c>
      <c r="L13" s="229"/>
      <c r="M13" s="230" t="s">
        <v>74</v>
      </c>
      <c r="N13" s="232"/>
      <c r="O13" s="171" t="s">
        <v>73</v>
      </c>
      <c r="P13" s="171" t="s">
        <v>72</v>
      </c>
      <c r="Q13" s="171" t="s">
        <v>71</v>
      </c>
      <c r="R13" s="171" t="s">
        <v>70</v>
      </c>
      <c r="S13" s="171" t="s">
        <v>85</v>
      </c>
    </row>
    <row r="14" spans="1:19" ht="26.25" customHeight="1" thickBot="1" x14ac:dyDescent="0.3">
      <c r="B14" s="196">
        <f>2.5%*C7</f>
        <v>750</v>
      </c>
      <c r="D14" s="76" t="s">
        <v>83</v>
      </c>
      <c r="E14" s="207" t="s">
        <v>92</v>
      </c>
      <c r="F14" s="212"/>
      <c r="G14" s="208"/>
      <c r="H14" s="79">
        <v>0.112</v>
      </c>
      <c r="I14" s="81">
        <v>9360</v>
      </c>
      <c r="L14" s="76" t="s">
        <v>84</v>
      </c>
      <c r="M14" s="213">
        <v>0.04</v>
      </c>
      <c r="N14" s="214"/>
      <c r="O14" s="79">
        <v>3.5000000000000003E-2</v>
      </c>
      <c r="P14" s="79">
        <v>0.12820000000000001</v>
      </c>
      <c r="Q14" s="79">
        <v>2.7799999999999998E-2</v>
      </c>
      <c r="R14" s="79">
        <v>0.434</v>
      </c>
      <c r="S14" s="79">
        <v>0.33500000000000002</v>
      </c>
    </row>
    <row r="15" spans="1:19" ht="26.25" customHeight="1" thickBot="1" x14ac:dyDescent="0.3">
      <c r="B15" s="3">
        <f>50/4</f>
        <v>12.5</v>
      </c>
      <c r="D15" s="76" t="s">
        <v>82</v>
      </c>
      <c r="E15" s="207" t="s">
        <v>91</v>
      </c>
      <c r="F15" s="212"/>
      <c r="G15" s="208"/>
      <c r="H15" s="79">
        <v>0.13500000000000001</v>
      </c>
      <c r="I15" s="81">
        <v>17640</v>
      </c>
      <c r="L15" s="76" t="s">
        <v>83</v>
      </c>
      <c r="M15" s="213">
        <v>0.04</v>
      </c>
      <c r="N15" s="214"/>
      <c r="O15" s="79">
        <v>3.5000000000000003E-2</v>
      </c>
      <c r="P15" s="79">
        <v>0.14050000000000001</v>
      </c>
      <c r="Q15" s="79">
        <v>3.0499999999999999E-2</v>
      </c>
      <c r="R15" s="79">
        <v>0.434</v>
      </c>
      <c r="S15" s="79">
        <v>0.32</v>
      </c>
    </row>
    <row r="16" spans="1:19" ht="26.25" customHeight="1" thickBot="1" x14ac:dyDescent="0.3">
      <c r="D16" s="76" t="s">
        <v>81</v>
      </c>
      <c r="E16" s="207" t="s">
        <v>90</v>
      </c>
      <c r="F16" s="212"/>
      <c r="G16" s="208"/>
      <c r="H16" s="79">
        <v>0.16</v>
      </c>
      <c r="I16" s="81">
        <v>35640</v>
      </c>
      <c r="L16" s="76" t="s">
        <v>82</v>
      </c>
      <c r="M16" s="213">
        <v>0.04</v>
      </c>
      <c r="N16" s="214"/>
      <c r="O16" s="79">
        <v>3.5000000000000003E-2</v>
      </c>
      <c r="P16" s="79">
        <v>0.13639999999999999</v>
      </c>
      <c r="Q16" s="79">
        <v>2.9600000000000001E-2</v>
      </c>
      <c r="R16" s="79">
        <v>0.434</v>
      </c>
      <c r="S16" s="79">
        <v>0.32500000000000001</v>
      </c>
    </row>
    <row r="17" spans="4:19" ht="26.25" customHeight="1" thickBot="1" x14ac:dyDescent="0.3">
      <c r="D17" s="76" t="s">
        <v>80</v>
      </c>
      <c r="E17" s="207" t="s">
        <v>89</v>
      </c>
      <c r="F17" s="212"/>
      <c r="G17" s="208"/>
      <c r="H17" s="79">
        <v>0.21</v>
      </c>
      <c r="I17" s="81">
        <v>125640</v>
      </c>
      <c r="L17" s="76" t="s">
        <v>81</v>
      </c>
      <c r="M17" s="213">
        <v>0.04</v>
      </c>
      <c r="N17" s="214"/>
      <c r="O17" s="79">
        <v>3.5000000000000003E-2</v>
      </c>
      <c r="P17" s="79">
        <v>0.13639999999999999</v>
      </c>
      <c r="Q17" s="79">
        <v>2.9600000000000001E-2</v>
      </c>
      <c r="R17" s="79">
        <v>0.434</v>
      </c>
      <c r="S17" s="79">
        <v>0.32500000000000001</v>
      </c>
    </row>
    <row r="18" spans="4:19" ht="26.25" customHeight="1" thickBot="1" x14ac:dyDescent="0.3">
      <c r="D18" s="76" t="s">
        <v>78</v>
      </c>
      <c r="E18" s="207" t="s">
        <v>88</v>
      </c>
      <c r="F18" s="212"/>
      <c r="G18" s="208"/>
      <c r="H18" s="79">
        <v>0.33</v>
      </c>
      <c r="I18" s="81">
        <v>648000</v>
      </c>
      <c r="L18" s="76" t="s">
        <v>80</v>
      </c>
      <c r="M18" s="213">
        <v>0.04</v>
      </c>
      <c r="N18" s="214"/>
      <c r="O18" s="79">
        <v>3.5000000000000003E-2</v>
      </c>
      <c r="P18" s="79">
        <v>0.12820000000000001</v>
      </c>
      <c r="Q18" s="79">
        <v>2.7799999999999998E-2</v>
      </c>
      <c r="R18" s="79">
        <v>0.434</v>
      </c>
      <c r="S18" s="75" t="s">
        <v>79</v>
      </c>
    </row>
    <row r="19" spans="4:19" ht="15.75" thickBot="1" x14ac:dyDescent="0.3">
      <c r="L19" s="76" t="s">
        <v>78</v>
      </c>
      <c r="M19" s="213">
        <v>0.35</v>
      </c>
      <c r="N19" s="214"/>
      <c r="O19" s="79">
        <v>0.15</v>
      </c>
      <c r="P19" s="79">
        <v>0.1603</v>
      </c>
      <c r="Q19" s="79">
        <v>3.4700000000000002E-2</v>
      </c>
      <c r="R19" s="79">
        <v>0.30499999999999999</v>
      </c>
      <c r="S19" s="75" t="s">
        <v>77</v>
      </c>
    </row>
    <row r="20" spans="4:19" ht="15.75" thickBot="1" x14ac:dyDescent="0.3">
      <c r="L20" s="207" t="s">
        <v>76</v>
      </c>
      <c r="M20" s="212"/>
      <c r="N20" s="212"/>
      <c r="O20" s="212"/>
      <c r="P20" s="212"/>
      <c r="Q20" s="212"/>
      <c r="R20" s="212"/>
      <c r="S20" s="208"/>
    </row>
    <row r="21" spans="4:19" ht="26.25" thickBot="1" x14ac:dyDescent="0.3">
      <c r="L21" s="78" t="s">
        <v>75</v>
      </c>
      <c r="M21" s="77" t="s">
        <v>74</v>
      </c>
      <c r="N21" s="205" t="s">
        <v>73</v>
      </c>
      <c r="O21" s="206"/>
      <c r="P21" s="77" t="s">
        <v>72</v>
      </c>
      <c r="Q21" s="77" t="s">
        <v>71</v>
      </c>
      <c r="R21" s="77" t="s">
        <v>70</v>
      </c>
      <c r="S21" s="77" t="s">
        <v>69</v>
      </c>
    </row>
    <row r="22" spans="4:19" ht="77.25" thickBot="1" x14ac:dyDescent="0.3">
      <c r="I22" s="3">
        <f>157.9*4</f>
        <v>631.6</v>
      </c>
      <c r="L22" s="76" t="s">
        <v>68</v>
      </c>
      <c r="M22" s="75" t="s">
        <v>67</v>
      </c>
      <c r="N22" s="207" t="s">
        <v>66</v>
      </c>
      <c r="O22" s="208"/>
      <c r="P22" s="75" t="s">
        <v>65</v>
      </c>
      <c r="Q22" s="75" t="s">
        <v>64</v>
      </c>
      <c r="R22" s="75" t="s">
        <v>63</v>
      </c>
      <c r="S22" s="75" t="s">
        <v>62</v>
      </c>
    </row>
  </sheetData>
  <mergeCells count="25">
    <mergeCell ref="D5:E5"/>
    <mergeCell ref="F5:G5"/>
    <mergeCell ref="B5:C5"/>
    <mergeCell ref="B6:C6"/>
    <mergeCell ref="N22:O22"/>
    <mergeCell ref="E17:G17"/>
    <mergeCell ref="E18:G18"/>
    <mergeCell ref="D6:E6"/>
    <mergeCell ref="F6:G6"/>
    <mergeCell ref="L12:L13"/>
    <mergeCell ref="M12:S12"/>
    <mergeCell ref="M13:N13"/>
    <mergeCell ref="M14:N14"/>
    <mergeCell ref="M15:N15"/>
    <mergeCell ref="M16:N16"/>
    <mergeCell ref="D12:G12"/>
    <mergeCell ref="M18:N18"/>
    <mergeCell ref="M19:N19"/>
    <mergeCell ref="L20:S20"/>
    <mergeCell ref="N21:O21"/>
    <mergeCell ref="E13:G13"/>
    <mergeCell ref="E14:G14"/>
    <mergeCell ref="E15:G15"/>
    <mergeCell ref="E16:G16"/>
    <mergeCell ref="M17:N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55"/>
  <sheetViews>
    <sheetView topLeftCell="A25" workbookViewId="0">
      <selection activeCell="F4" sqref="F4"/>
    </sheetView>
  </sheetViews>
  <sheetFormatPr defaultColWidth="9.140625" defaultRowHeight="15" x14ac:dyDescent="0.25"/>
  <cols>
    <col min="1" max="1" width="9.140625" style="17"/>
    <col min="2" max="2" width="27.42578125" style="17" bestFit="1" customWidth="1"/>
    <col min="3" max="3" width="17" style="17" bestFit="1" customWidth="1"/>
    <col min="4" max="4" width="11.5703125" style="17" customWidth="1"/>
    <col min="5" max="5" width="9.85546875" style="17" customWidth="1"/>
    <col min="6" max="6" width="11.7109375" style="17" bestFit="1" customWidth="1"/>
    <col min="7" max="7" width="30" style="17" bestFit="1" customWidth="1"/>
    <col min="8" max="16384" width="9.140625" style="17"/>
  </cols>
  <sheetData>
    <row r="1" spans="2:9" x14ac:dyDescent="0.25">
      <c r="C1" s="17" t="s">
        <v>129</v>
      </c>
      <c r="D1" s="17" t="s">
        <v>130</v>
      </c>
    </row>
    <row r="2" spans="2:9" x14ac:dyDescent="0.25">
      <c r="B2" s="146" t="s">
        <v>131</v>
      </c>
      <c r="C2" s="147">
        <v>36254</v>
      </c>
      <c r="D2" s="148">
        <v>5.2699999999999997E-2</v>
      </c>
      <c r="E2" s="149" t="str">
        <f>IF(D2&gt;0,"↑","↓")&amp;" "&amp;TEXT(D2,"0,00%")</f>
        <v>↑ 5,27%</v>
      </c>
    </row>
    <row r="3" spans="2:9" x14ac:dyDescent="0.25">
      <c r="B3" s="17" t="s">
        <v>153</v>
      </c>
      <c r="C3" s="134">
        <v>105</v>
      </c>
      <c r="D3" s="145">
        <f>((I5*100%)/H5)-100%</f>
        <v>9.6153846153845812E-3</v>
      </c>
      <c r="E3" s="136" t="str">
        <f>IF(D3&gt;0,"↑","↓")&amp;" "&amp;TEXT(D3,"0%")</f>
        <v>↑ 1%</v>
      </c>
    </row>
    <row r="4" spans="2:9" x14ac:dyDescent="0.25">
      <c r="B4" s="17" t="s">
        <v>132</v>
      </c>
      <c r="C4" s="137">
        <f>'LIVRO CAIXA'!L26</f>
        <v>15219.849999999999</v>
      </c>
      <c r="D4" s="138">
        <f>'FLUXO DE CAIXA'!M11</f>
        <v>0.89136068545258085</v>
      </c>
      <c r="E4" s="141" t="str">
        <f>IF(D4&gt;0,"↑","↓")&amp;" "&amp;TEXT(D4,"0%")</f>
        <v>↑ 89%</v>
      </c>
      <c r="F4" s="143">
        <f>'FLUXO DE CAIXA'!L7</f>
        <v>19349.740000000002</v>
      </c>
      <c r="H4" s="17" t="s">
        <v>137</v>
      </c>
      <c r="I4" s="134" t="s">
        <v>138</v>
      </c>
    </row>
    <row r="5" spans="2:9" ht="15.75" x14ac:dyDescent="0.25">
      <c r="B5" s="17" t="s">
        <v>133</v>
      </c>
      <c r="C5" s="185">
        <f>'LIVRO CAIXA'!L6-'LIVRO CAIXA'!K6</f>
        <v>-2274.8900000000031</v>
      </c>
      <c r="D5" s="144">
        <f>('LIVRO CAIXA'!L6-'LIVRO CAIXA'!K6*100%)/'LIVRO CAIXA'!L6</f>
        <v>-0.13323045297616104</v>
      </c>
      <c r="E5" s="136" t="str">
        <f>IF(D5&gt;0,"↑","↓")&amp;" "&amp;TEXT(D5,"0%")</f>
        <v>↓ -13%</v>
      </c>
      <c r="H5" s="17">
        <v>104</v>
      </c>
      <c r="I5" s="17">
        <v>105</v>
      </c>
    </row>
    <row r="6" spans="2:9" x14ac:dyDescent="0.25">
      <c r="B6" s="17" t="s">
        <v>154</v>
      </c>
      <c r="C6" s="143">
        <f>META!M7-META!M6</f>
        <v>-229.89000000000306</v>
      </c>
      <c r="D6" s="135">
        <f>META!C8</f>
        <v>-5.6674645212814623E-2</v>
      </c>
      <c r="E6" s="136" t="str">
        <f t="shared" ref="E6" si="0">IF(D6&gt;0,"↑","↓")&amp;" "&amp;TEXT(D6,"0,00%")</f>
        <v>↓ -5,67%</v>
      </c>
    </row>
    <row r="8" spans="2:9" x14ac:dyDescent="0.25">
      <c r="B8" s="17" t="s">
        <v>134</v>
      </c>
      <c r="F8" s="139"/>
    </row>
    <row r="9" spans="2:9" x14ac:dyDescent="0.25">
      <c r="G9" s="144">
        <f>('FLUXO DE CAIXA'!D7-'FLUXO DE CAIXA'!C7*100%)/'FLUXO DE CAIXA'!C7</f>
        <v>-1</v>
      </c>
    </row>
    <row r="10" spans="2:9" x14ac:dyDescent="0.25">
      <c r="C10" s="17" t="s">
        <v>135</v>
      </c>
      <c r="D10" s="17" t="s">
        <v>136</v>
      </c>
    </row>
    <row r="11" spans="2:9" x14ac:dyDescent="0.25">
      <c r="B11" s="17" t="s">
        <v>137</v>
      </c>
      <c r="C11" s="17">
        <v>45000</v>
      </c>
      <c r="D11" s="17">
        <v>30000</v>
      </c>
    </row>
    <row r="12" spans="2:9" x14ac:dyDescent="0.25">
      <c r="B12" s="17" t="s">
        <v>138</v>
      </c>
      <c r="C12" s="17">
        <v>43000</v>
      </c>
      <c r="D12" s="17">
        <v>23000</v>
      </c>
    </row>
    <row r="13" spans="2:9" x14ac:dyDescent="0.25">
      <c r="B13" s="17" t="s">
        <v>139</v>
      </c>
      <c r="C13" s="17">
        <v>54000</v>
      </c>
      <c r="D13" s="17">
        <v>40000</v>
      </c>
    </row>
    <row r="14" spans="2:9" x14ac:dyDescent="0.25">
      <c r="B14" s="17" t="s">
        <v>140</v>
      </c>
      <c r="C14" s="17">
        <v>60000</v>
      </c>
      <c r="D14" s="17">
        <v>40000</v>
      </c>
    </row>
    <row r="15" spans="2:9" x14ac:dyDescent="0.25">
      <c r="B15" s="17" t="s">
        <v>141</v>
      </c>
      <c r="C15" s="17">
        <v>30000</v>
      </c>
      <c r="D15" s="17">
        <v>35000</v>
      </c>
    </row>
    <row r="16" spans="2:9" x14ac:dyDescent="0.25">
      <c r="B16" s="17" t="s">
        <v>142</v>
      </c>
      <c r="C16" s="17">
        <v>80000</v>
      </c>
      <c r="D16" s="17">
        <v>55000</v>
      </c>
    </row>
    <row r="17" spans="2:8" x14ac:dyDescent="0.25">
      <c r="B17" s="17" t="s">
        <v>143</v>
      </c>
      <c r="C17" s="17">
        <v>35000</v>
      </c>
      <c r="D17" s="17">
        <v>23000</v>
      </c>
    </row>
    <row r="18" spans="2:8" x14ac:dyDescent="0.25">
      <c r="B18" s="17" t="s">
        <v>144</v>
      </c>
      <c r="C18" s="17">
        <v>15000</v>
      </c>
      <c r="D18" s="17">
        <v>30000</v>
      </c>
    </row>
    <row r="19" spans="2:8" x14ac:dyDescent="0.25">
      <c r="B19" s="17" t="s">
        <v>145</v>
      </c>
      <c r="C19" s="17">
        <v>12000</v>
      </c>
      <c r="D19" s="17">
        <v>30000</v>
      </c>
    </row>
    <row r="20" spans="2:8" x14ac:dyDescent="0.25">
      <c r="B20" s="17" t="s">
        <v>146</v>
      </c>
      <c r="C20" s="17">
        <v>45000</v>
      </c>
      <c r="D20" s="17">
        <v>42000</v>
      </c>
    </row>
    <row r="21" spans="2:8" x14ac:dyDescent="0.25">
      <c r="B21" s="17" t="s">
        <v>147</v>
      </c>
      <c r="C21" s="17">
        <v>80000</v>
      </c>
      <c r="D21" s="17">
        <v>25000</v>
      </c>
    </row>
    <row r="22" spans="2:8" x14ac:dyDescent="0.25">
      <c r="B22" s="17" t="s">
        <v>148</v>
      </c>
      <c r="C22" s="17">
        <v>81000</v>
      </c>
      <c r="D22" s="17">
        <v>35000</v>
      </c>
    </row>
    <row r="24" spans="2:8" x14ac:dyDescent="0.25">
      <c r="B24" s="17" t="s">
        <v>149</v>
      </c>
    </row>
    <row r="26" spans="2:8" x14ac:dyDescent="0.25">
      <c r="C26" s="17" t="s">
        <v>150</v>
      </c>
    </row>
    <row r="27" spans="2:8" x14ac:dyDescent="0.25">
      <c r="B27" s="17" t="str">
        <f>'LIVRO CAIXA'!A11</f>
        <v>DESPESA COM ANESTESIA</v>
      </c>
      <c r="C27" s="137">
        <f>'LIVRO CAIXA'!B11</f>
        <v>1330.5</v>
      </c>
      <c r="G27" s="47" t="s">
        <v>180</v>
      </c>
      <c r="H27" s="17">
        <f>'LIVRO CAIXA'!L11</f>
        <v>530</v>
      </c>
    </row>
    <row r="28" spans="2:8" x14ac:dyDescent="0.25">
      <c r="B28" s="17" t="str">
        <f>'LIVRO CAIXA'!A18</f>
        <v>DESPESA COM ALIMENTAÇÃO</v>
      </c>
      <c r="C28" s="137">
        <f>'LIVRO CAIXA'!B18</f>
        <v>408</v>
      </c>
      <c r="G28" s="47" t="s">
        <v>184</v>
      </c>
      <c r="H28" s="17">
        <f>'LIVRO CAIXA'!L12</f>
        <v>42</v>
      </c>
    </row>
    <row r="29" spans="2:8" x14ac:dyDescent="0.25">
      <c r="B29" s="17" t="str">
        <f>'LIVRO CAIXA'!A19</f>
        <v>DESPESA COM COMBUSTÍVEL</v>
      </c>
      <c r="C29" s="137">
        <f>'LIVRO CAIXA'!B19</f>
        <v>500</v>
      </c>
      <c r="G29" s="47" t="s">
        <v>186</v>
      </c>
      <c r="H29" s="17">
        <f>'LIVRO CAIXA'!L13</f>
        <v>1200</v>
      </c>
    </row>
    <row r="30" spans="2:8" x14ac:dyDescent="0.25">
      <c r="B30" s="17" t="str">
        <f>'LIVRO CAIXA'!A21</f>
        <v>DESPESA COM PLANO DE SAÚDE</v>
      </c>
      <c r="C30" s="137">
        <f>'LIVRO CAIXA'!B21</f>
        <v>430</v>
      </c>
      <c r="G30" s="47" t="s">
        <v>187</v>
      </c>
      <c r="H30" s="17">
        <f>'LIVRO CAIXA'!L14</f>
        <v>0</v>
      </c>
    </row>
    <row r="31" spans="2:8" x14ac:dyDescent="0.25">
      <c r="B31" s="17" t="str">
        <f>'LIVRO CAIXA'!A22</f>
        <v>DESPESA COM LAZER</v>
      </c>
      <c r="C31" s="137">
        <f>'LIVRO CAIXA'!B22</f>
        <v>230</v>
      </c>
      <c r="G31" s="47" t="s">
        <v>185</v>
      </c>
      <c r="H31" s="17">
        <f>'LIVRO CAIXA'!L15</f>
        <v>83</v>
      </c>
    </row>
    <row r="32" spans="2:8" x14ac:dyDescent="0.25">
      <c r="B32" s="17" t="str">
        <f>'LIVRO CAIXA'!A23</f>
        <v>IMPOSTO</v>
      </c>
      <c r="C32" s="137">
        <f>'LIVRO CAIXA'!B23</f>
        <v>0</v>
      </c>
      <c r="G32" s="47" t="s">
        <v>183</v>
      </c>
      <c r="H32" s="17">
        <f>'LIVRO CAIXA'!L16</f>
        <v>0</v>
      </c>
    </row>
    <row r="33" spans="2:8" x14ac:dyDescent="0.25">
      <c r="B33" s="17" t="str">
        <f>'LIVRO CAIXA'!A24</f>
        <v>CONTADOR</v>
      </c>
      <c r="C33" s="137">
        <f>'LIVRO CAIXA'!B24</f>
        <v>0</v>
      </c>
      <c r="G33" s="47" t="s">
        <v>188</v>
      </c>
      <c r="H33" s="17">
        <f>'LIVRO CAIXA'!L17</f>
        <v>0</v>
      </c>
    </row>
    <row r="34" spans="2:8" x14ac:dyDescent="0.25">
      <c r="B34" s="17" t="str">
        <f>'LIVRO CAIXA'!A25</f>
        <v>INVESTIMENTO</v>
      </c>
      <c r="C34" s="137">
        <f>'LIVRO CAIXA'!B25</f>
        <v>0</v>
      </c>
      <c r="G34" s="47" t="s">
        <v>32</v>
      </c>
      <c r="H34" s="17">
        <f>'LIVRO CAIXA'!L18</f>
        <v>0</v>
      </c>
    </row>
    <row r="35" spans="2:8" x14ac:dyDescent="0.25">
      <c r="C35" s="137"/>
      <c r="G35" s="47" t="s">
        <v>33</v>
      </c>
      <c r="H35" s="17">
        <f>'LIVRO CAIXA'!L19</f>
        <v>0</v>
      </c>
    </row>
    <row r="36" spans="2:8" x14ac:dyDescent="0.25">
      <c r="C36" s="137"/>
      <c r="G36" s="47" t="s">
        <v>181</v>
      </c>
      <c r="H36" s="17">
        <f>'LIVRO CAIXA'!L20</f>
        <v>0</v>
      </c>
    </row>
    <row r="37" spans="2:8" x14ac:dyDescent="0.25">
      <c r="G37" s="47" t="s">
        <v>182</v>
      </c>
      <c r="H37" s="17">
        <f>'LIVRO CAIXA'!L21</f>
        <v>0</v>
      </c>
    </row>
    <row r="38" spans="2:8" x14ac:dyDescent="0.25">
      <c r="B38" s="17" t="s">
        <v>151</v>
      </c>
      <c r="G38" s="47" t="s">
        <v>34</v>
      </c>
      <c r="H38" s="17">
        <f>'LIVRO CAIXA'!L22</f>
        <v>0</v>
      </c>
    </row>
    <row r="39" spans="2:8" x14ac:dyDescent="0.25">
      <c r="G39" s="47" t="s">
        <v>35</v>
      </c>
      <c r="H39" s="17">
        <f>'LIVRO CAIXA'!L23</f>
        <v>0</v>
      </c>
    </row>
    <row r="40" spans="2:8" x14ac:dyDescent="0.25">
      <c r="C40" s="17" t="s">
        <v>167</v>
      </c>
      <c r="D40" s="17" t="s">
        <v>168</v>
      </c>
      <c r="G40" s="47" t="s">
        <v>37</v>
      </c>
      <c r="H40" s="17">
        <f>'LIVRO CAIXA'!L24</f>
        <v>0</v>
      </c>
    </row>
    <row r="41" spans="2:8" x14ac:dyDescent="0.25">
      <c r="B41" s="17" t="s">
        <v>155</v>
      </c>
      <c r="C41" s="137">
        <f>'LIVRO CAIXA'!B6</f>
        <v>16324</v>
      </c>
      <c r="D41" s="137">
        <v>0</v>
      </c>
      <c r="G41" s="47" t="s">
        <v>36</v>
      </c>
      <c r="H41" s="17">
        <f>'LIVRO CAIXA'!L25</f>
        <v>0</v>
      </c>
    </row>
    <row r="42" spans="2:8" x14ac:dyDescent="0.25">
      <c r="B42" s="17" t="s">
        <v>156</v>
      </c>
      <c r="C42" s="137">
        <f>'LIVRO CAIXA'!C6</f>
        <v>15457.76</v>
      </c>
      <c r="D42" s="137">
        <f>C41</f>
        <v>16324</v>
      </c>
    </row>
    <row r="43" spans="2:8" x14ac:dyDescent="0.25">
      <c r="B43" s="17" t="s">
        <v>157</v>
      </c>
      <c r="C43" s="137">
        <f>'LIVRO CAIXA'!D6</f>
        <v>21557.9</v>
      </c>
      <c r="D43" s="137">
        <f t="shared" ref="D43:D52" si="1">C42</f>
        <v>15457.76</v>
      </c>
    </row>
    <row r="44" spans="2:8" x14ac:dyDescent="0.25">
      <c r="B44" s="17" t="s">
        <v>158</v>
      </c>
      <c r="C44" s="137">
        <f>'LIVRO CAIXA'!E6</f>
        <v>16793.43</v>
      </c>
      <c r="D44" s="137">
        <f t="shared" si="1"/>
        <v>21557.9</v>
      </c>
    </row>
    <row r="45" spans="2:8" x14ac:dyDescent="0.25">
      <c r="B45" s="17" t="s">
        <v>159</v>
      </c>
      <c r="C45" s="137">
        <f>'LIVRO CAIXA'!F6</f>
        <v>20768.93</v>
      </c>
      <c r="D45" s="137">
        <f t="shared" si="1"/>
        <v>16793.43</v>
      </c>
    </row>
    <row r="46" spans="2:8" x14ac:dyDescent="0.25">
      <c r="B46" s="17" t="s">
        <v>160</v>
      </c>
      <c r="C46" s="137">
        <f>'LIVRO CAIXA'!G6</f>
        <v>17544.82</v>
      </c>
      <c r="D46" s="137">
        <f t="shared" si="1"/>
        <v>20768.93</v>
      </c>
    </row>
    <row r="47" spans="2:8" x14ac:dyDescent="0.25">
      <c r="B47" s="17" t="s">
        <v>161</v>
      </c>
      <c r="C47" s="137">
        <f>'LIVRO CAIXA'!H6</f>
        <v>21738.79</v>
      </c>
      <c r="D47" s="137">
        <f t="shared" si="1"/>
        <v>17544.82</v>
      </c>
    </row>
    <row r="48" spans="2:8" x14ac:dyDescent="0.25">
      <c r="B48" s="17" t="s">
        <v>162</v>
      </c>
      <c r="C48" s="137">
        <f>'LIVRO CAIXA'!I6</f>
        <v>22901.43</v>
      </c>
      <c r="D48" s="137">
        <f t="shared" si="1"/>
        <v>21738.79</v>
      </c>
    </row>
    <row r="49" spans="2:4" x14ac:dyDescent="0.25">
      <c r="B49" s="17" t="s">
        <v>163</v>
      </c>
      <c r="C49" s="137">
        <f>'LIVRO CAIXA'!J6</f>
        <v>19910.21</v>
      </c>
      <c r="D49" s="137">
        <f t="shared" si="1"/>
        <v>22901.43</v>
      </c>
    </row>
    <row r="50" spans="2:4" x14ac:dyDescent="0.25">
      <c r="B50" s="17" t="s">
        <v>164</v>
      </c>
      <c r="C50" s="137">
        <f>'LIVRO CAIXA'!K6</f>
        <v>19349.740000000002</v>
      </c>
      <c r="D50" s="137">
        <f t="shared" si="1"/>
        <v>19910.21</v>
      </c>
    </row>
    <row r="51" spans="2:4" x14ac:dyDescent="0.25">
      <c r="B51" s="17" t="s">
        <v>165</v>
      </c>
      <c r="C51" s="137">
        <f>'LIVRO CAIXA'!L6</f>
        <v>17074.849999999999</v>
      </c>
      <c r="D51" s="137">
        <f t="shared" si="1"/>
        <v>19349.740000000002</v>
      </c>
    </row>
    <row r="52" spans="2:4" x14ac:dyDescent="0.25">
      <c r="B52" s="17" t="s">
        <v>166</v>
      </c>
      <c r="C52" s="137">
        <f>'LIVRO CAIXA'!M6</f>
        <v>0</v>
      </c>
      <c r="D52" s="137">
        <f t="shared" si="1"/>
        <v>17074.849999999999</v>
      </c>
    </row>
    <row r="53" spans="2:4" x14ac:dyDescent="0.25">
      <c r="C53" s="140"/>
      <c r="D53" s="140">
        <f>'FLUXO DE CAIXA'!C7</f>
        <v>16324</v>
      </c>
    </row>
    <row r="55" spans="2:4" x14ac:dyDescent="0.25">
      <c r="B55" s="17" t="s">
        <v>152</v>
      </c>
    </row>
  </sheetData>
  <conditionalFormatting sqref="E2:E3 E5:E6">
    <cfRule type="expression" dxfId="3" priority="3">
      <formula>D2&lt;0</formula>
    </cfRule>
    <cfRule type="expression" dxfId="2" priority="4">
      <formula>D2&gt;=0</formula>
    </cfRule>
  </conditionalFormatting>
  <conditionalFormatting sqref="E4">
    <cfRule type="expression" dxfId="1" priority="1">
      <formula>D4&lt;0</formula>
    </cfRule>
    <cfRule type="expression" dxfId="0" priority="2">
      <formula>D4&gt;=0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5 E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21"/>
  <sheetViews>
    <sheetView workbookViewId="0">
      <selection activeCell="F6" sqref="F6"/>
    </sheetView>
  </sheetViews>
  <sheetFormatPr defaultColWidth="14.42578125" defaultRowHeight="15.75" customHeight="1" x14ac:dyDescent="0.25"/>
  <cols>
    <col min="1" max="1" width="3.7109375" style="102" customWidth="1"/>
    <col min="2" max="2" width="20.5703125" style="102" customWidth="1"/>
    <col min="3" max="4" width="14.42578125" style="102"/>
    <col min="5" max="5" width="4.85546875" style="102" customWidth="1"/>
    <col min="6" max="6" width="22.7109375" style="102" customWidth="1"/>
    <col min="7" max="8" width="14.42578125" style="102"/>
    <col min="9" max="9" width="5.7109375" style="102" customWidth="1"/>
    <col min="10" max="10" width="23.140625" style="102" customWidth="1"/>
    <col min="11" max="14" width="14.42578125" style="102"/>
    <col min="15" max="15" width="14.42578125" style="179"/>
    <col min="16" max="16384" width="14.42578125" style="102"/>
  </cols>
  <sheetData>
    <row r="2" spans="2:16" ht="15" x14ac:dyDescent="0.25">
      <c r="B2" s="233" t="s">
        <v>127</v>
      </c>
      <c r="C2" s="234"/>
      <c r="D2" s="235"/>
      <c r="F2" s="233" t="s">
        <v>106</v>
      </c>
      <c r="G2" s="234"/>
      <c r="H2" s="235"/>
      <c r="J2" s="233" t="s">
        <v>105</v>
      </c>
      <c r="K2" s="234"/>
      <c r="L2" s="235"/>
    </row>
    <row r="3" spans="2:16" ht="15" x14ac:dyDescent="0.25">
      <c r="B3" s="112" t="s">
        <v>126</v>
      </c>
      <c r="C3" s="111"/>
      <c r="D3" s="118">
        <v>270000</v>
      </c>
      <c r="F3" s="112" t="s">
        <v>126</v>
      </c>
      <c r="G3" s="111"/>
      <c r="H3" s="110">
        <v>270000</v>
      </c>
      <c r="J3" s="112" t="s">
        <v>126</v>
      </c>
      <c r="K3" s="111"/>
      <c r="L3" s="110">
        <v>270000</v>
      </c>
    </row>
    <row r="4" spans="2:16" ht="15" x14ac:dyDescent="0.25">
      <c r="B4" s="109" t="s">
        <v>115</v>
      </c>
      <c r="C4" s="113"/>
      <c r="D4" s="109"/>
      <c r="F4" s="109" t="s">
        <v>69</v>
      </c>
      <c r="G4" s="108">
        <v>0.05</v>
      </c>
      <c r="H4" s="117">
        <f>G4*H3</f>
        <v>13500</v>
      </c>
      <c r="J4" s="109" t="s">
        <v>125</v>
      </c>
      <c r="K4" s="108">
        <v>0.05</v>
      </c>
      <c r="L4" s="114">
        <f>K4*L3</f>
        <v>13500</v>
      </c>
    </row>
    <row r="5" spans="2:16" ht="15" x14ac:dyDescent="0.25">
      <c r="B5" s="112" t="s">
        <v>114</v>
      </c>
      <c r="C5" s="111"/>
      <c r="D5" s="110">
        <f>D3-D4</f>
        <v>270000</v>
      </c>
      <c r="F5" s="109" t="s">
        <v>124</v>
      </c>
      <c r="G5" s="108">
        <v>6.4999999999999997E-3</v>
      </c>
      <c r="H5" s="107">
        <f>G5*H3</f>
        <v>1755</v>
      </c>
      <c r="J5" s="109" t="s">
        <v>124</v>
      </c>
      <c r="K5" s="108">
        <v>0.06</v>
      </c>
      <c r="L5" s="107">
        <f>L3*K5</f>
        <v>16200</v>
      </c>
    </row>
    <row r="6" spans="2:16" ht="15" x14ac:dyDescent="0.25">
      <c r="B6" s="109" t="s">
        <v>113</v>
      </c>
      <c r="C6" s="113"/>
      <c r="D6" s="114">
        <v>0</v>
      </c>
      <c r="F6" s="109" t="s">
        <v>72</v>
      </c>
      <c r="G6" s="108">
        <v>0.03</v>
      </c>
      <c r="H6" s="107">
        <f>G6*H3</f>
        <v>8100</v>
      </c>
      <c r="J6" s="109" t="s">
        <v>72</v>
      </c>
      <c r="K6" s="108">
        <v>0.02</v>
      </c>
      <c r="L6" s="107">
        <f>K6*L3</f>
        <v>5400</v>
      </c>
    </row>
    <row r="7" spans="2:16" ht="15" x14ac:dyDescent="0.25">
      <c r="B7" s="109" t="s">
        <v>111</v>
      </c>
      <c r="C7" s="113"/>
      <c r="D7" s="107">
        <v>0</v>
      </c>
      <c r="F7" s="109" t="s">
        <v>123</v>
      </c>
      <c r="G7" s="108">
        <v>0.05</v>
      </c>
      <c r="H7" s="113">
        <v>0</v>
      </c>
      <c r="J7" s="109" t="s">
        <v>122</v>
      </c>
      <c r="K7" s="108">
        <v>0.12</v>
      </c>
      <c r="L7" s="107">
        <f>L11*K7</f>
        <v>0</v>
      </c>
    </row>
    <row r="8" spans="2:16" ht="15" x14ac:dyDescent="0.25">
      <c r="B8" s="112" t="s">
        <v>110</v>
      </c>
      <c r="C8" s="111"/>
      <c r="D8" s="110">
        <f>D5-(D7+D6)</f>
        <v>270000</v>
      </c>
      <c r="F8" s="112" t="s">
        <v>121</v>
      </c>
      <c r="G8" s="111"/>
      <c r="H8" s="110">
        <f>(H3-(H4+H5+H6))+H7</f>
        <v>246645</v>
      </c>
      <c r="J8" s="109" t="s">
        <v>120</v>
      </c>
      <c r="K8" s="108">
        <v>1.7000000000000001E-2</v>
      </c>
      <c r="L8" s="107">
        <f>L11*K8</f>
        <v>0</v>
      </c>
    </row>
    <row r="9" spans="2:16" ht="15" x14ac:dyDescent="0.25">
      <c r="B9" s="109" t="s">
        <v>119</v>
      </c>
      <c r="C9" s="108">
        <v>7.6499999999999999E-2</v>
      </c>
      <c r="D9" s="116">
        <f>C9*D3</f>
        <v>20655</v>
      </c>
      <c r="F9" s="109" t="s">
        <v>115</v>
      </c>
      <c r="G9" s="113"/>
      <c r="H9" s="107">
        <v>0</v>
      </c>
      <c r="J9" s="109" t="s">
        <v>118</v>
      </c>
      <c r="K9" s="108">
        <v>7.0000000000000007E-2</v>
      </c>
      <c r="L9" s="107">
        <f>K9*L11</f>
        <v>0</v>
      </c>
    </row>
    <row r="10" spans="2:16" ht="15" x14ac:dyDescent="0.25">
      <c r="F10" s="112" t="s">
        <v>117</v>
      </c>
      <c r="G10" s="111"/>
      <c r="H10" s="110">
        <f>H8-H9</f>
        <v>246645</v>
      </c>
      <c r="J10" s="112" t="s">
        <v>116</v>
      </c>
      <c r="K10" s="111"/>
      <c r="L10" s="110">
        <f>(L3-(L4+L5+L6))+L7+L8+L9</f>
        <v>234900</v>
      </c>
      <c r="P10" s="178"/>
    </row>
    <row r="11" spans="2:16" ht="15" x14ac:dyDescent="0.25">
      <c r="D11" s="115">
        <f>D9/12</f>
        <v>1721.25</v>
      </c>
      <c r="F11" s="109" t="s">
        <v>113</v>
      </c>
      <c r="G11" s="113"/>
      <c r="H11" s="107">
        <v>0</v>
      </c>
      <c r="J11" s="109" t="s">
        <v>115</v>
      </c>
      <c r="K11" s="113"/>
      <c r="L11" s="107">
        <v>0</v>
      </c>
      <c r="P11" s="179"/>
    </row>
    <row r="12" spans="2:16" ht="15" x14ac:dyDescent="0.25">
      <c r="F12" s="109" t="s">
        <v>112</v>
      </c>
      <c r="G12" s="113"/>
      <c r="H12" s="107">
        <v>0</v>
      </c>
      <c r="J12" s="112" t="s">
        <v>114</v>
      </c>
      <c r="K12" s="111"/>
      <c r="L12" s="110">
        <f>L10-L11</f>
        <v>234900</v>
      </c>
      <c r="P12" s="179"/>
    </row>
    <row r="13" spans="2:16" ht="15" x14ac:dyDescent="0.25">
      <c r="F13" s="109" t="s">
        <v>111</v>
      </c>
      <c r="G13" s="113"/>
      <c r="H13" s="107">
        <v>0</v>
      </c>
      <c r="J13" s="109" t="s">
        <v>113</v>
      </c>
      <c r="K13" s="113"/>
      <c r="L13" s="107">
        <v>0</v>
      </c>
      <c r="O13" s="180"/>
    </row>
    <row r="14" spans="2:16" ht="15" x14ac:dyDescent="0.25">
      <c r="F14" s="112" t="s">
        <v>110</v>
      </c>
      <c r="G14" s="111"/>
      <c r="H14" s="110">
        <f>H10-(H11+H12+H13)</f>
        <v>246645</v>
      </c>
      <c r="J14" s="109" t="s">
        <v>112</v>
      </c>
      <c r="K14" s="113"/>
      <c r="L14" s="114">
        <v>4092</v>
      </c>
      <c r="O14" s="180"/>
      <c r="P14" s="179"/>
    </row>
    <row r="15" spans="2:16" ht="15" x14ac:dyDescent="0.25">
      <c r="F15" s="109" t="s">
        <v>109</v>
      </c>
      <c r="G15" s="108">
        <v>0.09</v>
      </c>
      <c r="H15" s="107">
        <f>H3*G15*12%</f>
        <v>2916</v>
      </c>
      <c r="J15" s="109" t="s">
        <v>111</v>
      </c>
      <c r="K15" s="113"/>
      <c r="L15" s="107">
        <v>0</v>
      </c>
      <c r="P15" s="179"/>
    </row>
    <row r="16" spans="2:16" ht="15" x14ac:dyDescent="0.25">
      <c r="F16" s="109" t="s">
        <v>108</v>
      </c>
      <c r="G16" s="108">
        <v>0.15</v>
      </c>
      <c r="H16" s="107">
        <f>H3*G16*8%</f>
        <v>3240</v>
      </c>
      <c r="J16" s="112" t="s">
        <v>110</v>
      </c>
      <c r="K16" s="111"/>
      <c r="L16" s="110">
        <f>L12-L13-L14-L15</f>
        <v>230808</v>
      </c>
    </row>
    <row r="17" spans="2:12" ht="15" x14ac:dyDescent="0.25">
      <c r="F17" s="177" t="s">
        <v>175</v>
      </c>
      <c r="G17" s="108">
        <v>0.1</v>
      </c>
      <c r="H17" s="181">
        <f>((H3*32%)-60000)*G17</f>
        <v>2640</v>
      </c>
      <c r="J17" s="109" t="s">
        <v>109</v>
      </c>
      <c r="K17" s="108">
        <v>7.0000000000000007E-2</v>
      </c>
      <c r="L17" s="107">
        <f>L16*K17</f>
        <v>16156.560000000001</v>
      </c>
    </row>
    <row r="18" spans="2:12" ht="15" x14ac:dyDescent="0.25">
      <c r="J18" s="109" t="s">
        <v>108</v>
      </c>
      <c r="K18" s="108">
        <v>7.0000000000000007E-2</v>
      </c>
      <c r="L18" s="107">
        <f>L16*K18</f>
        <v>16156.560000000001</v>
      </c>
    </row>
    <row r="19" spans="2:12" ht="15" x14ac:dyDescent="0.25">
      <c r="G19" s="103"/>
    </row>
    <row r="20" spans="2:12" ht="15" x14ac:dyDescent="0.25">
      <c r="B20" s="106" t="s">
        <v>107</v>
      </c>
      <c r="C20" s="105"/>
      <c r="D20" s="104">
        <f>D8-D9</f>
        <v>249345</v>
      </c>
      <c r="F20" s="106" t="s">
        <v>106</v>
      </c>
      <c r="G20" s="105"/>
      <c r="H20" s="104">
        <f>H14-(H15+H16+H17)</f>
        <v>237849</v>
      </c>
      <c r="J20" s="106" t="s">
        <v>105</v>
      </c>
      <c r="K20" s="105"/>
      <c r="L20" s="104">
        <f>L16-L17-L18</f>
        <v>198494.88</v>
      </c>
    </row>
    <row r="21" spans="2:12" ht="15" x14ac:dyDescent="0.25">
      <c r="F21" s="102" t="s">
        <v>178</v>
      </c>
      <c r="G21" s="103"/>
      <c r="H21" s="181">
        <f>D20-H20</f>
        <v>11496</v>
      </c>
    </row>
  </sheetData>
  <mergeCells count="3">
    <mergeCell ref="B2:D2"/>
    <mergeCell ref="F2:H2"/>
    <mergeCell ref="J2:L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FLUXO DE CAIXA</vt:lpstr>
      <vt:lpstr>LIVRO CAIXA</vt:lpstr>
      <vt:lpstr>META</vt:lpstr>
      <vt:lpstr>Dash01</vt:lpstr>
      <vt:lpstr>Dash02</vt:lpstr>
      <vt:lpstr>Planejamento tributário</vt:lpstr>
      <vt:lpstr>Planejamento Trib 2</vt:lpstr>
      <vt:lpstr>Planilha2</vt:lpstr>
      <vt:lpstr>Comparação Regime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Vieira Fernandes Pinheiro Vieira</cp:lastModifiedBy>
  <cp:lastPrinted>2021-12-07T15:55:44Z</cp:lastPrinted>
  <dcterms:created xsi:type="dcterms:W3CDTF">2021-09-08T18:03:37Z</dcterms:created>
  <dcterms:modified xsi:type="dcterms:W3CDTF">2022-11-01T20:40:16Z</dcterms:modified>
</cp:coreProperties>
</file>