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svg" ContentType="image/svg"/>
  <Override PartName="/xl/media/image7.png" ContentType="image/png"/>
  <Override PartName="/xl/media/image10.wmf" ContentType="image/x-wmf"/>
  <Override PartName="/xl/media/image5.png" ContentType="image/png"/>
  <Override PartName="/xl/media/image6.svg" ContentType="image/svg"/>
  <Override PartName="/xl/media/image12.wmf" ContentType="image/x-wmf"/>
  <Override PartName="/xl/media/image8.png" ContentType="image/png"/>
  <Override PartName="/xl/media/image11.wmf" ContentType="image/x-wmf"/>
  <Override PartName="/xl/media/image9.wmf" ContentType="image/x-wmf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LUXO DE CAIXA" sheetId="1" state="visible" r:id="rId3"/>
    <sheet name="LIVRO CAIXA" sheetId="2" state="visible" r:id="rId4"/>
    <sheet name="META" sheetId="3" state="visible" r:id="rId5"/>
    <sheet name="Dash01" sheetId="4" state="visible" r:id="rId6"/>
    <sheet name="Dash02" sheetId="5" state="visible" r:id="rId7"/>
    <sheet name="Planejamento tributário" sheetId="6" state="visible" r:id="rId8"/>
    <sheet name="Planejamento Trib 2" sheetId="7" state="visible" r:id="rId9"/>
    <sheet name="Planilha2" sheetId="8" state="visible" r:id="rId10"/>
    <sheet name="Comparação Regime" sheetId="9" state="visible" r:id="rId11"/>
    <sheet name="Planilha1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<sst xmlns="http://schemas.openxmlformats.org/spreadsheetml/2006/main" count="354" uniqueCount="207">
  <si>
    <t xml:space="preserve">FLUXO DE CAIXA</t>
  </si>
  <si>
    <t xml:space="preserve">Janeiro</t>
  </si>
  <si>
    <t xml:space="preserve">Feveiro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</si>
  <si>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</si>
  <si>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</si>
  <si>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</si>
  <si>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</si>
  <si>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</si>
  <si>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</si>
  <si>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</si>
  <si>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</si>
  <si>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</si>
  <si>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</si>
  <si>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Total/ANO</t>
  </si>
  <si>
    <t xml:space="preserve">SALDO INICIAL</t>
  </si>
  <si>
    <t xml:space="preserve">RECEITAS</t>
  </si>
  <si>
    <t xml:space="preserve">DESPESAS</t>
  </si>
  <si>
    <t xml:space="preserve">LUCRO/PREJUÍZO</t>
  </si>
  <si>
    <t xml:space="preserve">ACUMULADO</t>
  </si>
  <si>
    <t xml:space="preserve">LUCRATIVIDADE</t>
  </si>
  <si>
    <t xml:space="preserve">CONTAS A PAGAR  / RECEBER</t>
  </si>
  <si>
    <t xml:space="preserve">Contas a Receber</t>
  </si>
  <si>
    <t xml:space="preserve">Contas a Pagar</t>
  </si>
  <si>
    <t xml:space="preserve">CAIXA</t>
  </si>
  <si>
    <t xml:space="preserve">LIVRO CAIXA</t>
  </si>
  <si>
    <t xml:space="preserve">RESULTADO</t>
  </si>
  <si>
    <t xml:space="preserve">ReceitaExames</t>
  </si>
  <si>
    <t xml:space="preserve">ReceitaAnestesia</t>
  </si>
  <si>
    <t xml:space="preserve">ReceitasConsulta</t>
  </si>
  <si>
    <t xml:space="preserve">DESPESASTOTAIS</t>
  </si>
  <si>
    <t xml:space="preserve">DESPESACOMANESTESIA</t>
  </si>
  <si>
    <t xml:space="preserve">DESPESATIM</t>
  </si>
  <si>
    <t xml:space="preserve">DESPESAALUGUEL</t>
  </si>
  <si>
    <t xml:space="preserve">DESPESAENERGIA</t>
  </si>
  <si>
    <t xml:space="preserve">DESPESAINTERNET</t>
  </si>
  <si>
    <t xml:space="preserve">DESPESACOMCRMV</t>
  </si>
  <si>
    <t xml:space="preserve">DESPESAREMEDIOS</t>
  </si>
  <si>
    <t xml:space="preserve">DESPESACOMALIMENTACAO</t>
  </si>
  <si>
    <t xml:space="preserve">DESPESACOMCOMBUSTIVEL</t>
  </si>
  <si>
    <t xml:space="preserve">DESPESACOMPOS</t>
  </si>
  <si>
    <t xml:space="preserve">DESPESACOMPLANODESAUDE</t>
  </si>
  <si>
    <t xml:space="preserve">DESPESACOMLAZER</t>
  </si>
  <si>
    <t xml:space="preserve">IMPOSTO</t>
  </si>
  <si>
    <t xml:space="preserve">CONTADOR</t>
  </si>
  <si>
    <t xml:space="preserve">INVESTIMENTO</t>
  </si>
  <si>
    <t xml:space="preserve">LUCRO/PREJUIZO</t>
  </si>
  <si>
    <t xml:space="preserve">METAS</t>
  </si>
  <si>
    <t xml:space="preserve">METAS RECEITAS </t>
  </si>
  <si>
    <t xml:space="preserve">RECEITAS REALIZADAS</t>
  </si>
  <si>
    <t xml:space="preserve">DIF %</t>
  </si>
  <si>
    <t xml:space="preserve">METAS DESPESAS</t>
  </si>
  <si>
    <t xml:space="preserve">DESPESAS REALIZADAS</t>
  </si>
  <si>
    <t xml:space="preserve">METAS DE RESULTADO</t>
  </si>
  <si>
    <t xml:space="preserve">METAS RESULTADO</t>
  </si>
  <si>
    <t xml:space="preserve">RESULTADO REALIZADO</t>
  </si>
  <si>
    <t xml:space="preserve">Receita</t>
  </si>
  <si>
    <t xml:space="preserve">Despesas</t>
  </si>
  <si>
    <t xml:space="preserve">LUCRO / PREJUÍZO</t>
  </si>
  <si>
    <t xml:space="preserve">No mês de Novembro você Obteve um lucro de R$ 15.219,85</t>
  </si>
  <si>
    <t xml:space="preserve">REALIZADO X META</t>
  </si>
  <si>
    <t xml:space="preserve">REZALIZADO x META</t>
  </si>
  <si>
    <t xml:space="preserve">COMPARAÇÃO FLUXO DE CAIXA</t>
  </si>
  <si>
    <t xml:space="preserve">DIVISÃO DAS RECEITAS</t>
  </si>
  <si>
    <t xml:space="preserve">DIVISÃO DAS DESPESAS</t>
  </si>
  <si>
    <t xml:space="preserve">Você faturou mais no mês passado do que para esse mês, mas por outro lado, gastou menos do que mês passado.</t>
  </si>
  <si>
    <t xml:space="preserve">PLANEJAMENTO TRIBUTÁRIO</t>
  </si>
  <si>
    <t xml:space="preserve">Empresa: DRA. MARIANA PONTES ANESTESIOLOGIA LTDA</t>
  </si>
  <si>
    <t xml:space="preserve">Atuação: Médica Anestesista </t>
  </si>
  <si>
    <t xml:space="preserve">Enquadramento: Simples Nacional</t>
  </si>
  <si>
    <t xml:space="preserve">Simples Nacional a Pagar</t>
  </si>
  <si>
    <t xml:space="preserve">Receita Bruta em 12 Meses (em R$)</t>
  </si>
  <si>
    <t xml:space="preserve">Alíquota</t>
  </si>
  <si>
    <t xml:space="preserve">Valor a Deduzir (em R$)</t>
  </si>
  <si>
    <t xml:space="preserve"> Resumo de Carga Tributária</t>
  </si>
  <si>
    <t xml:space="preserve">Receita no Mês</t>
  </si>
  <si>
    <t xml:space="preserve">1ª Faixa</t>
  </si>
  <si>
    <t xml:space="preserve">Até 180.000,00</t>
  </si>
  <si>
    <t xml:space="preserve">-</t>
  </si>
  <si>
    <t xml:space="preserve">Enquadramento</t>
  </si>
  <si>
    <t xml:space="preserve">Valor do IMPOSTO</t>
  </si>
  <si>
    <t xml:space="preserve">%FAT MÊS</t>
  </si>
  <si>
    <t xml:space="preserve">%FAT</t>
  </si>
  <si>
    <t xml:space="preserve">RBT 12M</t>
  </si>
  <si>
    <t xml:space="preserve">2ª Faixa</t>
  </si>
  <si>
    <t xml:space="preserve">De 180.000,01 a 360.000,00</t>
  </si>
  <si>
    <t xml:space="preserve">SIMPLES NACIONAL</t>
  </si>
  <si>
    <t xml:space="preserve">Parcela a Deduzir</t>
  </si>
  <si>
    <t xml:space="preserve">3ª Faixa</t>
  </si>
  <si>
    <t xml:space="preserve">De 360.000,01 a 720.000,00</t>
  </si>
  <si>
    <t xml:space="preserve">LUCRO PRESUMIDO</t>
  </si>
  <si>
    <t xml:space="preserve">Alíquota Nominal</t>
  </si>
  <si>
    <t xml:space="preserve">4ª Faixa</t>
  </si>
  <si>
    <t xml:space="preserve">De 720.000,01 a 1.800.000,00</t>
  </si>
  <si>
    <t xml:space="preserve">LUCRO REAL</t>
  </si>
  <si>
    <t xml:space="preserve">Alíquota Efetiva</t>
  </si>
  <si>
    <t xml:space="preserve">5ª Faixa</t>
  </si>
  <si>
    <t xml:space="preserve">De 1.800.000,01 a 3.600.000,00</t>
  </si>
  <si>
    <t xml:space="preserve">6ª Faixa</t>
  </si>
  <si>
    <t xml:space="preserve">De 3.600.000,01 a 4.800.000,00</t>
  </si>
  <si>
    <r>
      <rPr>
        <b val="true"/>
        <sz val="13.5"/>
        <color theme="1"/>
        <rFont val="Arial"/>
        <family val="2"/>
        <charset val="1"/>
      </rPr>
      <t xml:space="preserve">Alíquota Efetiva</t>
    </r>
    <r>
      <rPr>
        <sz val="13.5"/>
        <color theme="1"/>
        <rFont val="Arial"/>
        <family val="2"/>
        <charset val="1"/>
      </rPr>
      <t xml:space="preserve"> = </t>
    </r>
    <r>
      <rPr>
        <u val="single"/>
        <sz val="13.5"/>
        <color theme="1"/>
        <rFont val="Arial"/>
        <family val="2"/>
        <charset val="1"/>
      </rPr>
      <t xml:space="preserve">(RBT12 x Alíquota Nominal) - Parcela a Deduzir</t>
    </r>
  </si>
  <si>
    <t xml:space="preserve">Faixas</t>
  </si>
  <si>
    <t xml:space="preserve">Percentual de Repartição dos Tributos</t>
  </si>
  <si>
    <t xml:space="preserve">                              RBT12</t>
  </si>
  <si>
    <t xml:space="preserve">IRPJ</t>
  </si>
  <si>
    <t xml:space="preserve">CSLL</t>
  </si>
  <si>
    <t xml:space="preserve">Cofins</t>
  </si>
  <si>
    <t xml:space="preserve">PIS/Pasep</t>
  </si>
  <si>
    <t xml:space="preserve">CPP</t>
  </si>
  <si>
    <t xml:space="preserve">ISS (*)</t>
  </si>
  <si>
    <t xml:space="preserve">33,50% (*)</t>
  </si>
  <si>
    <t xml:space="preserve">(*) O percentual efetivo máximo devido ao ISS será de 5%, transferindo-se a diferença, de forma proporcional, aos tributos federais da mesma faixa de receita bruta anual. Sendo assim, na 5ª faixa, quando a alíquota efetiva for superior a 14,92537%, a repartição será:</t>
  </si>
  <si>
    <t xml:space="preserve">Faixa</t>
  </si>
  <si>
    <t xml:space="preserve">ISS</t>
  </si>
  <si>
    <t xml:space="preserve">5ª Faixa, com alíquota efetiva superior a 14,92537%</t>
  </si>
  <si>
    <t xml:space="preserve">(Alíquota efetiva - 5%) x6,02%</t>
  </si>
  <si>
    <t xml:space="preserve">(Alíquota efetiva - 5%) x5,26%</t>
  </si>
  <si>
    <t xml:space="preserve">(Alíquota efetiva - 5%) x19,28%</t>
  </si>
  <si>
    <t xml:space="preserve">(Alíquota efetiva - 5%) x4,18%</t>
  </si>
  <si>
    <t xml:space="preserve">(Alíquota efetiva - 5%) x 65,26%</t>
  </si>
  <si>
    <t xml:space="preserve">Percentual de ISS fixo em 5 %</t>
  </si>
  <si>
    <t xml:space="preserve">ANEXO III - PLANILHA DE ALÍQUOTA DO SIMPLES NACIONAL</t>
  </si>
  <si>
    <t xml:space="preserve">RECEITA BRUTA ACUMULADA</t>
  </si>
  <si>
    <t xml:space="preserve">ALÍQUOTA EFETIVA</t>
  </si>
  <si>
    <t xml:space="preserve">DIGITE O RBT12</t>
  </si>
  <si>
    <t xml:space="preserve">FAT</t>
  </si>
  <si>
    <t xml:space="preserve">DAS</t>
  </si>
  <si>
    <t xml:space="preserve"> </t>
  </si>
  <si>
    <t xml:space="preserve">Valor 1</t>
  </si>
  <si>
    <t xml:space="preserve">Valor 2</t>
  </si>
  <si>
    <t xml:space="preserve">Clientes</t>
  </si>
  <si>
    <t xml:space="preserve">Qtd Exames</t>
  </si>
  <si>
    <t xml:space="preserve">Lucro</t>
  </si>
  <si>
    <t xml:space="preserve">Jan</t>
  </si>
  <si>
    <t xml:space="preserve">Fev</t>
  </si>
  <si>
    <t xml:space="preserve">Crescimento</t>
  </si>
  <si>
    <t xml:space="preserve">Realizado x Meta</t>
  </si>
  <si>
    <t xml:space="preserve">PROJEÇÕES X ATUAIS</t>
  </si>
  <si>
    <t xml:space="preserve">Projeção</t>
  </si>
  <si>
    <t xml:space="preserve">Atual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</si>
  <si>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</si>
  <si>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</si>
  <si>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</si>
  <si>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</si>
  <si>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</si>
  <si>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</si>
  <si>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</si>
  <si>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</si>
  <si>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</si>
  <si>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</si>
  <si>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CATEGORIAS</t>
  </si>
  <si>
    <t xml:space="preserve">Vendas</t>
  </si>
  <si>
    <t xml:space="preserve">DESPESA COM ANESTESIA</t>
  </si>
  <si>
    <t xml:space="preserve">DESPESA TIM</t>
  </si>
  <si>
    <t xml:space="preserve">DESPESA ALUGUEL</t>
  </si>
  <si>
    <t xml:space="preserve">DESPESA ENERGIA</t>
  </si>
  <si>
    <t xml:space="preserve">DESPESA INTERNET</t>
  </si>
  <si>
    <t xml:space="preserve">DESPESA COM CRMV</t>
  </si>
  <si>
    <t xml:space="preserve">DESPESA REMÉDIOS</t>
  </si>
  <si>
    <t xml:space="preserve">DESPESA COM ALIMENTAÇÃO</t>
  </si>
  <si>
    <t xml:space="preserve">DESPESA COM COMBUSTÍVEL</t>
  </si>
  <si>
    <t xml:space="preserve">DESPESA COM PÓS</t>
  </si>
  <si>
    <t xml:space="preserve">DESPESA COM PLANO DE SAÚDE</t>
  </si>
  <si>
    <t xml:space="preserve">FATURAMENTO</t>
  </si>
  <si>
    <t xml:space="preserve">DESPESA COM LAZER</t>
  </si>
  <si>
    <t xml:space="preserve">Essa Mês</t>
  </si>
  <si>
    <t xml:space="preserve">Mês Anterior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</si>
  <si>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</si>
  <si>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</si>
  <si>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</si>
  <si>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</si>
  <si>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</si>
  <si>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</si>
  <si>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</si>
  <si>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</si>
  <si>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</si>
  <si>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</si>
  <si>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</si>
  <si>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</si>
  <si>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Total</t>
  </si>
  <si>
    <t xml:space="preserve">Simples Nacional</t>
  </si>
  <si>
    <t xml:space="preserve">Lucro Presumido</t>
  </si>
  <si>
    <t xml:space="preserve">Lucro Real</t>
  </si>
  <si>
    <t xml:space="preserve">Receita Bruta</t>
  </si>
  <si>
    <t xml:space="preserve">Custo de mercadorias</t>
  </si>
  <si>
    <t xml:space="preserve">ICMS</t>
  </si>
  <si>
    <t xml:space="preserve">Margem Bruta</t>
  </si>
  <si>
    <t xml:space="preserve">PIS</t>
  </si>
  <si>
    <t xml:space="preserve">Folha de pagamento</t>
  </si>
  <si>
    <t xml:space="preserve">Outras despesas</t>
  </si>
  <si>
    <t xml:space="preserve">Créditos compra - ICMS</t>
  </si>
  <si>
    <t xml:space="preserve">Créditos Compra - ICMS</t>
  </si>
  <si>
    <t xml:space="preserve">Lucro líquido</t>
  </si>
  <si>
    <t xml:space="preserve">Receita líquida</t>
  </si>
  <si>
    <t xml:space="preserve">Créditos Compra - PIS</t>
  </si>
  <si>
    <t xml:space="preserve">Alíquota para atividade</t>
  </si>
  <si>
    <t xml:space="preserve">Créditos Compra - Cofins</t>
  </si>
  <si>
    <t xml:space="preserve">Margem bruta</t>
  </si>
  <si>
    <t xml:space="preserve">Receita Líquida</t>
  </si>
  <si>
    <t xml:space="preserve">Encargos sociais</t>
  </si>
  <si>
    <t xml:space="preserve">Alíq. CSLL para atividade</t>
  </si>
  <si>
    <t xml:space="preserve">Alíq. IR para atividade</t>
  </si>
  <si>
    <t xml:space="preserve">Alíq. IR ADD</t>
  </si>
  <si>
    <t xml:space="preserve">Lucro Simples</t>
  </si>
  <si>
    <t xml:space="preserve">DIF</t>
  </si>
  <si>
    <t xml:space="preserve">casa dos criadores</t>
  </si>
  <si>
    <t xml:space="preserve">praiavet</t>
  </si>
  <si>
    <t xml:space="preserve">espaço pet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</si>
</sst>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&quot;R$ &quot;#,##0.00"/>
    <numFmt numFmtId="166" formatCode="0%"/>
    <numFmt numFmtId="167" formatCode="General"/>
    <numFmt numFmtId="168" formatCode="_-&quot;R$ &quot;* #,##0.00_-;&quot;-R$ &quot;* #,##0.00_-;_-&quot;R$ &quot;* \-??_-;_-@_-"/>
    <numFmt numFmtId="169" formatCode="[&gt;=1000]#,##0,\K;0"/>
    <numFmt numFmtId="170" formatCode="#,##0"/>
    <numFmt numFmtId="171" formatCode="_-&quot;R$&quot;* #,##0.00_-;&quot;-R$&quot;* #,##0.00_-;_-&quot;R$&quot;* \-??_-;_-@_-"/>
    <numFmt numFmtId="172" formatCode="0.00%"/>
    <numFmt numFmtId="173" formatCode="#,##0.00"/>
    <numFmt numFmtId="174" formatCode="&quot;R$&quot;#,##0.00"/>
    <numFmt numFmtId="175" formatCode="0.000000000000000%"/>
    <numFmt numFmtId="176" formatCode="0.000000%"/>
    <numFmt numFmtId="177" formatCode="&quot;R$ &quot;#,##0.000"/>
    <numFmt numFmtId="178" formatCode="_-&quot;R$ &quot;* #,##0_-;&quot;-R$ &quot;* #,##0_-;_-&quot;R$ &quot;* \-??_-;_-@_-"/>
    <numFmt numFmtId="179" formatCode="[$R$ -416]#,##0"/>
  </numFmts>
  <fonts count="4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sz val="11"/>
      <color theme="1" tint="0.15"/>
      <name val="Calibri"/>
      <family val="2"/>
      <charset val="1"/>
    </font>
    <font>
      <b val="true"/>
      <sz val="14"/>
      <color theme="0"/>
      <name val="Calibri"/>
      <family val="2"/>
      <charset val="1"/>
    </font>
    <font>
      <b val="true"/>
      <sz val="24"/>
      <color theme="1" tint="0.2499"/>
      <name val="Calibri"/>
      <family val="2"/>
      <charset val="1"/>
    </font>
    <font>
      <b val="true"/>
      <sz val="18"/>
      <color theme="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FFFFFF"/>
      <name val="Calibri"/>
      <family val="2"/>
    </font>
    <font>
      <sz val="9"/>
      <color rgb="FFFFFFFF"/>
      <name val="Calibri"/>
      <family val="2"/>
    </font>
    <font>
      <sz val="10"/>
      <color rgb="FFFFFFFF"/>
      <name val="Calibri"/>
      <family val="2"/>
    </font>
    <font>
      <b val="true"/>
      <sz val="10"/>
      <color rgb="FFFFFFFF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  <font>
      <sz val="14"/>
      <color theme="0" tint="-0.5"/>
      <name val="Calibri"/>
      <family val="0"/>
    </font>
    <font>
      <b val="true"/>
      <sz val="14"/>
      <color rgb="FF262626"/>
      <name val="Calibri"/>
      <family val="0"/>
    </font>
    <font>
      <sz val="11"/>
      <color rgb="FF000000"/>
      <name val="Calibri"/>
      <family val="0"/>
    </font>
    <font>
      <sz val="8"/>
      <color theme="0" tint="-0.5"/>
      <name val="Calibri"/>
      <family val="0"/>
    </font>
    <font>
      <b val="true"/>
      <sz val="20"/>
      <color rgb="FF000000"/>
      <name val="Calibri"/>
      <family val="0"/>
    </font>
    <font>
      <b val="true"/>
      <sz val="11"/>
      <color theme="1"/>
      <name val="Calibri"/>
      <family val="0"/>
    </font>
    <font>
      <b val="true"/>
      <sz val="16"/>
      <color rgb="FF000000"/>
      <name val="Calibri"/>
      <family val="0"/>
    </font>
    <font>
      <b val="true"/>
      <sz val="16"/>
      <color theme="0"/>
      <name val="Arial"/>
      <family val="2"/>
      <charset val="1"/>
    </font>
    <font>
      <sz val="10"/>
      <color theme="1"/>
      <name val="Arial"/>
      <family val="2"/>
      <charset val="1"/>
    </font>
    <font>
      <b val="true"/>
      <sz val="14"/>
      <color theme="0"/>
      <name val="Arial"/>
      <family val="2"/>
      <charset val="1"/>
    </font>
    <font>
      <b val="true"/>
      <sz val="18"/>
      <color theme="0"/>
      <name val="Arial"/>
      <family val="2"/>
      <charset val="1"/>
    </font>
    <font>
      <b val="true"/>
      <sz val="16"/>
      <color theme="1"/>
      <name val="Arial"/>
      <family val="2"/>
      <charset val="1"/>
    </font>
    <font>
      <b val="true"/>
      <sz val="13"/>
      <color rgb="FF00610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3.5"/>
      <color theme="0"/>
      <name val="Arial"/>
      <family val="2"/>
      <charset val="1"/>
    </font>
    <font>
      <sz val="14"/>
      <color rgb="FF006100"/>
      <name val="Arial"/>
      <family val="2"/>
      <charset val="1"/>
    </font>
    <font>
      <sz val="13.5"/>
      <color rgb="FF00610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3.5"/>
      <color rgb="FF006100"/>
      <name val="Arial"/>
      <family val="2"/>
      <charset val="1"/>
    </font>
    <font>
      <sz val="14"/>
      <color theme="1"/>
      <name val="Calibri"/>
      <family val="2"/>
      <charset val="1"/>
    </font>
    <font>
      <b val="true"/>
      <sz val="13.5"/>
      <color theme="1"/>
      <name val="Arial"/>
      <family val="2"/>
      <charset val="1"/>
    </font>
    <font>
      <sz val="13.5"/>
      <color theme="1"/>
      <name val="Arial"/>
      <family val="2"/>
      <charset val="1"/>
    </font>
    <font>
      <u val="single"/>
      <sz val="13.5"/>
      <color theme="1"/>
      <name val="Arial"/>
      <family val="2"/>
      <charset val="1"/>
    </font>
    <font>
      <sz val="14"/>
      <color theme="1"/>
      <name val="Arial"/>
      <family val="2"/>
      <charset val="1"/>
    </font>
    <font>
      <b val="true"/>
      <sz val="14"/>
      <color theme="1"/>
      <name val="Arial"/>
      <family val="2"/>
      <charset val="1"/>
    </font>
    <font>
      <b val="true"/>
      <sz val="14"/>
      <color rgb="FF006100"/>
      <name val="Arial"/>
      <family val="2"/>
      <charset val="1"/>
    </font>
    <font>
      <b val="true"/>
      <sz val="13"/>
      <color rgb="FFFF0000"/>
      <name val="Arial"/>
      <family val="2"/>
      <charset val="1"/>
    </font>
    <font>
      <b val="true"/>
      <sz val="10"/>
      <color theme="1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color theme="1"/>
      <name val="Calibri"/>
      <family val="2"/>
      <charset val="1"/>
    </font>
    <font>
      <sz val="12"/>
      <color theme="1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rgb="FF2C4055"/>
        <bgColor rgb="FF404040"/>
      </patternFill>
    </fill>
    <fill>
      <patternFill patternType="solid">
        <fgColor rgb="FF40BB87"/>
        <bgColor rgb="FF4BACC6"/>
      </patternFill>
    </fill>
    <fill>
      <patternFill patternType="solid">
        <fgColor theme="0" tint="-0.15"/>
        <bgColor rgb="FFE9F0CE"/>
      </patternFill>
    </fill>
    <fill>
      <patternFill patternType="solid">
        <fgColor rgb="FF92D050"/>
        <bgColor rgb="FF9BBB59"/>
      </patternFill>
    </fill>
    <fill>
      <patternFill patternType="solid">
        <fgColor theme="0" tint="-0.05"/>
        <bgColor rgb="FFE9F0CE"/>
      </patternFill>
    </fill>
    <fill>
      <patternFill patternType="solid">
        <fgColor rgb="FFFF0000"/>
        <bgColor rgb="FFC00000"/>
      </patternFill>
    </fill>
    <fill>
      <patternFill patternType="solid">
        <fgColor theme="0" tint="-0.25"/>
        <bgColor rgb="FFB7B7B7"/>
      </patternFill>
    </fill>
    <fill>
      <patternFill patternType="solid">
        <fgColor theme="6" tint="0.3999"/>
        <bgColor rgb="FFAFC97A"/>
      </patternFill>
    </fill>
    <fill>
      <patternFill patternType="solid">
        <fgColor theme="5" tint="0.3999"/>
        <bgColor rgb="FFCD7371"/>
      </patternFill>
    </fill>
    <fill>
      <patternFill patternType="solid">
        <fgColor theme="1" tint="0.3499"/>
        <bgColor rgb="FF4D3B62"/>
      </patternFill>
    </fill>
    <fill>
      <patternFill patternType="solid">
        <fgColor rgb="FF00CC66"/>
        <bgColor rgb="FF00B050"/>
      </patternFill>
    </fill>
    <fill>
      <patternFill patternType="solid">
        <fgColor rgb="FFFFC000"/>
        <bgColor rgb="FFF79646"/>
      </patternFill>
    </fill>
    <fill>
      <patternFill patternType="solid">
        <fgColor theme="0" tint="-0.35"/>
        <bgColor rgb="FF999999"/>
      </patternFill>
    </fill>
    <fill>
      <patternFill patternType="solid">
        <fgColor rgb="FF1E7038"/>
        <bgColor rgb="FF276A7C"/>
      </patternFill>
    </fill>
    <fill>
      <patternFill patternType="solid">
        <fgColor rgb="FFE9F0CE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FBFBF"/>
      </patternFill>
    </fill>
    <fill>
      <patternFill patternType="solid">
        <fgColor rgb="FF00FF00"/>
        <bgColor rgb="FF00CC66"/>
      </patternFill>
    </fill>
    <fill>
      <patternFill patternType="solid">
        <fgColor rgb="FF999999"/>
        <bgColor rgb="FFA6A6A6"/>
      </patternFill>
    </fill>
  </fills>
  <borders count="40">
    <border diagonalUp="false" diagonalDown="false">
      <left/>
      <right/>
      <top/>
      <bottom/>
      <diagonal/>
    </border>
    <border diagonalUp="false" diagonalDown="false">
      <left/>
      <right style="medium">
        <color theme="0"/>
      </right>
      <top/>
      <bottom/>
      <diagonal/>
    </border>
    <border diagonalUp="false" diagonalDown="false">
      <left/>
      <right style="medium">
        <color theme="0"/>
      </right>
      <top style="medium">
        <color theme="0"/>
      </top>
      <bottom style="medium">
        <color theme="0"/>
      </bottom>
      <diagonal/>
    </border>
    <border diagonalUp="false" diagonalDown="false">
      <left style="medium">
        <color theme="0"/>
      </left>
      <right/>
      <top style="medium">
        <color theme="0"/>
      </top>
      <bottom style="medium">
        <color theme="0"/>
      </bottom>
      <diagonal/>
    </border>
    <border diagonalUp="false" diagonalDown="false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 diagonalUp="false" diagonalDown="false">
      <left/>
      <right/>
      <top style="medium">
        <color theme="0"/>
      </top>
      <bottom style="medium">
        <color theme="0"/>
      </bottom>
      <diagonal/>
    </border>
    <border diagonalUp="false" diagonalDown="false">
      <left/>
      <right style="medium">
        <color theme="0"/>
      </right>
      <top style="medium">
        <color theme="0"/>
      </top>
      <bottom/>
      <diagonal/>
    </border>
    <border diagonalUp="false" diagonalDown="false">
      <left style="medium">
        <color theme="0"/>
      </left>
      <right/>
      <top/>
      <bottom/>
      <diagonal/>
    </border>
    <border diagonalUp="false" diagonalDown="false">
      <left style="medium">
        <color theme="0"/>
      </left>
      <right style="medium">
        <color theme="0"/>
      </right>
      <top/>
      <bottom/>
      <diagonal/>
    </border>
    <border diagonalUp="false" diagonalDown="false">
      <left style="medium">
        <color theme="0"/>
      </left>
      <right/>
      <top/>
      <bottom style="medium">
        <color theme="0"/>
      </bottom>
      <diagonal/>
    </border>
    <border diagonalUp="false" diagonalDown="false">
      <left/>
      <right style="medium">
        <color theme="0"/>
      </right>
      <top/>
      <bottom style="medium">
        <color theme="0"/>
      </bottom>
      <diagonal/>
    </border>
    <border diagonalUp="false" diagonalDown="false">
      <left style="medium">
        <color theme="0"/>
      </left>
      <right style="medium">
        <color theme="0"/>
      </right>
      <top style="medium">
        <color theme="0"/>
      </top>
      <bottom/>
      <diagonal/>
    </border>
    <border diagonalUp="false" diagonalDown="false">
      <left style="medium">
        <color theme="0"/>
      </left>
      <right style="medium">
        <color theme="0"/>
      </right>
      <top/>
      <bottom style="medium">
        <color theme="0"/>
      </bottom>
      <diagonal/>
    </border>
    <border diagonalUp="false" diagonalDown="false">
      <left/>
      <right/>
      <top/>
      <bottom style="medium">
        <color theme="0"/>
      </bottom>
      <diagonal/>
    </border>
    <border diagonalUp="false" diagonalDown="false">
      <left style="thin">
        <color theme="0" tint="-0.15"/>
      </left>
      <right style="thin">
        <color theme="0" tint="-0.15"/>
      </right>
      <top style="thin">
        <color theme="0" tint="-0.15"/>
      </top>
      <bottom/>
      <diagonal/>
    </border>
    <border diagonalUp="false" diagonalDown="false">
      <left style="thin">
        <color theme="0" tint="-0.15"/>
      </left>
      <right/>
      <top/>
      <bottom style="thin">
        <color theme="0" tint="-0.15"/>
      </bottom>
      <diagonal/>
    </border>
    <border diagonalUp="false" diagonalDown="false">
      <left/>
      <right style="thin">
        <color theme="0" tint="-0.15"/>
      </right>
      <top/>
      <bottom style="thin">
        <color theme="0" tint="-0.15"/>
      </bottom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double"/>
      <top style="double">
        <color theme="0"/>
      </top>
      <bottom style="double">
        <color theme="0"/>
      </bottom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/>
      <right style="thick"/>
      <top/>
      <bottom/>
      <diagonal/>
    </border>
    <border diagonalUp="false" diagonalDown="false">
      <left/>
      <right style="thin"/>
      <top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7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7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7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6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7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7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6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1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5" fillId="6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8" borderId="1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5" fillId="8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1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0" fillId="14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1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16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30" fillId="17" borderId="18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16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16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16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3" fillId="17" borderId="1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34" fillId="2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17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17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26" fillId="17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3" fillId="17" borderId="2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6" fillId="17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36" fillId="17" borderId="2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36" fillId="2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32" fillId="16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33" fillId="2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9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31" fillId="16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1" fillId="2" borderId="2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2" fillId="2" borderId="2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1" fillId="2" borderId="2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3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6" fillId="17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41" fillId="2" borderId="2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4" fillId="2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17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5" fillId="17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5" fillId="17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5" fillId="17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4" fillId="2" borderId="3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4" fillId="2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4" fillId="2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4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4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4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1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7" fillId="1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7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0" fillId="7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7" fillId="7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19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45" fillId="19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6" fillId="2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6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26" fillId="0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5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9" fontId="45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F7530"/>
      <rgbColor rgb="FFCC0099"/>
      <rgbColor rgb="FF276A7C"/>
      <rgbColor rgb="FFBFBFBF"/>
      <rgbColor rgb="FF808080"/>
      <rgbColor rgb="FF729ACA"/>
      <rgbColor rgb="FFC0504D"/>
      <rgbColor rgb="FFE9F0CE"/>
      <rgbColor rgb="FFF2F2F2"/>
      <rgbColor rgb="FF660066"/>
      <rgbColor rgb="FFD99694"/>
      <rgbColor rgb="FF4BACC6"/>
      <rgbColor rgb="FFD9D9D9"/>
      <rgbColor rgb="FF000080"/>
      <rgbColor rgb="FFFF00FF"/>
      <rgbColor rgb="FFFFFF00"/>
      <rgbColor rgb="FF00FFFF"/>
      <rgbColor rgb="FF878787"/>
      <rgbColor rgb="FF800000"/>
      <rgbColor rgb="FF1E7038"/>
      <rgbColor rgb="FF0000FF"/>
      <rgbColor rgb="FF00CC66"/>
      <rgbColor rgb="FFCCFFFF"/>
      <rgbColor rgb="FFAFC97A"/>
      <rgbColor rgb="FF9BBB59"/>
      <rgbColor rgb="FFB7B7B7"/>
      <rgbColor rgb="FFCD7371"/>
      <rgbColor rgb="FFA6A6A6"/>
      <rgbColor rgb="FFC3D69B"/>
      <rgbColor rgb="FF4F81BD"/>
      <rgbColor rgb="FF40BB87"/>
      <rgbColor rgb="FF92D050"/>
      <rgbColor rgb="FFFFC000"/>
      <rgbColor rgb="FFF79646"/>
      <rgbColor rgb="FFE46C0A"/>
      <rgbColor rgb="FF8064A2"/>
      <rgbColor rgb="FF999999"/>
      <rgbColor rgb="FF2C4055"/>
      <rgbColor rgb="FF00B050"/>
      <rgbColor rgb="FF404040"/>
      <rgbColor rgb="FF262626"/>
      <rgbColor rgb="FFB65708"/>
      <rgbColor rgb="FF595959"/>
      <rgbColor rgb="FF4D3B6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cc66"/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00b050"/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Lbls>
            <c:numFmt formatCode="&quot;R$ &quot;#,##0.00" sourceLinked="1"/>
            <c:dLbl>
              <c:idx val="0"/>
              <c:numFmt formatCode="&quot;R$ &quot;#,##0.00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Dash01!$A$23</c:f>
              <c:numCache>
                <c:formatCode>"R$ "#,##0.00</c:formatCode>
                <c:ptCount val="1"/>
                <c:pt idx="0">
                  <c:v>17304.74</c:v>
                </c:pt>
              </c:numCache>
            </c:numRef>
          </c:val>
        </c:ser>
        <c:ser>
          <c:idx val="1"/>
          <c:order val="1"/>
          <c:spPr>
            <a:solidFill>
              <a:srgbClr val="00cc66"/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Dash01!$A$24</c:f>
              <c:numCache>
                <c:formatCode>"R$ "#,##0.00</c:formatCode>
                <c:ptCount val="1"/>
                <c:pt idx="0">
                  <c:v>19268.14</c:v>
                </c:pt>
              </c:numCache>
            </c:numRef>
          </c:val>
        </c:ser>
        <c:ser>
          <c:idx val="2"/>
          <c:order val="2"/>
          <c:spPr>
            <a:solidFill>
              <a:srgbClr val="9bbb59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Pt>
            <c:idx val="0"/>
            <c:invertIfNegative val="0"/>
            <c:spPr>
              <a:solidFill>
                <a:srgbClr val="c0504d">
                  <a:alpha val="85000"/>
                </a:srgbClr>
              </a:solidFill>
              <a:ln w="9360">
                <a:solidFill>
                  <a:srgbClr val="ffffff">
                    <a:alpha val="50000"/>
                  </a:srgbClr>
                </a:solidFill>
                <a:round/>
              </a:ln>
            </c:spPr>
          </c:dPt>
          <c:dLbls>
            <c:numFmt formatCode="&quot;R$ &quot;#,##0.00" sourceLinked="1"/>
            <c:dLbl>
              <c:idx val="0"/>
              <c:numFmt formatCode="&quot;R$ &quot;#,##0.00" sourceLinked="1"/>
              <c:txPr>
                <a:bodyPr wrap="square"/>
                <a:lstStyle/>
                <a:p>
                  <a:pPr>
                    <a:defRPr b="1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Dash01!$A$25</c:f>
              <c:numCache>
                <c:formatCode>"R$ "#,##0.00</c:formatCode>
                <c:ptCount val="1"/>
                <c:pt idx="0">
                  <c:v>7500</c:v>
                </c:pt>
              </c:numCache>
            </c:numRef>
          </c:val>
        </c:ser>
        <c:ser>
          <c:idx val="3"/>
          <c:order val="3"/>
          <c:spPr>
            <a:solidFill>
              <a:srgbClr val="ff0000"/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&quot;R$ &quot;#,##0.00" sourceLinked="1"/>
            <c:txPr>
              <a:bodyPr wrap="square"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Dash01!$A$26</c:f>
              <c:numCache>
                <c:formatCode>"R$ "#,##0.00</c:formatCode>
                <c:ptCount val="1"/>
                <c:pt idx="0">
                  <c:v>1855</c:v>
                </c:pt>
              </c:numCache>
            </c:numRef>
          </c:val>
        </c:ser>
        <c:gapWidth val="65"/>
        <c:overlap val="0"/>
        <c:axId val="54278859"/>
        <c:axId val="18346271"/>
      </c:barChart>
      <c:catAx>
        <c:axId val="542788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18346271"/>
        <c:crosses val="autoZero"/>
        <c:auto val="1"/>
        <c:lblAlgn val="ctr"/>
        <c:lblOffset val="100"/>
        <c:noMultiLvlLbl val="0"/>
      </c:catAx>
      <c:valAx>
        <c:axId val="18346271"/>
        <c:scaling>
          <c:orientation val="minMax"/>
        </c:scaling>
        <c:delete val="1"/>
        <c:axPos val="l"/>
        <c:majorGridlines>
          <c:spPr>
            <a:ln w="9360">
              <a:solidFill>
                <a:srgbClr val="ffffff"/>
              </a:solidFill>
              <a:round/>
            </a:ln>
          </c:spPr>
        </c:majorGridlines>
        <c:numFmt formatCode="&quot;R$ &quot;#,##0.00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Calibri"/>
              </a:defRPr>
            </a:pPr>
          </a:p>
        </c:txPr>
        <c:crossAx val="54278859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explosion val="1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Lbls>
            <c:dLbl>
              <c:idx val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spPr>
              <a:solidFill>
                <a:srgbClr val="595959"/>
              </a:solidFill>
            </c:spPr>
            <c:txPr>
              <a:bodyPr wrap="square"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'LIVRO CAIXA'!$A$8:$A$9</c:f>
              <c:strCache>
                <c:ptCount val="2"/>
                <c:pt idx="0">
                  <c:v>ReceitaAnestesia</c:v>
                </c:pt>
                <c:pt idx="1">
                  <c:v>ReceitasConsulta</c:v>
                </c:pt>
              </c:strCache>
            </c:strRef>
          </c:cat>
          <c:val>
            <c:numRef>
              <c:f>'LIVRO CAIXA'!$L$8:$L$9</c:f>
              <c:numCache>
                <c:formatCode>"R$ "#,##0.00</c:formatCode>
                <c:ptCount val="2"/>
                <c:pt idx="0">
                  <c:v>14278.85</c:v>
                </c:pt>
                <c:pt idx="1">
                  <c:v>2400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b"/>
      <c:overlay val="1"/>
      <c:spPr>
        <a:solidFill>
          <a:srgbClr val="f2f2f2">
            <a:alpha val="39000"/>
          </a:srgbClr>
        </a:solidFill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f7964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0000"/>
              </a:solidFill>
              <a:ln w="0">
                <a:noFill/>
              </a:ln>
            </c:spPr>
          </c:dPt>
          <c:dPt>
            <c:idx val="2"/>
            <c:explosion val="13"/>
            <c:spPr>
              <a:solidFill>
                <a:srgbClr val="00cc66"/>
              </a:solidFill>
              <a:ln w="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bacc6"/>
              </a:solidFill>
              <a:ln w="0">
                <a:noFill/>
              </a:ln>
            </c:spPr>
          </c:dPt>
          <c:dPt>
            <c:idx val="5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6"/>
            <c:spPr>
              <a:solidFill>
                <a:srgbClr val="808080"/>
              </a:solidFill>
              <a:ln w="0">
                <a:noFill/>
              </a:ln>
            </c:spPr>
          </c:dPt>
          <c:dPt>
            <c:idx val="7"/>
            <c:spPr>
              <a:solidFill>
                <a:srgbClr val="cc0099"/>
              </a:solidFill>
              <a:ln w="0">
                <a:noFill/>
              </a:ln>
            </c:spPr>
          </c:dPt>
          <c:dPt>
            <c:idx val="8"/>
            <c:spPr>
              <a:solidFill>
                <a:srgbClr val="5f7530"/>
              </a:solidFill>
              <a:ln w="0">
                <a:noFill/>
              </a:ln>
            </c:spPr>
          </c:dPt>
          <c:dPt>
            <c:idx val="9"/>
            <c:spPr>
              <a:solidFill>
                <a:srgbClr val="4d3b62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276a7c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b65708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729aca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cd7371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afc97a"/>
              </a:solidFill>
              <a:ln w="0">
                <a:noFill/>
              </a:ln>
            </c:spPr>
          </c:dPt>
          <c:dLbls>
            <c:dLbl>
              <c:idx val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7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8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9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1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2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3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4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spPr>
              <a:solidFill>
                <a:srgbClr val="595959"/>
              </a:solidFill>
            </c:spPr>
            <c:txPr>
              <a:bodyPr wrap="square"/>
              <a:lstStyle/>
              <a:p>
                <a:pPr>
                  <a:defRPr b="1" sz="10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'LIVRO CAIXA'!$A$11:$A$25</c:f>
              <c:strCache>
                <c:ptCount val="15"/>
                <c:pt idx="0">
                  <c:v>DESPESACOMANESTESIA</c:v>
                </c:pt>
                <c:pt idx="1">
                  <c:v>DESPESATIM</c:v>
                </c:pt>
                <c:pt idx="2">
                  <c:v>DESPESAALUGUEL</c:v>
                </c:pt>
                <c:pt idx="3">
                  <c:v>DESPESAENERGIA</c:v>
                </c:pt>
                <c:pt idx="4">
                  <c:v>DESPESAINTERNET</c:v>
                </c:pt>
                <c:pt idx="5">
                  <c:v>DESPESACOMCRMV</c:v>
                </c:pt>
                <c:pt idx="6">
                  <c:v>DESPESAREMEDIOS</c:v>
                </c:pt>
                <c:pt idx="7">
                  <c:v>DESPESACOMALIMENTACAO</c:v>
                </c:pt>
                <c:pt idx="8">
                  <c:v>DESPESACOMCOMBUSTIVEL</c:v>
                </c:pt>
                <c:pt idx="9">
                  <c:v>DESPESACOMPOS</c:v>
                </c:pt>
                <c:pt idx="10">
                  <c:v>DESPESACOMPLANODESAUDE</c:v>
                </c:pt>
                <c:pt idx="11">
                  <c:v>DESPESACOMLAZER</c:v>
                </c:pt>
                <c:pt idx="12">
                  <c:v>IMPOSTO</c:v>
                </c:pt>
                <c:pt idx="13">
                  <c:v>CONTADOR</c:v>
                </c:pt>
                <c:pt idx="14">
                  <c:v>INVESTIMENTO</c:v>
                </c:pt>
              </c:strCache>
            </c:strRef>
          </c:cat>
          <c:val>
            <c:numRef>
              <c:f>'LIVRO CAIXA'!$L$11:$L$25</c:f>
              <c:numCache>
                <c:formatCode>"R$ "#,##0.00</c:formatCode>
                <c:ptCount val="15"/>
                <c:pt idx="0">
                  <c:v>530</c:v>
                </c:pt>
                <c:pt idx="1">
                  <c:v>42</c:v>
                </c:pt>
                <c:pt idx="2">
                  <c:v>1200</c:v>
                </c:pt>
                <c:pt idx="3">
                  <c:v>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03450758883577"/>
          <c:y val="0.171850437926111"/>
          <c:w val="0.257675733500599"/>
          <c:h val="0.569968081306168"/>
        </c:manualLayout>
      </c:layout>
      <c:overlay val="1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04040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36050734457152"/>
          <c:y val="0.0409795102448776"/>
          <c:w val="0.727898531085696"/>
          <c:h val="0.641179410294853"/>
        </c:manualLayout>
      </c:layout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ffc000"/>
              </a:solidFill>
              <a:ln w="19080">
                <a:noFill/>
              </a:ln>
            </c:spPr>
          </c:dPt>
          <c:dPt>
            <c:idx val="1"/>
            <c:spPr>
              <a:solidFill>
                <a:srgbClr val="ff0000"/>
              </a:solidFill>
              <a:ln w="19080">
                <a:noFill/>
              </a:ln>
            </c:spPr>
          </c:dPt>
          <c:dPt>
            <c:idx val="2"/>
            <c:spPr>
              <a:solidFill>
                <a:srgbClr val="4f81bd"/>
              </a:solidFill>
              <a:ln w="19080">
                <a:noFill/>
              </a:ln>
            </c:spPr>
          </c:dPt>
          <c:dPt>
            <c:idx val="3"/>
            <c:spPr>
              <a:solidFill>
                <a:srgbClr val="8064a2"/>
              </a:solidFill>
              <a:ln w="19080">
                <a:noFill/>
              </a:ln>
            </c:spPr>
          </c:dPt>
          <c:dPt>
            <c:idx val="4"/>
            <c:spPr>
              <a:solidFill>
                <a:srgbClr val="a6a6a6"/>
              </a:solidFill>
              <a:ln w="19080">
                <a:noFill/>
              </a:ln>
            </c:spPr>
          </c:dPt>
          <c:dPt>
            <c:idx val="5"/>
            <c:spPr>
              <a:solidFill>
                <a:srgbClr val="f79646"/>
              </a:solidFill>
              <a:ln w="19080">
                <a:noFill/>
              </a:ln>
            </c:spPr>
          </c:dPt>
          <c:dPt>
            <c:idx val="6"/>
            <c:spPr>
              <a:solidFill>
                <a:srgbClr val="00cc66"/>
              </a:solidFill>
              <a:ln w="19080">
                <a:noFill/>
              </a:ln>
            </c:spPr>
          </c:dPt>
          <c:dPt>
            <c:idx val="7"/>
            <c:spPr>
              <a:solidFill>
                <a:srgbClr val="e46c0a"/>
              </a:solidFill>
              <a:ln w="19080">
                <a:noFill/>
              </a:ln>
            </c:spPr>
          </c:dPt>
          <c:dPt>
            <c:idx val="8"/>
            <c:spPr>
              <a:solidFill>
                <a:srgbClr val="5f7530"/>
              </a:solidFill>
              <a:ln w="19080">
                <a:noFill/>
              </a:ln>
            </c:spPr>
          </c:dPt>
          <c:dPt>
            <c:idx val="9"/>
            <c:spPr>
              <a:solidFill>
                <a:srgbClr val="4d3b62"/>
              </a:solidFill>
              <a:ln w="19080">
                <a:noFill/>
              </a:ln>
            </c:spPr>
          </c:dPt>
          <c:dPt>
            <c:idx val="10"/>
            <c:spPr>
              <a:solidFill>
                <a:srgbClr val="276a7c"/>
              </a:solidFill>
              <a:ln w="19080">
                <a:noFill/>
              </a:ln>
            </c:spPr>
          </c:dPt>
          <c:dPt>
            <c:idx val="11"/>
            <c:spPr>
              <a:solidFill>
                <a:srgbClr val="b65708"/>
              </a:solidFill>
              <a:ln w="19080">
                <a:noFill/>
              </a:ln>
            </c:spPr>
          </c:dPt>
          <c:dPt>
            <c:idx val="12"/>
            <c:spPr>
              <a:solidFill>
                <a:srgbClr val="729aca"/>
              </a:solidFill>
              <a:ln w="19080">
                <a:noFill/>
              </a:ln>
            </c:spPr>
          </c:dPt>
          <c:dPt>
            <c:idx val="13"/>
            <c:spPr>
              <a:solidFill>
                <a:srgbClr val="cd7371"/>
              </a:solidFill>
              <a:ln w="19080">
                <a:noFill/>
              </a:ln>
            </c:spPr>
          </c:dPt>
          <c:dPt>
            <c:idx val="14"/>
            <c:spPr>
              <a:solidFill>
                <a:srgbClr val="afc97a"/>
              </a:solidFill>
              <a:ln w="1908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7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8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9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0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2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3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4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ffffff"/>
                      </a:solidFill>
                      <a:latin typeface="Calibri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Planilha2!$G$27:$G$41</c:f>
              <c:strCache>
                <c:ptCount val="15"/>
                <c:pt idx="0">
                  <c:v>DESPESA COM ANESTESIA</c:v>
                </c:pt>
                <c:pt idx="1">
                  <c:v>DESPESA TIM</c:v>
                </c:pt>
                <c:pt idx="2">
                  <c:v>DESPESA ALUGUEL</c:v>
                </c:pt>
                <c:pt idx="3">
                  <c:v>DESPESA ENERGIA</c:v>
                </c:pt>
                <c:pt idx="4">
                  <c:v>DESPESA INTERNET</c:v>
                </c:pt>
                <c:pt idx="5">
                  <c:v>DESPESA COM CRMV</c:v>
                </c:pt>
                <c:pt idx="6">
                  <c:v>DESPESA REMÉDIOS</c:v>
                </c:pt>
                <c:pt idx="7">
                  <c:v>DESPESA COM ALIMENTAÇÃO</c:v>
                </c:pt>
                <c:pt idx="8">
                  <c:v>DESPESA COM COMBUSTÍVEL</c:v>
                </c:pt>
                <c:pt idx="9">
                  <c:v>DESPESA COM PÓS</c:v>
                </c:pt>
                <c:pt idx="10">
                  <c:v>DESPESA COM PLANO DE SAÚDE</c:v>
                </c:pt>
                <c:pt idx="11">
                  <c:v>DESPESA COM LAZER</c:v>
                </c:pt>
                <c:pt idx="12">
                  <c:v>IMPOSTO</c:v>
                </c:pt>
                <c:pt idx="13">
                  <c:v>CONTADOR</c:v>
                </c:pt>
                <c:pt idx="14">
                  <c:v>INVESTIMENTO</c:v>
                </c:pt>
              </c:strCache>
            </c:strRef>
          </c:cat>
          <c:val>
            <c:numRef>
              <c:f>Planilha2!$H$27:$H$41</c:f>
              <c:numCache>
                <c:formatCode>General</c:formatCode>
                <c:ptCount val="15"/>
                <c:pt idx="0">
                  <c:v>530</c:v>
                </c:pt>
                <c:pt idx="1">
                  <c:v>42</c:v>
                </c:pt>
                <c:pt idx="2">
                  <c:v>1200</c:v>
                </c:pt>
                <c:pt idx="3">
                  <c:v>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"/>
          <c:y val="0.679243054288897"/>
          <c:w val="1"/>
          <c:h val="0.31921092103680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noFill/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areaChart>
        <c:grouping val="standard"/>
        <c:ser>
          <c:idx val="0"/>
          <c:order val="0"/>
          <c:tx>
            <c:strRef>
              <c:f>Planilha2!$D$40</c:f>
              <c:strCache>
                <c:ptCount val="1"/>
                <c:pt idx="0">
                  <c:v>Mês Anterior</c:v>
                </c:pt>
              </c:strCache>
            </c:strRef>
          </c:tx>
          <c:spPr>
            <a:solidFill>
              <a:srgbClr val="f79646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Planilha2!$B$41:$B$52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Planilha2!$D$42:$D$52</c:f>
              <c:numCache>
                <c:formatCode>_-"R$ "* #,##0_-;"-R$ "* #,##0_-;_-"R$ "* \-??_-;_-@_-</c:formatCode>
                <c:ptCount val="11"/>
                <c:pt idx="0">
                  <c:v>20491</c:v>
                </c:pt>
                <c:pt idx="1">
                  <c:v>21280.56</c:v>
                </c:pt>
                <c:pt idx="2">
                  <c:v>24778.27</c:v>
                </c:pt>
                <c:pt idx="3">
                  <c:v>18951.26</c:v>
                </c:pt>
                <c:pt idx="4">
                  <c:v>23712.83</c:v>
                </c:pt>
                <c:pt idx="5">
                  <c:v>20092.32</c:v>
                </c:pt>
                <c:pt idx="6">
                  <c:v>24959.52</c:v>
                </c:pt>
                <c:pt idx="7">
                  <c:v>29352.73</c:v>
                </c:pt>
                <c:pt idx="8">
                  <c:v>25984.02</c:v>
                </c:pt>
                <c:pt idx="9">
                  <c:v>23017.16</c:v>
                </c:pt>
                <c:pt idx="10">
                  <c:v>19268.14</c:v>
                </c:pt>
              </c:numCache>
            </c:numRef>
          </c:val>
        </c:ser>
        <c:axId val="14066201"/>
        <c:axId val="74224455"/>
      </c:areaChart>
      <c:lineChart>
        <c:grouping val="standard"/>
        <c:varyColors val="0"/>
        <c:ser>
          <c:idx val="1"/>
          <c:order val="1"/>
          <c:tx>
            <c:strRef>
              <c:f>Planilha2!$C$40</c:f>
              <c:strCache>
                <c:ptCount val="1"/>
                <c:pt idx="0">
                  <c:v>Essa Mês</c:v>
                </c:pt>
              </c:strCache>
            </c:strRef>
          </c:tx>
          <c:spPr>
            <a:solidFill>
              <a:srgbClr val="4f81bd"/>
            </a:solidFill>
            <a:ln w="1015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Planilha2!$B$41:$B$52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Planilha2!$C$41:$C$52</c:f>
              <c:numCache>
                <c:formatCode>_-"R$ "* #,##0_-;"-R$ "* #,##0_-;_-"R$ "* \-??_-;_-@_-</c:formatCode>
                <c:ptCount val="12"/>
                <c:pt idx="0">
                  <c:v>20491</c:v>
                </c:pt>
                <c:pt idx="1">
                  <c:v>21280.56</c:v>
                </c:pt>
                <c:pt idx="2">
                  <c:v>24778.27</c:v>
                </c:pt>
                <c:pt idx="3">
                  <c:v>18951.26</c:v>
                </c:pt>
                <c:pt idx="4">
                  <c:v>23712.83</c:v>
                </c:pt>
                <c:pt idx="5">
                  <c:v>20092.32</c:v>
                </c:pt>
                <c:pt idx="6">
                  <c:v>24959.52</c:v>
                </c:pt>
                <c:pt idx="7">
                  <c:v>29352.73</c:v>
                </c:pt>
                <c:pt idx="8">
                  <c:v>25984.02</c:v>
                </c:pt>
                <c:pt idx="9">
                  <c:v>23017.16</c:v>
                </c:pt>
                <c:pt idx="10">
                  <c:v>19268.14</c:v>
                </c:pt>
                <c:pt idx="11">
                  <c:v>21116.14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4066201"/>
        <c:axId val="74224455"/>
      </c:lineChart>
      <c:catAx>
        <c:axId val="140662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224455"/>
        <c:crosses val="autoZero"/>
        <c:auto val="1"/>
        <c:lblAlgn val="ctr"/>
        <c:lblOffset val="100"/>
        <c:noMultiLvlLbl val="0"/>
      </c:catAx>
      <c:valAx>
        <c:axId val="742244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&gt;=1000]#,##0,\K;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06620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3.png"/><Relationship Id="rId3" Type="http://schemas.openxmlformats.org/officeDocument/2006/relationships/image" Target="../media/image4.svg"/><Relationship Id="rId4" Type="http://schemas.openxmlformats.org/officeDocument/2006/relationships/image" Target="../media/image5.png"/><Relationship Id="rId5" Type="http://schemas.openxmlformats.org/officeDocument/2006/relationships/image" Target="../media/image6.sv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chart" Target="../charts/chart5.xml"/><Relationship Id="rId9" Type="http://schemas.openxmlformats.org/officeDocument/2006/relationships/image" Target="../media/image2.png"/><Relationship Id="rId10" Type="http://schemas.openxmlformats.org/officeDocument/2006/relationships/image" Target="../media/image9.wmf"/><Relationship Id="rId11" Type="http://schemas.openxmlformats.org/officeDocument/2006/relationships/image" Target="../media/image10.wmf"/><Relationship Id="rId12" Type="http://schemas.openxmlformats.org/officeDocument/2006/relationships/image" Target="../media/image11.wmf"/><Relationship Id="rId13" Type="http://schemas.openxmlformats.org/officeDocument/2006/relationships/image" Target="../media/image12.wmf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0</xdr:rowOff>
    </xdr:from>
    <xdr:to>
      <xdr:col>1</xdr:col>
      <xdr:colOff>1130040</xdr:colOff>
      <xdr:row>0</xdr:row>
      <xdr:rowOff>736560</xdr:rowOff>
    </xdr:to>
    <xdr:pic>
      <xdr:nvPicPr>
        <xdr:cNvPr id="0" name="Imagem 2" descr="logoexcel.fw.png"/>
        <xdr:cNvPicPr/>
      </xdr:nvPicPr>
      <xdr:blipFill>
        <a:blip r:embed="rId1"/>
        <a:stretch/>
      </xdr:blipFill>
      <xdr:spPr>
        <a:xfrm>
          <a:off x="9360" y="0"/>
          <a:ext cx="1852200" cy="736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158040</xdr:colOff>
      <xdr:row>1</xdr:row>
      <xdr:rowOff>127080</xdr:rowOff>
    </xdr:to>
    <xdr:pic>
      <xdr:nvPicPr>
        <xdr:cNvPr id="1" name="Imagem 2" descr=""/>
        <xdr:cNvPicPr/>
      </xdr:nvPicPr>
      <xdr:blipFill>
        <a:blip r:embed="rId1"/>
        <a:stretch/>
      </xdr:blipFill>
      <xdr:spPr>
        <a:xfrm>
          <a:off x="0" y="0"/>
          <a:ext cx="3552840" cy="898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0</xdr:rowOff>
    </xdr:from>
    <xdr:to>
      <xdr:col>1</xdr:col>
      <xdr:colOff>1130040</xdr:colOff>
      <xdr:row>0</xdr:row>
      <xdr:rowOff>736560</xdr:rowOff>
    </xdr:to>
    <xdr:pic>
      <xdr:nvPicPr>
        <xdr:cNvPr id="2" name="Imagem 1" descr="logoexcel.fw.png"/>
        <xdr:cNvPicPr/>
      </xdr:nvPicPr>
      <xdr:blipFill>
        <a:blip r:embed="rId1"/>
        <a:stretch/>
      </xdr:blipFill>
      <xdr:spPr>
        <a:xfrm>
          <a:off x="9360" y="0"/>
          <a:ext cx="1852200" cy="736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23760</xdr:rowOff>
    </xdr:from>
    <xdr:to>
      <xdr:col>3</xdr:col>
      <xdr:colOff>303840</xdr:colOff>
      <xdr:row>20</xdr:row>
      <xdr:rowOff>167760</xdr:rowOff>
    </xdr:to>
    <xdr:graphicFrame>
      <xdr:nvGraphicFramePr>
        <xdr:cNvPr id="3" name="Gráfico 2"/>
        <xdr:cNvGraphicFramePr/>
      </xdr:nvGraphicFramePr>
      <xdr:xfrm>
        <a:off x="0" y="2862360"/>
        <a:ext cx="4018680" cy="229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47520</xdr:colOff>
      <xdr:row>8</xdr:row>
      <xdr:rowOff>88200</xdr:rowOff>
    </xdr:from>
    <xdr:to>
      <xdr:col>5</xdr:col>
      <xdr:colOff>491760</xdr:colOff>
      <xdr:row>22</xdr:row>
      <xdr:rowOff>190080</xdr:rowOff>
    </xdr:to>
    <xdr:graphicFrame>
      <xdr:nvGraphicFramePr>
        <xdr:cNvPr id="4" name="Gráfico 3"/>
        <xdr:cNvGraphicFramePr/>
      </xdr:nvGraphicFramePr>
      <xdr:xfrm>
        <a:off x="3030840" y="2736000"/>
        <a:ext cx="3884040" cy="283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11880</xdr:colOff>
      <xdr:row>8</xdr:row>
      <xdr:rowOff>22320</xdr:rowOff>
    </xdr:from>
    <xdr:to>
      <xdr:col>9</xdr:col>
      <xdr:colOff>1391760</xdr:colOff>
      <xdr:row>23</xdr:row>
      <xdr:rowOff>12960</xdr:rowOff>
    </xdr:to>
    <xdr:graphicFrame>
      <xdr:nvGraphicFramePr>
        <xdr:cNvPr id="5" name="Gráfico 4"/>
        <xdr:cNvGraphicFramePr/>
      </xdr:nvGraphicFramePr>
      <xdr:xfrm>
        <a:off x="2995200" y="2670120"/>
        <a:ext cx="10031760" cy="292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498600</xdr:colOff>
      <xdr:row>1</xdr:row>
      <xdr:rowOff>124560</xdr:rowOff>
    </xdr:to>
    <xdr:pic>
      <xdr:nvPicPr>
        <xdr:cNvPr id="6" name="Imagem 6" descr=""/>
        <xdr:cNvPicPr/>
      </xdr:nvPicPr>
      <xdr:blipFill>
        <a:blip r:embed="rId4"/>
        <a:stretch/>
      </xdr:blipFill>
      <xdr:spPr>
        <a:xfrm>
          <a:off x="0" y="0"/>
          <a:ext cx="3481920" cy="896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536400</xdr:colOff>
      <xdr:row>2</xdr:row>
      <xdr:rowOff>79200</xdr:rowOff>
    </xdr:from>
    <xdr:to>
      <xdr:col>19</xdr:col>
      <xdr:colOff>189360</xdr:colOff>
      <xdr:row>24</xdr:row>
      <xdr:rowOff>113040</xdr:rowOff>
    </xdr:to>
    <xdr:sp>
      <xdr:nvSpPr>
        <xdr:cNvPr id="7" name="Retângulo: Cantos Arredondados 26"/>
        <xdr:cNvSpPr/>
      </xdr:nvSpPr>
      <xdr:spPr>
        <a:xfrm>
          <a:off x="7120080" y="1041120"/>
          <a:ext cx="6968160" cy="4291560"/>
        </a:xfrm>
        <a:prstGeom prst="roundRect">
          <a:avLst>
            <a:gd name="adj" fmla="val 4493"/>
          </a:avLst>
        </a:prstGeom>
        <a:solidFill>
          <a:srgbClr val="f2f2f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274680</xdr:colOff>
      <xdr:row>2</xdr:row>
      <xdr:rowOff>20520</xdr:rowOff>
    </xdr:from>
    <xdr:to>
      <xdr:col>19</xdr:col>
      <xdr:colOff>332280</xdr:colOff>
      <xdr:row>24</xdr:row>
      <xdr:rowOff>84600</xdr:rowOff>
    </xdr:to>
    <xdr:graphicFrame>
      <xdr:nvGraphicFramePr>
        <xdr:cNvPr id="8" name="Gráfico 28"/>
        <xdr:cNvGraphicFramePr/>
      </xdr:nvGraphicFramePr>
      <xdr:xfrm>
        <a:off x="7589880" y="982440"/>
        <a:ext cx="6641280" cy="432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0</xdr:col>
      <xdr:colOff>520560</xdr:colOff>
      <xdr:row>2</xdr:row>
      <xdr:rowOff>174600</xdr:rowOff>
    </xdr:from>
    <xdr:to>
      <xdr:col>4</xdr:col>
      <xdr:colOff>456480</xdr:colOff>
      <xdr:row>10</xdr:row>
      <xdr:rowOff>163080</xdr:rowOff>
    </xdr:to>
    <xdr:sp>
      <xdr:nvSpPr>
        <xdr:cNvPr id="9" name="Retângulo: Cantos Arredondados 61"/>
        <xdr:cNvSpPr/>
      </xdr:nvSpPr>
      <xdr:spPr>
        <a:xfrm>
          <a:off x="520560" y="1136520"/>
          <a:ext cx="2862000" cy="1512720"/>
        </a:xfrm>
        <a:prstGeom prst="roundRect">
          <a:avLst>
            <a:gd name="adj" fmla="val 4493"/>
          </a:avLst>
        </a:prstGeom>
        <a:solidFill>
          <a:srgbClr val="f2f2f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0</xdr:col>
      <xdr:colOff>533160</xdr:colOff>
      <xdr:row>3</xdr:row>
      <xdr:rowOff>63000</xdr:rowOff>
    </xdr:from>
    <xdr:to>
      <xdr:col>1</xdr:col>
      <xdr:colOff>576360</xdr:colOff>
      <xdr:row>5</xdr:row>
      <xdr:rowOff>46440</xdr:rowOff>
    </xdr:to>
    <xdr:sp>
      <xdr:nvSpPr>
        <xdr:cNvPr id="10" name="CaixaDeTexto 62"/>
        <xdr:cNvSpPr/>
      </xdr:nvSpPr>
      <xdr:spPr>
        <a:xfrm>
          <a:off x="533160" y="1215360"/>
          <a:ext cx="774720" cy="364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400" spc="-1" strike="noStrike">
              <a:solidFill>
                <a:schemeClr val="lt1">
                  <a:lumMod val="50000"/>
                </a:schemeClr>
              </a:solidFill>
              <a:latin typeface="Calibri"/>
            </a:rPr>
            <a:t>Lucro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520560</xdr:colOff>
      <xdr:row>5</xdr:row>
      <xdr:rowOff>169200</xdr:rowOff>
    </xdr:from>
    <xdr:to>
      <xdr:col>3</xdr:col>
      <xdr:colOff>108360</xdr:colOff>
      <xdr:row>8</xdr:row>
      <xdr:rowOff>70200</xdr:rowOff>
    </xdr:to>
    <xdr:sp>
      <xdr:nvSpPr>
        <xdr:cNvPr id="11" name="CaixaDeTexto 63"/>
        <xdr:cNvSpPr/>
      </xdr:nvSpPr>
      <xdr:spPr>
        <a:xfrm>
          <a:off x="520560" y="1702800"/>
          <a:ext cx="1782360" cy="472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262626"/>
              </a:solidFill>
              <a:latin typeface="Calibri"/>
            </a:rPr>
            <a:t>R$ 15.219,85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433440</xdr:colOff>
      <xdr:row>3</xdr:row>
      <xdr:rowOff>76320</xdr:rowOff>
    </xdr:from>
    <xdr:to>
      <xdr:col>4</xdr:col>
      <xdr:colOff>370440</xdr:colOff>
      <xdr:row>6</xdr:row>
      <xdr:rowOff>30240</xdr:rowOff>
    </xdr:to>
    <xdr:sp>
      <xdr:nvSpPr>
        <xdr:cNvPr id="12" name="Retângulo: Cantos Arredondados 68"/>
        <xdr:cNvSpPr/>
      </xdr:nvSpPr>
      <xdr:spPr>
        <a:xfrm>
          <a:off x="2628000" y="1228680"/>
          <a:ext cx="668520" cy="525600"/>
        </a:xfrm>
        <a:prstGeom prst="roundRect">
          <a:avLst>
            <a:gd name="adj" fmla="val 11068"/>
          </a:avLst>
        </a:prstGeom>
        <a:solidFill>
          <a:srgbClr val="4f81bd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</xdr:col>
      <xdr:colOff>482760</xdr:colOff>
      <xdr:row>3</xdr:row>
      <xdr:rowOff>155160</xdr:rowOff>
    </xdr:from>
    <xdr:to>
      <xdr:col>4</xdr:col>
      <xdr:colOff>313560</xdr:colOff>
      <xdr:row>5</xdr:row>
      <xdr:rowOff>174240</xdr:rowOff>
    </xdr:to>
    <xdr:pic>
      <xdr:nvPicPr>
        <xdr:cNvPr id="13" name="Gráfico 24" descr="Dólar"/>
        <xdr:cNvPicPr/>
      </xdr:nvPicPr>
      <xdr:blipFill>
        <a:blip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/>
      </xdr:blipFill>
      <xdr:spPr>
        <a:xfrm>
          <a:off x="2677320" y="1307520"/>
          <a:ext cx="562320" cy="4003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5</xdr:col>
      <xdr:colOff>181080</xdr:colOff>
      <xdr:row>2</xdr:row>
      <xdr:rowOff>178920</xdr:rowOff>
    </xdr:from>
    <xdr:to>
      <xdr:col>9</xdr:col>
      <xdr:colOff>132480</xdr:colOff>
      <xdr:row>10</xdr:row>
      <xdr:rowOff>167400</xdr:rowOff>
    </xdr:to>
    <xdr:grpSp>
      <xdr:nvGrpSpPr>
        <xdr:cNvPr id="14" name="Agrupar 56"/>
        <xdr:cNvGrpSpPr/>
      </xdr:nvGrpSpPr>
      <xdr:grpSpPr>
        <a:xfrm>
          <a:off x="3838680" y="1140840"/>
          <a:ext cx="2877480" cy="1512720"/>
          <a:chOff x="3838680" y="1140840"/>
          <a:chExt cx="2877480" cy="1512720"/>
        </a:xfrm>
      </xdr:grpSpPr>
      <xdr:sp>
        <xdr:nvSpPr>
          <xdr:cNvPr id="15" name="Retângulo: Cantos Arredondados 96"/>
          <xdr:cNvSpPr/>
        </xdr:nvSpPr>
        <xdr:spPr>
          <a:xfrm>
            <a:off x="3857400" y="1140840"/>
            <a:ext cx="2858760" cy="1512720"/>
          </a:xfrm>
          <a:prstGeom prst="roundRect">
            <a:avLst>
              <a:gd name="adj" fmla="val 4493"/>
            </a:avLst>
          </a:prstGeom>
          <a:solidFill>
            <a:srgbClr val="f2f2f2"/>
          </a:solidFill>
          <a:ln w="254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>
        <xdr:nvSpPr>
          <xdr:cNvPr id="16" name="CaixaDeTexto 97"/>
          <xdr:cNvSpPr/>
        </xdr:nvSpPr>
        <xdr:spPr>
          <a:xfrm>
            <a:off x="3944880" y="1226520"/>
            <a:ext cx="1308960" cy="33228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</a:pPr>
            <a:r>
              <a:rPr b="0" lang="pt-BR" sz="1400" spc="-1" strike="noStrike">
                <a:solidFill>
                  <a:schemeClr val="lt1">
                    <a:lumMod val="50000"/>
                  </a:schemeClr>
                </a:solidFill>
                <a:latin typeface="Calibri"/>
              </a:rPr>
              <a:t>Crescimento</a:t>
            </a:r>
            <a:endParaRPr b="0" lang="pt-BR" sz="1400" spc="-1" strike="noStrike">
              <a:latin typeface="Times New Roman"/>
            </a:endParaRPr>
          </a:p>
        </xdr:txBody>
      </xdr:sp>
      <xdr:sp>
        <xdr:nvSpPr>
          <xdr:cNvPr id="17" name="Retângulo: Cantos Arredondados 102"/>
          <xdr:cNvSpPr/>
        </xdr:nvSpPr>
        <xdr:spPr>
          <a:xfrm>
            <a:off x="5931720" y="1217160"/>
            <a:ext cx="658800" cy="525600"/>
          </a:xfrm>
          <a:prstGeom prst="roundRect">
            <a:avLst>
              <a:gd name="adj" fmla="val 11068"/>
            </a:avLst>
          </a:prstGeom>
          <a:solidFill>
            <a:srgbClr val="4f81bd"/>
          </a:solidFill>
          <a:ln w="254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pic>
        <xdr:nvPicPr>
          <xdr:cNvPr id="18" name="Gráfico 203" descr="Tendência para cima"/>
          <xdr:cNvPicPr/>
        </xdr:nvPicPr>
        <xdr:blipFill>
          <a:blip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/>
        </xdr:blipFill>
        <xdr:spPr>
          <a:xfrm>
            <a:off x="6005880" y="1264680"/>
            <a:ext cx="507240" cy="408600"/>
          </a:xfrm>
          <a:prstGeom prst="rect">
            <a:avLst/>
          </a:prstGeom>
          <a:ln w="0">
            <a:noFill/>
          </a:ln>
        </xdr:spPr>
      </xdr:pic>
      <xdr:sp>
        <xdr:nvSpPr>
          <xdr:cNvPr id="19" name="CaixaDeTexto 104"/>
          <xdr:cNvSpPr/>
        </xdr:nvSpPr>
        <xdr:spPr>
          <a:xfrm>
            <a:off x="3838680" y="1655280"/>
            <a:ext cx="1415880" cy="34164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  <a:tabLst>
                <a:tab algn="l" pos="0"/>
              </a:tabLst>
            </a:pPr>
            <a:r>
              <a:rPr b="0" lang="en-US" sz="1100" spc="-1" strike="noStrike">
                <a:solidFill>
                  <a:srgbClr val="000000"/>
                </a:solidFill>
                <a:latin typeface="Calibri"/>
              </a:rPr>
              <a:t>-R$ 2.274,89</a:t>
            </a:r>
            <a:endParaRPr b="0" lang="pt-BR" sz="1100" spc="-1" strike="noStrike">
              <a:latin typeface="Times New Roman"/>
            </a:endParaRPr>
          </a:p>
        </xdr:txBody>
      </xdr:sp>
      <xdr:sp>
        <xdr:nvSpPr>
          <xdr:cNvPr id="20" name="CaixaDeTexto 107"/>
          <xdr:cNvSpPr/>
        </xdr:nvSpPr>
        <xdr:spPr>
          <a:xfrm>
            <a:off x="5352480" y="2347560"/>
            <a:ext cx="1203840" cy="2163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</a:pPr>
            <a:r>
              <a:rPr b="0" lang="pt-BR" sz="800" spc="-1" strike="noStrike">
                <a:solidFill>
                  <a:schemeClr val="lt1">
                    <a:lumMod val="50000"/>
                  </a:schemeClr>
                </a:solidFill>
                <a:latin typeface="Calibri"/>
              </a:rPr>
              <a:t>Nos últimos 30 dias</a:t>
            </a:r>
            <a:endParaRPr b="0" lang="pt-BR" sz="800" spc="-1" strike="noStrike">
              <a:latin typeface="Times New Roman"/>
            </a:endParaRPr>
          </a:p>
        </xdr:txBody>
      </xdr:sp>
    </xdr:grpSp>
    <xdr:clientData/>
  </xdr:twoCellAnchor>
  <xdr:twoCellAnchor editAs="twoCell">
    <xdr:from>
      <xdr:col>0</xdr:col>
      <xdr:colOff>550800</xdr:colOff>
      <xdr:row>12</xdr:row>
      <xdr:rowOff>30960</xdr:rowOff>
    </xdr:from>
    <xdr:to>
      <xdr:col>4</xdr:col>
      <xdr:colOff>486720</xdr:colOff>
      <xdr:row>20</xdr:row>
      <xdr:rowOff>19440</xdr:rowOff>
    </xdr:to>
    <xdr:sp>
      <xdr:nvSpPr>
        <xdr:cNvPr id="21" name="Retângulo: Cantos Arredondados 110"/>
        <xdr:cNvSpPr/>
      </xdr:nvSpPr>
      <xdr:spPr>
        <a:xfrm>
          <a:off x="550800" y="2964600"/>
          <a:ext cx="2862000" cy="1512720"/>
        </a:xfrm>
        <a:prstGeom prst="roundRect">
          <a:avLst>
            <a:gd name="adj" fmla="val 4493"/>
          </a:avLst>
        </a:prstGeom>
        <a:solidFill>
          <a:srgbClr val="f2f2f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199440</xdr:colOff>
      <xdr:row>12</xdr:row>
      <xdr:rowOff>25200</xdr:rowOff>
    </xdr:from>
    <xdr:to>
      <xdr:col>9</xdr:col>
      <xdr:colOff>135360</xdr:colOff>
      <xdr:row>20</xdr:row>
      <xdr:rowOff>13680</xdr:rowOff>
    </xdr:to>
    <xdr:sp>
      <xdr:nvSpPr>
        <xdr:cNvPr id="22" name="Retângulo: Cantos Arredondados 113"/>
        <xdr:cNvSpPr/>
      </xdr:nvSpPr>
      <xdr:spPr>
        <a:xfrm>
          <a:off x="3857040" y="2958840"/>
          <a:ext cx="2862000" cy="1512720"/>
        </a:xfrm>
        <a:prstGeom prst="roundRect">
          <a:avLst>
            <a:gd name="adj" fmla="val 4493"/>
          </a:avLst>
        </a:prstGeom>
        <a:solidFill>
          <a:srgbClr val="f2f2f2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93600</xdr:colOff>
      <xdr:row>12</xdr:row>
      <xdr:rowOff>101520</xdr:rowOff>
    </xdr:from>
    <xdr:to>
      <xdr:col>9</xdr:col>
      <xdr:colOff>30960</xdr:colOff>
      <xdr:row>15</xdr:row>
      <xdr:rowOff>55440</xdr:rowOff>
    </xdr:to>
    <xdr:sp>
      <xdr:nvSpPr>
        <xdr:cNvPr id="23" name="Retângulo: Cantos Arredondados 115"/>
        <xdr:cNvSpPr/>
      </xdr:nvSpPr>
      <xdr:spPr>
        <a:xfrm>
          <a:off x="5945760" y="3035160"/>
          <a:ext cx="668880" cy="525600"/>
        </a:xfrm>
        <a:prstGeom prst="roundRect">
          <a:avLst>
            <a:gd name="adj" fmla="val 11068"/>
          </a:avLst>
        </a:prstGeom>
        <a:solidFill>
          <a:srgbClr val="4f81bd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219240</xdr:colOff>
      <xdr:row>12</xdr:row>
      <xdr:rowOff>162000</xdr:rowOff>
    </xdr:from>
    <xdr:to>
      <xdr:col>8</xdr:col>
      <xdr:colOff>513360</xdr:colOff>
      <xdr:row>14</xdr:row>
      <xdr:rowOff>173160</xdr:rowOff>
    </xdr:to>
    <xdr:pic>
      <xdr:nvPicPr>
        <xdr:cNvPr id="24" name="Imagem 120" descr=""/>
        <xdr:cNvPicPr/>
      </xdr:nvPicPr>
      <xdr:blipFill>
        <a:blip r:embed="rId6"/>
        <a:stretch/>
      </xdr:blipFill>
      <xdr:spPr>
        <a:xfrm>
          <a:off x="6071400" y="3095640"/>
          <a:ext cx="294120" cy="3924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5</xdr:col>
      <xdr:colOff>324000</xdr:colOff>
      <xdr:row>12</xdr:row>
      <xdr:rowOff>85680</xdr:rowOff>
    </xdr:from>
    <xdr:to>
      <xdr:col>7</xdr:col>
      <xdr:colOff>84960</xdr:colOff>
      <xdr:row>13</xdr:row>
      <xdr:rowOff>158760</xdr:rowOff>
    </xdr:to>
    <xdr:sp>
      <xdr:nvSpPr>
        <xdr:cNvPr id="25" name="CaixaDeTexto 121"/>
        <xdr:cNvSpPr/>
      </xdr:nvSpPr>
      <xdr:spPr>
        <a:xfrm>
          <a:off x="3981600" y="3019320"/>
          <a:ext cx="1224000" cy="263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400" spc="-1" strike="noStrike">
              <a:solidFill>
                <a:schemeClr val="lt1">
                  <a:lumMod val="50000"/>
                </a:schemeClr>
              </a:solidFill>
              <a:latin typeface="Calibri"/>
            </a:rPr>
            <a:t>Qtd Exame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406440</xdr:colOff>
      <xdr:row>14</xdr:row>
      <xdr:rowOff>111240</xdr:rowOff>
    </xdr:from>
    <xdr:to>
      <xdr:col>7</xdr:col>
      <xdr:colOff>335880</xdr:colOff>
      <xdr:row>16</xdr:row>
      <xdr:rowOff>72000</xdr:rowOff>
    </xdr:to>
    <xdr:sp>
      <xdr:nvSpPr>
        <xdr:cNvPr id="26" name="CaixaDeTexto 31"/>
        <xdr:cNvSpPr/>
      </xdr:nvSpPr>
      <xdr:spPr>
        <a:xfrm>
          <a:off x="4064040" y="3426120"/>
          <a:ext cx="1392480" cy="341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2000" spc="-1" strike="noStrike">
              <a:solidFill>
                <a:srgbClr val="000000"/>
              </a:solidFill>
              <a:latin typeface="Calibri"/>
            </a:rPr>
            <a:t>105</a:t>
          </a:r>
          <a:endParaRPr b="0" lang="pt-BR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142920</xdr:colOff>
      <xdr:row>17</xdr:row>
      <xdr:rowOff>171360</xdr:rowOff>
    </xdr:from>
    <xdr:to>
      <xdr:col>9</xdr:col>
      <xdr:colOff>47520</xdr:colOff>
      <xdr:row>19</xdr:row>
      <xdr:rowOff>83160</xdr:rowOff>
    </xdr:to>
    <xdr:sp>
      <xdr:nvSpPr>
        <xdr:cNvPr id="27" name="CaixaDeTexto 123"/>
        <xdr:cNvSpPr/>
      </xdr:nvSpPr>
      <xdr:spPr>
        <a:xfrm>
          <a:off x="5263560" y="4057560"/>
          <a:ext cx="1367640" cy="292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800" spc="-1" strike="noStrike">
              <a:solidFill>
                <a:schemeClr val="lt1">
                  <a:lumMod val="50000"/>
                </a:schemeClr>
              </a:solidFill>
              <a:latin typeface="Calibri"/>
            </a:rPr>
            <a:t>Nos últimos 30 dias</a:t>
          </a:r>
          <a:endParaRPr b="0" lang="pt-BR" sz="8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542880</xdr:colOff>
      <xdr:row>9</xdr:row>
      <xdr:rowOff>9360</xdr:rowOff>
    </xdr:from>
    <xdr:to>
      <xdr:col>5</xdr:col>
      <xdr:colOff>13680</xdr:colOff>
      <xdr:row>10</xdr:row>
      <xdr:rowOff>118440</xdr:rowOff>
    </xdr:to>
    <xdr:sp>
      <xdr:nvSpPr>
        <xdr:cNvPr id="28" name="CaixaDeTexto 124"/>
        <xdr:cNvSpPr/>
      </xdr:nvSpPr>
      <xdr:spPr>
        <a:xfrm>
          <a:off x="2005920" y="2304720"/>
          <a:ext cx="1665360" cy="2998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800" spc="-1" strike="noStrike">
              <a:solidFill>
                <a:schemeClr val="lt1">
                  <a:lumMod val="50000"/>
                </a:schemeClr>
              </a:solidFill>
              <a:latin typeface="Calibri"/>
            </a:rPr>
            <a:t>Nos últimos 30 dias</a:t>
          </a:r>
          <a:endParaRPr b="0" lang="pt-BR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585000</xdr:colOff>
      <xdr:row>12</xdr:row>
      <xdr:rowOff>113760</xdr:rowOff>
    </xdr:from>
    <xdr:to>
      <xdr:col>3</xdr:col>
      <xdr:colOff>124920</xdr:colOff>
      <xdr:row>14</xdr:row>
      <xdr:rowOff>97200</xdr:rowOff>
    </xdr:to>
    <xdr:sp>
      <xdr:nvSpPr>
        <xdr:cNvPr id="29" name="CaixaDeTexto 125"/>
        <xdr:cNvSpPr/>
      </xdr:nvSpPr>
      <xdr:spPr>
        <a:xfrm>
          <a:off x="585000" y="3047400"/>
          <a:ext cx="1734480" cy="364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400" spc="-1" strike="noStrike">
              <a:solidFill>
                <a:schemeClr val="lt1">
                  <a:lumMod val="50000"/>
                </a:schemeClr>
              </a:solidFill>
              <a:latin typeface="Calibri"/>
            </a:rPr>
            <a:t>Realizado x Meta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433440</xdr:colOff>
      <xdr:row>12</xdr:row>
      <xdr:rowOff>139680</xdr:rowOff>
    </xdr:from>
    <xdr:to>
      <xdr:col>4</xdr:col>
      <xdr:colOff>370440</xdr:colOff>
      <xdr:row>15</xdr:row>
      <xdr:rowOff>93600</xdr:rowOff>
    </xdr:to>
    <xdr:sp>
      <xdr:nvSpPr>
        <xdr:cNvPr id="30" name="Retângulo: Cantos Arredondados 127"/>
        <xdr:cNvSpPr/>
      </xdr:nvSpPr>
      <xdr:spPr>
        <a:xfrm>
          <a:off x="2628000" y="3073320"/>
          <a:ext cx="668520" cy="525600"/>
        </a:xfrm>
        <a:prstGeom prst="roundRect">
          <a:avLst>
            <a:gd name="adj" fmla="val 11068"/>
          </a:avLst>
        </a:prstGeom>
        <a:solidFill>
          <a:srgbClr val="4f81bd"/>
        </a:solidFill>
        <a:ln w="254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534600</xdr:colOff>
      <xdr:row>12</xdr:row>
      <xdr:rowOff>160920</xdr:rowOff>
    </xdr:from>
    <xdr:to>
      <xdr:col>4</xdr:col>
      <xdr:colOff>317160</xdr:colOff>
      <xdr:row>15</xdr:row>
      <xdr:rowOff>3600</xdr:rowOff>
    </xdr:to>
    <xdr:pic>
      <xdr:nvPicPr>
        <xdr:cNvPr id="31" name="Imagem 128" descr=""/>
        <xdr:cNvPicPr/>
      </xdr:nvPicPr>
      <xdr:blipFill>
        <a:blip r:embed="rId7"/>
        <a:stretch/>
      </xdr:blipFill>
      <xdr:spPr>
        <a:xfrm>
          <a:off x="2729160" y="3094560"/>
          <a:ext cx="514080" cy="4143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596880</xdr:colOff>
      <xdr:row>14</xdr:row>
      <xdr:rowOff>188280</xdr:rowOff>
    </xdr:from>
    <xdr:to>
      <xdr:col>3</xdr:col>
      <xdr:colOff>184680</xdr:colOff>
      <xdr:row>17</xdr:row>
      <xdr:rowOff>89280</xdr:rowOff>
    </xdr:to>
    <xdr:sp>
      <xdr:nvSpPr>
        <xdr:cNvPr id="32" name="CaixaDeTexto 130"/>
        <xdr:cNvSpPr/>
      </xdr:nvSpPr>
      <xdr:spPr>
        <a:xfrm>
          <a:off x="596880" y="3503160"/>
          <a:ext cx="1782360" cy="4723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-R$ 229,89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600120</xdr:colOff>
      <xdr:row>18</xdr:row>
      <xdr:rowOff>38160</xdr:rowOff>
    </xdr:from>
    <xdr:to>
      <xdr:col>5</xdr:col>
      <xdr:colOff>70920</xdr:colOff>
      <xdr:row>19</xdr:row>
      <xdr:rowOff>147240</xdr:rowOff>
    </xdr:to>
    <xdr:sp>
      <xdr:nvSpPr>
        <xdr:cNvPr id="33" name="CaixaDeTexto 131"/>
        <xdr:cNvSpPr/>
      </xdr:nvSpPr>
      <xdr:spPr>
        <a:xfrm>
          <a:off x="2063160" y="4114800"/>
          <a:ext cx="1665360" cy="299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800" spc="-1" strike="noStrike">
              <a:solidFill>
                <a:schemeClr val="lt1">
                  <a:lumMod val="50000"/>
                </a:schemeClr>
              </a:solidFill>
              <a:latin typeface="Calibri"/>
            </a:rPr>
            <a:t>Nos últimos 30 dias</a:t>
          </a:r>
          <a:endParaRPr b="0" lang="pt-BR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210240</xdr:colOff>
      <xdr:row>22</xdr:row>
      <xdr:rowOff>9360</xdr:rowOff>
    </xdr:from>
    <xdr:to>
      <xdr:col>15</xdr:col>
      <xdr:colOff>427680</xdr:colOff>
      <xdr:row>41</xdr:row>
      <xdr:rowOff>151200</xdr:rowOff>
    </xdr:to>
    <xdr:grpSp>
      <xdr:nvGrpSpPr>
        <xdr:cNvPr id="34" name="Agrupar 7174"/>
        <xdr:cNvGrpSpPr/>
      </xdr:nvGrpSpPr>
      <xdr:grpSpPr>
        <a:xfrm>
          <a:off x="210240" y="4848120"/>
          <a:ext cx="11190240" cy="3761280"/>
          <a:chOff x="210240" y="4848120"/>
          <a:chExt cx="11190240" cy="3761280"/>
        </a:xfrm>
      </xdr:grpSpPr>
      <xdr:sp>
        <xdr:nvSpPr>
          <xdr:cNvPr id="35" name="CaixaDeTexto 135"/>
          <xdr:cNvSpPr/>
        </xdr:nvSpPr>
        <xdr:spPr>
          <a:xfrm>
            <a:off x="1405080" y="4848120"/>
            <a:ext cx="2574360" cy="41796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</a:pPr>
            <a:r>
              <a:rPr b="1" lang="pt-BR" sz="1100" spc="-1" strike="noStrike">
                <a:solidFill>
                  <a:schemeClr val="dk1"/>
                </a:solidFill>
                <a:latin typeface="Calibri"/>
              </a:rPr>
              <a:t>FATURAMENTO</a:t>
            </a:r>
            <a:endParaRPr b="0" lang="pt-BR" sz="1100" spc="-1" strike="noStrike">
              <a:latin typeface="Times New Roman"/>
            </a:endParaRPr>
          </a:p>
        </xdr:txBody>
      </xdr:sp>
      <xdr:sp>
        <xdr:nvSpPr>
          <xdr:cNvPr id="36" name="CaixaDeTexto 136"/>
          <xdr:cNvSpPr/>
        </xdr:nvSpPr>
        <xdr:spPr>
          <a:xfrm>
            <a:off x="3393000" y="5334120"/>
            <a:ext cx="1794600" cy="34344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 algn="ctr">
              <a:lnSpc>
                <a:spcPct val="100000"/>
              </a:lnSpc>
            </a:pPr>
            <a:r>
              <a:rPr b="0" lang="pt-BR" sz="800" spc="-1" strike="noStrike">
                <a:solidFill>
                  <a:schemeClr val="lt1">
                    <a:lumMod val="50000"/>
                  </a:schemeClr>
                </a:solidFill>
                <a:latin typeface="Calibri"/>
              </a:rPr>
              <a:t>Mês Atual</a:t>
            </a:r>
            <a:endParaRPr b="0" lang="pt-BR" sz="800" spc="-1" strike="noStrike">
              <a:latin typeface="Times New Roman"/>
            </a:endParaRPr>
          </a:p>
        </xdr:txBody>
      </xdr:sp>
      <xdr:sp>
        <xdr:nvSpPr>
          <xdr:cNvPr id="37" name="CaixaDeTexto 137"/>
          <xdr:cNvSpPr/>
        </xdr:nvSpPr>
        <xdr:spPr>
          <a:xfrm>
            <a:off x="1369800" y="5315040"/>
            <a:ext cx="1794600" cy="34344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 algn="ctr">
              <a:lnSpc>
                <a:spcPct val="100000"/>
              </a:lnSpc>
            </a:pPr>
            <a:r>
              <a:rPr b="0" lang="pt-BR" sz="800" spc="-1" strike="noStrike">
                <a:solidFill>
                  <a:schemeClr val="lt1">
                    <a:lumMod val="50000"/>
                  </a:schemeClr>
                </a:solidFill>
                <a:latin typeface="Calibri"/>
              </a:rPr>
              <a:t>Mês Anterior</a:t>
            </a:r>
            <a:endParaRPr b="0" lang="pt-BR" sz="800" spc="-1" strike="noStrike">
              <a:latin typeface="Times New Roman"/>
            </a:endParaRPr>
          </a:p>
        </xdr:txBody>
      </xdr:sp>
      <xdr:sp>
        <xdr:nvSpPr>
          <xdr:cNvPr id="38" name="CaixaDeTexto 138"/>
          <xdr:cNvSpPr/>
        </xdr:nvSpPr>
        <xdr:spPr>
          <a:xfrm>
            <a:off x="1446480" y="5541480"/>
            <a:ext cx="1949760" cy="5418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  <a:tabLst>
                <a:tab algn="l" pos="0"/>
              </a:tabLst>
            </a:pPr>
            <a:r>
              <a:rPr b="1" lang="en-US" sz="1600" spc="-1" strike="noStrike">
                <a:solidFill>
                  <a:srgbClr val="000000"/>
                </a:solidFill>
                <a:latin typeface="Calibri"/>
              </a:rPr>
              <a:t>R$ 19.349,74</a:t>
            </a:r>
            <a:endParaRPr b="0" lang="pt-BR" sz="1600" spc="-1" strike="noStrike">
              <a:latin typeface="Times New Roman"/>
            </a:endParaRPr>
          </a:p>
        </xdr:txBody>
      </xdr:sp>
      <xdr:sp>
        <xdr:nvSpPr>
          <xdr:cNvPr id="39" name="CaixaDeTexto 139"/>
          <xdr:cNvSpPr/>
        </xdr:nvSpPr>
        <xdr:spPr>
          <a:xfrm>
            <a:off x="3573000" y="5579640"/>
            <a:ext cx="1949760" cy="541800"/>
          </a:xfrm>
          <a:prstGeom prst="rect">
            <a:avLst/>
          </a:prstGeom>
          <a:noFill/>
          <a:ln w="0">
            <a:noFill/>
          </a:ln>
        </xdr:spPr>
        <xdr:style>
          <a:lnRef idx="0"/>
          <a:fillRef idx="0"/>
          <a:effectRef idx="0"/>
          <a:fontRef idx="minor"/>
        </xdr:style>
        <xdr:txBody>
          <a:bodyPr wrap="none" horzOverflow="clip" vertOverflow="clip" lIns="90000" rIns="90000" tIns="45000" bIns="45000" anchor="t">
            <a:noAutofit/>
          </a:bodyPr>
          <a:p>
            <a:pPr>
              <a:lnSpc>
                <a:spcPct val="100000"/>
              </a:lnSpc>
              <a:tabLst>
                <a:tab algn="l" pos="0"/>
              </a:tabLst>
            </a:pPr>
            <a:r>
              <a:rPr b="1" lang="en-US" sz="1600" spc="-1" strike="noStrike">
                <a:solidFill>
                  <a:srgbClr val="000000"/>
                </a:solidFill>
                <a:latin typeface="Calibri"/>
              </a:rPr>
              <a:t>R$ 17.074,85</a:t>
            </a:r>
            <a:endParaRPr b="0" lang="pt-BR" sz="1600" spc="-1" strike="noStrike">
              <a:latin typeface="Times New Roman"/>
            </a:endParaRPr>
          </a:p>
        </xdr:txBody>
      </xdr:sp>
      <xdr:graphicFrame>
        <xdr:nvGraphicFramePr>
          <xdr:cNvPr id="40" name="Gráfico 140"/>
          <xdr:cNvGraphicFramePr/>
        </xdr:nvGraphicFramePr>
        <xdr:xfrm>
          <a:off x="210240" y="6302160"/>
          <a:ext cx="11190240" cy="23072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>
        <xdr:nvSpPr>
          <xdr:cNvPr id="41" name="Elipse 141"/>
          <xdr:cNvSpPr/>
        </xdr:nvSpPr>
        <xdr:spPr>
          <a:xfrm>
            <a:off x="1388880" y="5659200"/>
            <a:ext cx="136440" cy="119520"/>
          </a:xfrm>
          <a:prstGeom prst="ellipse">
            <a:avLst/>
          </a:prstGeom>
          <a:solidFill>
            <a:srgbClr val="4f81bd"/>
          </a:solidFill>
          <a:ln w="254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>
        <xdr:nvSpPr>
          <xdr:cNvPr id="42" name="Elipse 142"/>
          <xdr:cNvSpPr/>
        </xdr:nvSpPr>
        <xdr:spPr>
          <a:xfrm>
            <a:off x="3368160" y="5655240"/>
            <a:ext cx="138240" cy="119520"/>
          </a:xfrm>
          <a:prstGeom prst="ellipse">
            <a:avLst/>
          </a:prstGeom>
          <a:solidFill>
            <a:srgbClr val="f79646"/>
          </a:solidFill>
          <a:ln w="254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548640</xdr:colOff>
      <xdr:row>1</xdr:row>
      <xdr:rowOff>127080</xdr:rowOff>
    </xdr:to>
    <xdr:pic>
      <xdr:nvPicPr>
        <xdr:cNvPr id="43" name="Imagem 41" descr=""/>
        <xdr:cNvPicPr/>
      </xdr:nvPicPr>
      <xdr:blipFill>
        <a:blip r:embed="rId9"/>
        <a:stretch/>
      </xdr:blipFill>
      <xdr:spPr>
        <a:xfrm>
          <a:off x="0" y="0"/>
          <a:ext cx="3474720" cy="898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281160</xdr:colOff>
      <xdr:row>8</xdr:row>
      <xdr:rowOff>47520</xdr:rowOff>
    </xdr:from>
    <xdr:to>
      <xdr:col>2</xdr:col>
      <xdr:colOff>294840</xdr:colOff>
      <xdr:row>10</xdr:row>
      <xdr:rowOff>51480</xdr:rowOff>
    </xdr:to>
    <xdr:pic>
      <xdr:nvPicPr>
        <xdr:cNvPr id="44" name="Imagem 67" descr=""/>
        <xdr:cNvPicPr/>
      </xdr:nvPicPr>
      <xdr:blipFill>
        <a:blip r:embed="rId10"/>
        <a:stretch/>
      </xdr:blipFill>
      <xdr:spPr>
        <a:xfrm>
          <a:off x="281160" y="2152440"/>
          <a:ext cx="1476720" cy="3852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147600</xdr:colOff>
      <xdr:row>8</xdr:row>
      <xdr:rowOff>33480</xdr:rowOff>
    </xdr:from>
    <xdr:to>
      <xdr:col>7</xdr:col>
      <xdr:colOff>161280</xdr:colOff>
      <xdr:row>10</xdr:row>
      <xdr:rowOff>42120</xdr:rowOff>
    </xdr:to>
    <xdr:pic>
      <xdr:nvPicPr>
        <xdr:cNvPr id="45" name="Imagem 106" descr=""/>
        <xdr:cNvPicPr/>
      </xdr:nvPicPr>
      <xdr:blipFill>
        <a:blip r:embed="rId11"/>
        <a:stretch/>
      </xdr:blipFill>
      <xdr:spPr>
        <a:xfrm>
          <a:off x="3805200" y="2138400"/>
          <a:ext cx="1476720" cy="389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147600</xdr:colOff>
      <xdr:row>17</xdr:row>
      <xdr:rowOff>19080</xdr:rowOff>
    </xdr:from>
    <xdr:to>
      <xdr:col>7</xdr:col>
      <xdr:colOff>161280</xdr:colOff>
      <xdr:row>19</xdr:row>
      <xdr:rowOff>23040</xdr:rowOff>
    </xdr:to>
    <xdr:pic>
      <xdr:nvPicPr>
        <xdr:cNvPr id="46" name="Imagem 122" descr=""/>
        <xdr:cNvPicPr/>
      </xdr:nvPicPr>
      <xdr:blipFill>
        <a:blip r:embed="rId12"/>
        <a:stretch/>
      </xdr:blipFill>
      <xdr:spPr>
        <a:xfrm>
          <a:off x="3805200" y="3905280"/>
          <a:ext cx="1476720" cy="3848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0</xdr:colOff>
      <xdr:row>17</xdr:row>
      <xdr:rowOff>28440</xdr:rowOff>
    </xdr:from>
    <xdr:to>
      <xdr:col>3</xdr:col>
      <xdr:colOff>13680</xdr:colOff>
      <xdr:row>19</xdr:row>
      <xdr:rowOff>32400</xdr:rowOff>
    </xdr:to>
    <xdr:pic>
      <xdr:nvPicPr>
        <xdr:cNvPr id="47" name="Imagem 129" descr=""/>
        <xdr:cNvPicPr/>
      </xdr:nvPicPr>
      <xdr:blipFill>
        <a:blip r:embed="rId13"/>
        <a:stretch/>
      </xdr:blipFill>
      <xdr:spPr>
        <a:xfrm>
          <a:off x="731520" y="3914640"/>
          <a:ext cx="1476720" cy="384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0</xdr:rowOff>
    </xdr:from>
    <xdr:to>
      <xdr:col>0</xdr:col>
      <xdr:colOff>1739520</xdr:colOff>
      <xdr:row>0</xdr:row>
      <xdr:rowOff>736560</xdr:rowOff>
    </xdr:to>
    <xdr:pic>
      <xdr:nvPicPr>
        <xdr:cNvPr id="48" name="Imagem 2" descr="logoexcel.fw.png"/>
        <xdr:cNvPicPr/>
      </xdr:nvPicPr>
      <xdr:blipFill>
        <a:blip r:embed="rId1"/>
        <a:stretch/>
      </xdr:blipFill>
      <xdr:spPr>
        <a:xfrm>
          <a:off x="9360" y="0"/>
          <a:ext cx="1730160" cy="7365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R2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M11" activeCellId="0" sqref="M11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8.43"/>
    <col collapsed="false" customWidth="true" hidden="false" outlineLevel="0" max="14" min="3" style="1" width="11.72"/>
    <col collapsed="false" customWidth="true" hidden="false" outlineLevel="0" max="15" min="15" style="1" width="12.72"/>
    <col collapsed="false" customWidth="true" hidden="false" outlineLevel="0" max="17" min="16" style="1" width="11.72"/>
    <col collapsed="false" customWidth="false" hidden="false" outlineLevel="0" max="16384" min="18" style="1" width="9.14"/>
  </cols>
  <sheetData>
    <row r="1" s="2" customFormat="true" ht="60.75" hidden="false" customHeight="true" outlineLevel="0" collapsed="false"/>
    <row r="2" s="3" customFormat="true" ht="14.25" hidden="false" customHeight="true" outlineLevel="0" collapsed="false">
      <c r="C2" s="4"/>
      <c r="D2" s="4"/>
    </row>
    <row r="5" customFormat="false" ht="27" hidden="false" customHeight="true" outlineLevel="0" collapsed="false">
      <c r="B5" s="5" t="s">
        <v>0</v>
      </c>
      <c r="C5" s="6" t="s">
        <v>1</v>
      </c>
      <c r="D5" s="7" t="s">
        <v>2</v>
      </c>
      <c r="E5" s="8" t="s">
        <v>3</v>
      </c>
      <c r="F5" s="9" t="s">
        <v>4</v>
      </c>
      <c r="G5" s="8" t="s">
        <v>5</v>
      </c>
      <c r="H5" s="9" t="s">
        <v>6</v>
      </c>
      <c r="I5" s="8" t="s">
        <v>7</v>
      </c>
      <c r="J5" s="9" t="s">
        <v>8</v>
      </c>
      <c r="K5" s="8" t="s">
        <v>9</v>
      </c>
      <c r="L5" s="8" t="s">
        <v>10</v>
      </c>
      <c r="M5" s="9" t="s">
        <v>11</v>
      </c>
      <c r="N5" s="8" t="s">
        <v>12</v>
      </c>
      <c r="O5" s="8" t="s">
        <v>13</v>
      </c>
    </row>
    <row r="6" customFormat="false" ht="19.5" hidden="false" customHeight="true" outlineLevel="0" collapsed="false">
      <c r="B6" s="10" t="s">
        <v>14</v>
      </c>
      <c r="C6" s="11" t="n">
        <v>0</v>
      </c>
      <c r="D6" s="12" t="n">
        <v>0</v>
      </c>
      <c r="E6" s="12" t="n">
        <v>0</v>
      </c>
      <c r="F6" s="12" t="n">
        <v>0</v>
      </c>
      <c r="G6" s="12" t="n">
        <v>0</v>
      </c>
      <c r="H6" s="12" t="n">
        <v>0</v>
      </c>
      <c r="I6" s="12" t="n">
        <v>0</v>
      </c>
      <c r="J6" s="12" t="n">
        <v>0</v>
      </c>
      <c r="K6" s="12" t="n">
        <v>0</v>
      </c>
      <c r="L6" s="12" t="n">
        <v>0</v>
      </c>
      <c r="M6" s="12" t="n">
        <v>0</v>
      </c>
      <c r="N6" s="12" t="n">
        <v>0</v>
      </c>
      <c r="O6" s="13" t="n">
        <f aca="false">SUM(C6:N6)</f>
        <v>0</v>
      </c>
    </row>
    <row r="7" customFormat="false" ht="19.5" hidden="false" customHeight="true" outlineLevel="0" collapsed="false">
      <c r="B7" s="14" t="s">
        <v>15</v>
      </c>
      <c r="C7" s="15" t="n">
        <f aca="false">'LIVRO CAIXA'!B6</f>
        <v>20491</v>
      </c>
      <c r="D7" s="15" t="n">
        <v>0</v>
      </c>
      <c r="E7" s="15" t="n">
        <f aca="false">'LIVRO CAIXA'!D6</f>
        <v>24778.27</v>
      </c>
      <c r="F7" s="15" t="n">
        <f aca="false">'LIVRO CAIXA'!E6</f>
        <v>18951.26</v>
      </c>
      <c r="G7" s="15" t="n">
        <f aca="false">'LIVRO CAIXA'!F6</f>
        <v>23712.83</v>
      </c>
      <c r="H7" s="15" t="n">
        <f aca="false">'LIVRO CAIXA'!G6</f>
        <v>20092.32</v>
      </c>
      <c r="I7" s="15" t="n">
        <f aca="false">'LIVRO CAIXA'!H6</f>
        <v>24959.52</v>
      </c>
      <c r="J7" s="15" t="n">
        <f aca="false">'LIVRO CAIXA'!I6</f>
        <v>29352.73</v>
      </c>
      <c r="K7" s="15" t="n">
        <f aca="false">'LIVRO CAIXA'!J6</f>
        <v>25984.02</v>
      </c>
      <c r="L7" s="15" t="n">
        <f aca="false">'LIVRO CAIXA'!K6</f>
        <v>23017.16</v>
      </c>
      <c r="M7" s="15" t="n">
        <f aca="false">'LIVRO CAIXA'!L6</f>
        <v>19268.14</v>
      </c>
      <c r="N7" s="15" t="n">
        <f aca="false">'LIVRO CAIXA'!M6</f>
        <v>21116.14</v>
      </c>
      <c r="O7" s="16" t="n">
        <f aca="false">SUM(C7:N7)</f>
        <v>251723.39</v>
      </c>
      <c r="Q7" s="17" t="n">
        <f aca="false">D7-C7</f>
        <v>-20491</v>
      </c>
      <c r="R7" s="18" t="n">
        <f aca="false">Q7*R8/Q8</f>
        <v>-1</v>
      </c>
    </row>
    <row r="8" customFormat="false" ht="19.5" hidden="false" customHeight="true" outlineLevel="0" collapsed="false">
      <c r="B8" s="19" t="s">
        <v>16</v>
      </c>
      <c r="C8" s="20" t="n">
        <f aca="false">'LIVRO CAIXA'!B10</f>
        <v>5890.5</v>
      </c>
      <c r="D8" s="20" t="n">
        <v>0</v>
      </c>
      <c r="E8" s="20" t="n">
        <f aca="false">'LIVRO CAIXA'!D10</f>
        <v>6603.63</v>
      </c>
      <c r="F8" s="20" t="n">
        <f aca="false">'LIVRO CAIXA'!E10</f>
        <v>7353.07</v>
      </c>
      <c r="G8" s="20" t="n">
        <f aca="false">'LIVRO CAIXA'!F10</f>
        <v>6120.63</v>
      </c>
      <c r="H8" s="20" t="n">
        <f aca="false">'LIVRO CAIXA'!G10</f>
        <v>3051.39</v>
      </c>
      <c r="I8" s="20" t="n">
        <f aca="false">'LIVRO CAIXA'!H10</f>
        <v>3144.38</v>
      </c>
      <c r="J8" s="20" t="n">
        <f aca="false">'LIVRO CAIXA'!I10</f>
        <v>2780.63</v>
      </c>
      <c r="K8" s="20" t="n">
        <f aca="false">'LIVRO CAIXA'!J10</f>
        <v>2080</v>
      </c>
      <c r="L8" s="20" t="n">
        <f aca="false">'LIVRO CAIXA'!K10</f>
        <v>2278</v>
      </c>
      <c r="M8" s="20" t="n">
        <f aca="false">'LIVRO CAIXA'!L10</f>
        <v>1855</v>
      </c>
      <c r="N8" s="20" t="n">
        <f aca="false">'LIVRO CAIXA'!M10</f>
        <v>2502.2</v>
      </c>
      <c r="O8" s="13" t="n">
        <f aca="false">SUM(C8:N8)</f>
        <v>43659.43</v>
      </c>
      <c r="P8" s="21"/>
      <c r="Q8" s="17" t="n">
        <f aca="false">C7</f>
        <v>20491</v>
      </c>
      <c r="R8" s="22" t="n">
        <v>1</v>
      </c>
    </row>
    <row r="9" customFormat="false" ht="18.75" hidden="false" customHeight="true" outlineLevel="0" collapsed="false">
      <c r="B9" s="5" t="s">
        <v>17</v>
      </c>
      <c r="C9" s="23" t="n">
        <f aca="false">C7-C8</f>
        <v>14600.5</v>
      </c>
      <c r="D9" s="24" t="n">
        <f aca="false">D7-D8</f>
        <v>0</v>
      </c>
      <c r="E9" s="25" t="n">
        <f aca="false">E7-E8</f>
        <v>18174.64</v>
      </c>
      <c r="F9" s="26" t="n">
        <f aca="false">F7-F8</f>
        <v>11598.19</v>
      </c>
      <c r="G9" s="25" t="n">
        <f aca="false">G7-G8</f>
        <v>17592.2</v>
      </c>
      <c r="H9" s="26" t="n">
        <f aca="false">H7-H8</f>
        <v>17040.93</v>
      </c>
      <c r="I9" s="25" t="n">
        <f aca="false">I7-I8</f>
        <v>21815.14</v>
      </c>
      <c r="J9" s="26" t="n">
        <f aca="false">J7-J8</f>
        <v>26572.1</v>
      </c>
      <c r="K9" s="25" t="n">
        <f aca="false">K7-K8</f>
        <v>23904.02</v>
      </c>
      <c r="L9" s="25" t="n">
        <f aca="false">L7-L8</f>
        <v>20739.16</v>
      </c>
      <c r="M9" s="26" t="n">
        <f aca="false">M7-M8</f>
        <v>17413.14</v>
      </c>
      <c r="N9" s="25" t="n">
        <f aca="false">N7-N8</f>
        <v>18613.94</v>
      </c>
      <c r="O9" s="25" t="n">
        <f aca="false">O7-O8</f>
        <v>208063.96</v>
      </c>
    </row>
    <row r="10" customFormat="false" ht="19.5" hidden="false" customHeight="true" outlineLevel="0" collapsed="false">
      <c r="B10" s="8" t="s">
        <v>18</v>
      </c>
      <c r="C10" s="27" t="n">
        <f aca="false">C9+C6</f>
        <v>14600.5</v>
      </c>
      <c r="D10" s="28" t="n">
        <f aca="false">D9+D6</f>
        <v>0</v>
      </c>
      <c r="E10" s="29" t="n">
        <f aca="false">E9+E6</f>
        <v>18174.64</v>
      </c>
      <c r="F10" s="30" t="n">
        <f aca="false">F9+F6</f>
        <v>11598.19</v>
      </c>
      <c r="G10" s="29" t="n">
        <f aca="false">G9+G6</f>
        <v>17592.2</v>
      </c>
      <c r="H10" s="30" t="n">
        <f aca="false">H9+H6</f>
        <v>17040.93</v>
      </c>
      <c r="I10" s="29" t="n">
        <f aca="false">I9+I6</f>
        <v>21815.14</v>
      </c>
      <c r="J10" s="30" t="n">
        <f aca="false">J9+J6</f>
        <v>26572.1</v>
      </c>
      <c r="K10" s="29" t="n">
        <f aca="false">K9+K6</f>
        <v>23904.02</v>
      </c>
      <c r="L10" s="29" t="n">
        <f aca="false">L9+L6</f>
        <v>20739.16</v>
      </c>
      <c r="M10" s="30" t="n">
        <f aca="false">M9+M6</f>
        <v>17413.14</v>
      </c>
      <c r="N10" s="29" t="n">
        <f aca="false">N9+N6</f>
        <v>18613.94</v>
      </c>
      <c r="O10" s="29" t="n">
        <f aca="false">O9+O6</f>
        <v>208063.96</v>
      </c>
    </row>
    <row r="11" customFormat="false" ht="19.5" hidden="false" customHeight="true" outlineLevel="0" collapsed="false">
      <c r="B11" s="5" t="s">
        <v>19</v>
      </c>
      <c r="C11" s="31" t="n">
        <f aca="false">C9*100%/C7</f>
        <v>0.712532331267386</v>
      </c>
      <c r="D11" s="32" t="e">
        <f aca="false">D9*100%/D7</f>
        <v>#DIV/0!</v>
      </c>
      <c r="E11" s="33" t="n">
        <f aca="false">E9*100%/E7</f>
        <v>0.733491079078564</v>
      </c>
      <c r="F11" s="32" t="n">
        <f aca="false">F9*100%/F7</f>
        <v>0.612000996239828</v>
      </c>
      <c r="G11" s="33" t="n">
        <f aca="false">G9*100%/G7</f>
        <v>0.741885300067516</v>
      </c>
      <c r="H11" s="32" t="n">
        <f aca="false">H9*100%/H7</f>
        <v>0.848131524881149</v>
      </c>
      <c r="I11" s="33" t="n">
        <f aca="false">I9*100%/I7</f>
        <v>0.874020814502843</v>
      </c>
      <c r="J11" s="32" t="n">
        <f aca="false">J9*100%/J7</f>
        <v>0.905268436700777</v>
      </c>
      <c r="K11" s="33" t="n">
        <f aca="false">K9*100%/K7</f>
        <v>0.91995080053048</v>
      </c>
      <c r="L11" s="33" t="n">
        <f aca="false">L9*100%/L7</f>
        <v>0.901030361695361</v>
      </c>
      <c r="M11" s="32" t="n">
        <f aca="false">M9*100%/M7</f>
        <v>0.903727085229815</v>
      </c>
      <c r="N11" s="33" t="n">
        <f aca="false">N9*100%/N7</f>
        <v>0.881502964083398</v>
      </c>
      <c r="O11" s="33" t="n">
        <f aca="false">O9*100%/O7</f>
        <v>0.826557913430294</v>
      </c>
    </row>
    <row r="12" customFormat="false" ht="15" hidden="false" customHeight="false" outlineLevel="0" collapsed="false">
      <c r="I12" s="34"/>
      <c r="K12" s="34"/>
      <c r="L12" s="34"/>
      <c r="N12" s="34"/>
      <c r="O12" s="34"/>
    </row>
    <row r="13" customFormat="false" ht="15" hidden="false" customHeight="false" outlineLevel="0" collapsed="false">
      <c r="C13" s="35"/>
      <c r="D13" s="35"/>
      <c r="I13" s="34"/>
      <c r="K13" s="34"/>
      <c r="L13" s="34"/>
      <c r="N13" s="34"/>
      <c r="O13" s="34"/>
    </row>
    <row r="14" customFormat="false" ht="15" hidden="false" customHeight="false" outlineLevel="0" collapsed="false">
      <c r="C14" s="36"/>
      <c r="D14" s="37"/>
      <c r="I14" s="34"/>
      <c r="K14" s="34"/>
      <c r="L14" s="34"/>
      <c r="N14" s="34"/>
      <c r="O14" s="34"/>
    </row>
    <row r="15" customFormat="false" ht="15" hidden="false" customHeight="false" outlineLevel="0" collapsed="false">
      <c r="B15" s="38" t="s">
        <v>20</v>
      </c>
      <c r="I15" s="34"/>
      <c r="K15" s="34"/>
      <c r="L15" s="34"/>
      <c r="N15" s="34"/>
      <c r="O15" s="34"/>
    </row>
    <row r="16" customFormat="false" ht="19.5" hidden="false" customHeight="true" outlineLevel="0" collapsed="false">
      <c r="B16" s="39" t="s">
        <v>21</v>
      </c>
      <c r="C16" s="40"/>
      <c r="D16" s="41"/>
      <c r="E16" s="40"/>
      <c r="F16" s="41"/>
      <c r="G16" s="40"/>
      <c r="H16" s="41"/>
      <c r="I16" s="42"/>
      <c r="J16" s="41"/>
      <c r="K16" s="42"/>
      <c r="L16" s="42"/>
      <c r="M16" s="41"/>
      <c r="N16" s="42"/>
      <c r="O16" s="42"/>
    </row>
    <row r="17" customFormat="false" ht="19.5" hidden="false" customHeight="true" outlineLevel="0" collapsed="false">
      <c r="B17" s="43" t="s">
        <v>22</v>
      </c>
      <c r="C17" s="44"/>
      <c r="D17" s="45"/>
      <c r="E17" s="44"/>
      <c r="F17" s="45"/>
      <c r="G17" s="44"/>
      <c r="H17" s="45"/>
      <c r="I17" s="44"/>
      <c r="J17" s="45"/>
      <c r="K17" s="44"/>
      <c r="L17" s="44"/>
      <c r="M17" s="45"/>
      <c r="N17" s="44"/>
      <c r="O17" s="44"/>
    </row>
    <row r="18" customFormat="false" ht="19.5" hidden="false" customHeight="true" outlineLevel="0" collapsed="false">
      <c r="B18" s="46" t="s">
        <v>23</v>
      </c>
      <c r="C18" s="47"/>
      <c r="D18" s="41"/>
      <c r="E18" s="47"/>
      <c r="F18" s="41"/>
      <c r="G18" s="42"/>
      <c r="H18" s="41"/>
      <c r="I18" s="42"/>
      <c r="J18" s="41"/>
      <c r="K18" s="47"/>
      <c r="L18" s="42"/>
      <c r="M18" s="41"/>
      <c r="N18" s="47"/>
      <c r="O18" s="42"/>
    </row>
    <row r="19" customFormat="false" ht="15" hidden="false" customHeight="false" outlineLevel="0" collapsed="false">
      <c r="G19" s="48"/>
      <c r="I19" s="34"/>
    </row>
    <row r="20" customFormat="false" ht="15" hidden="false" customHeight="false" outlineLevel="0" collapsed="false">
      <c r="I20" s="48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G4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8.3046875" defaultRowHeight="15" zeroHeight="false" outlineLevelRow="0" outlineLevelCol="0"/>
  <cols>
    <col collapsed="false" customWidth="true" hidden="false" outlineLevel="0" max="7" min="7" style="201" width="17"/>
    <col collapsed="false" customWidth="true" hidden="false" outlineLevel="0" max="8" min="8" style="201" width="13.3"/>
  </cols>
  <sheetData>
    <row r="4" customFormat="false" ht="15" hidden="false" customHeight="false" outlineLevel="0" collapsed="false">
      <c r="G4" s="201" t="s">
        <v>204</v>
      </c>
      <c r="H4" s="202" t="n">
        <v>5600</v>
      </c>
    </row>
    <row r="5" customFormat="false" ht="15" hidden="false" customHeight="false" outlineLevel="0" collapsed="false">
      <c r="G5" s="201" t="s">
        <v>205</v>
      </c>
      <c r="H5" s="202" t="n">
        <v>600</v>
      </c>
    </row>
    <row r="6" customFormat="false" ht="15" hidden="false" customHeight="false" outlineLevel="0" collapsed="false">
      <c r="G6" s="201" t="s">
        <v>206</v>
      </c>
      <c r="H6" s="202" t="n">
        <v>7562.4</v>
      </c>
    </row>
    <row r="8" customFormat="false" ht="15" hidden="false" customHeight="false" outlineLevel="0" collapsed="false">
      <c r="H8" s="202" t="n">
        <f aca="false">SUM(H4:H6)</f>
        <v>13762.4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15" activeCellId="0" sqref="A15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2.43"/>
    <col collapsed="false" customWidth="true" hidden="false" outlineLevel="0" max="13" min="3" style="1" width="11.72"/>
    <col collapsed="false" customWidth="true" hidden="false" outlineLevel="0" max="14" min="14" style="1" width="12.43"/>
    <col collapsed="false" customWidth="false" hidden="false" outlineLevel="0" max="16384" min="15" style="1" width="9.14"/>
  </cols>
  <sheetData>
    <row r="1" s="2" customFormat="true" ht="60.75" hidden="false" customHeight="true" outlineLevel="0" collapsed="false"/>
    <row r="2" s="3" customFormat="true" ht="14.25" hidden="false" customHeight="true" outlineLevel="0" collapsed="false"/>
    <row r="3" customFormat="false" ht="42" hidden="false" customHeight="true" outlineLevel="0" collapsed="false">
      <c r="A3" s="49" t="s">
        <v>24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customFormat="false" ht="15" hidden="false" customHeight="false" outlineLevel="0" collapsed="false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</row>
    <row r="5" customFormat="false" ht="15" hidden="false" customHeight="true" outlineLevel="0" collapsed="false">
      <c r="A5" s="50" t="s">
        <v>25</v>
      </c>
      <c r="B5" s="51" t="s">
        <v>1</v>
      </c>
      <c r="C5" s="52" t="s">
        <v>2</v>
      </c>
      <c r="D5" s="53" t="s">
        <v>3</v>
      </c>
      <c r="E5" s="54" t="s">
        <v>4</v>
      </c>
      <c r="F5" s="53" t="s">
        <v>5</v>
      </c>
      <c r="G5" s="54" t="s">
        <v>6</v>
      </c>
      <c r="H5" s="53" t="s">
        <v>7</v>
      </c>
      <c r="I5" s="54" t="s">
        <v>8</v>
      </c>
      <c r="J5" s="53" t="s">
        <v>9</v>
      </c>
      <c r="K5" s="53" t="s">
        <v>10</v>
      </c>
      <c r="L5" s="54" t="s">
        <v>11</v>
      </c>
      <c r="M5" s="53" t="s">
        <v>12</v>
      </c>
      <c r="N5" s="53" t="s">
        <v>13</v>
      </c>
    </row>
    <row r="6" customFormat="false" ht="20.25" hidden="false" customHeight="true" outlineLevel="0" collapsed="false">
      <c r="A6" s="50" t="s">
        <v>15</v>
      </c>
      <c r="B6" s="55" t="n">
        <f aca="false">SUM(B7:B9)</f>
        <v>20491</v>
      </c>
      <c r="C6" s="55" t="n">
        <f aca="false">SUM(C7:C9)</f>
        <v>21280.56</v>
      </c>
      <c r="D6" s="55" t="n">
        <f aca="false">SUM(D7:D9)</f>
        <v>24778.27</v>
      </c>
      <c r="E6" s="55" t="n">
        <f aca="false">SUM(E7:E9)</f>
        <v>18951.26</v>
      </c>
      <c r="F6" s="55" t="n">
        <f aca="false">SUM(F7:F9)</f>
        <v>23712.83</v>
      </c>
      <c r="G6" s="55" t="n">
        <f aca="false">SUM(G7:G9)</f>
        <v>20092.32</v>
      </c>
      <c r="H6" s="55" t="n">
        <f aca="false">SUM(H7:H9)</f>
        <v>24959.52</v>
      </c>
      <c r="I6" s="55" t="n">
        <f aca="false">SUM(I7:I9)</f>
        <v>29352.73</v>
      </c>
      <c r="J6" s="55" t="n">
        <f aca="false">SUM(J7:J9)</f>
        <v>25984.02</v>
      </c>
      <c r="K6" s="55" t="n">
        <f aca="false">SUM(K7:K9)</f>
        <v>23017.16</v>
      </c>
      <c r="L6" s="55" t="n">
        <f aca="false">SUM(L7:L9)</f>
        <v>19268.14</v>
      </c>
      <c r="M6" s="55" t="n">
        <f aca="false">SUM(M7:M9)</f>
        <v>21116.14</v>
      </c>
      <c r="N6" s="13" t="n">
        <f aca="false">SUM(B6:M6)</f>
        <v>273003.95</v>
      </c>
    </row>
    <row r="7" customFormat="false" ht="19.5" hidden="false" customHeight="true" outlineLevel="0" collapsed="false">
      <c r="A7" s="50" t="s">
        <v>26</v>
      </c>
      <c r="B7" s="11" t="n">
        <v>2367</v>
      </c>
      <c r="C7" s="11" t="n">
        <v>3422.8</v>
      </c>
      <c r="D7" s="11" t="n">
        <v>1420.37</v>
      </c>
      <c r="E7" s="11" t="n">
        <v>957.83</v>
      </c>
      <c r="F7" s="11" t="n">
        <v>2343.9</v>
      </c>
      <c r="G7" s="11" t="n">
        <v>1347.5</v>
      </c>
      <c r="H7" s="11" t="n">
        <v>820.73</v>
      </c>
      <c r="I7" s="11" t="n">
        <v>3451.3</v>
      </c>
      <c r="J7" s="11" t="n">
        <v>4273.81</v>
      </c>
      <c r="K7" s="11" t="n">
        <v>1267.42</v>
      </c>
      <c r="L7" s="11" t="n">
        <v>2589.29</v>
      </c>
      <c r="M7" s="11" t="n">
        <v>2326.72</v>
      </c>
      <c r="N7" s="13" t="n">
        <f aca="false">SUM(B7:M7)</f>
        <v>26588.67</v>
      </c>
    </row>
    <row r="8" customFormat="false" ht="19.5" hidden="false" customHeight="true" outlineLevel="0" collapsed="false">
      <c r="A8" s="50" t="s">
        <v>27</v>
      </c>
      <c r="B8" s="11" t="n">
        <v>16324</v>
      </c>
      <c r="C8" s="11" t="n">
        <v>15457.76</v>
      </c>
      <c r="D8" s="11" t="n">
        <v>21557.9</v>
      </c>
      <c r="E8" s="11" t="n">
        <v>16793.43</v>
      </c>
      <c r="F8" s="11" t="n">
        <v>20768.93</v>
      </c>
      <c r="G8" s="11" t="n">
        <v>17544.82</v>
      </c>
      <c r="H8" s="11" t="n">
        <v>21738.79</v>
      </c>
      <c r="I8" s="11" t="n">
        <v>22901.43</v>
      </c>
      <c r="J8" s="11" t="n">
        <v>19910.21</v>
      </c>
      <c r="K8" s="11" t="n">
        <v>19349.74</v>
      </c>
      <c r="L8" s="11" t="n">
        <v>14278.85</v>
      </c>
      <c r="M8" s="11" t="n">
        <v>17589.42</v>
      </c>
      <c r="N8" s="13" t="n">
        <f aca="false">SUM(B8:M8)</f>
        <v>224215.28</v>
      </c>
    </row>
    <row r="9" customFormat="false" ht="19.5" hidden="false" customHeight="true" outlineLevel="0" collapsed="false">
      <c r="A9" s="50" t="s">
        <v>28</v>
      </c>
      <c r="B9" s="11" t="n">
        <v>1800</v>
      </c>
      <c r="C9" s="11" t="n">
        <v>2400</v>
      </c>
      <c r="D9" s="11" t="n">
        <v>1800</v>
      </c>
      <c r="E9" s="11" t="n">
        <v>1200</v>
      </c>
      <c r="F9" s="11" t="n">
        <v>600</v>
      </c>
      <c r="G9" s="11" t="n">
        <v>1200</v>
      </c>
      <c r="H9" s="11" t="n">
        <v>2400</v>
      </c>
      <c r="I9" s="11" t="n">
        <v>3000</v>
      </c>
      <c r="J9" s="11" t="n">
        <v>1800</v>
      </c>
      <c r="K9" s="11" t="n">
        <v>2400</v>
      </c>
      <c r="L9" s="11" t="n">
        <v>2400</v>
      </c>
      <c r="M9" s="11" t="n">
        <v>1200</v>
      </c>
      <c r="N9" s="13" t="n">
        <f aca="false">SUM(B9:M9)</f>
        <v>22200</v>
      </c>
    </row>
    <row r="10" customFormat="false" ht="19.5" hidden="false" customHeight="true" outlineLevel="0" collapsed="false">
      <c r="A10" s="50" t="s">
        <v>29</v>
      </c>
      <c r="B10" s="56" t="n">
        <f aca="false">SUM(B11:B25)</f>
        <v>5890.5</v>
      </c>
      <c r="C10" s="56" t="n">
        <f aca="false">SUM(C11:C24)</f>
        <v>5858.21</v>
      </c>
      <c r="D10" s="56" t="n">
        <f aca="false">SUM(D11:D24)</f>
        <v>6603.63</v>
      </c>
      <c r="E10" s="56" t="n">
        <f aca="false">SUM(E11:E24)</f>
        <v>7353.07</v>
      </c>
      <c r="F10" s="56" t="n">
        <f aca="false">SUM(F11:F24)</f>
        <v>6120.63</v>
      </c>
      <c r="G10" s="56" t="n">
        <f aca="false">SUM(G11:G24)</f>
        <v>3051.39</v>
      </c>
      <c r="H10" s="56" t="n">
        <f aca="false">SUM(H11:H24)</f>
        <v>3144.38</v>
      </c>
      <c r="I10" s="56" t="n">
        <f aca="false">SUM(I11:I24)</f>
        <v>2780.63</v>
      </c>
      <c r="J10" s="56" t="n">
        <f aca="false">SUM(J11:J24)</f>
        <v>2080</v>
      </c>
      <c r="K10" s="56" t="n">
        <f aca="false">SUM(K11:K24)</f>
        <v>2278</v>
      </c>
      <c r="L10" s="56" t="n">
        <f aca="false">SUM(L11:L24)</f>
        <v>1855</v>
      </c>
      <c r="M10" s="56" t="n">
        <f aca="false">SUM(M11:M24)</f>
        <v>2502.2</v>
      </c>
      <c r="N10" s="13" t="n">
        <f aca="false">SUM(B10:M10)</f>
        <v>49517.64</v>
      </c>
    </row>
    <row r="11" customFormat="false" ht="19.5" hidden="false" customHeight="true" outlineLevel="0" collapsed="false">
      <c r="A11" s="50" t="s">
        <v>30</v>
      </c>
      <c r="B11" s="11" t="n">
        <f aca="false">930.5+400</f>
        <v>1330.5</v>
      </c>
      <c r="C11" s="11" t="n">
        <v>495.9</v>
      </c>
      <c r="D11" s="11" t="n">
        <v>850</v>
      </c>
      <c r="E11" s="11" t="n">
        <f aca="false">756.4+600</f>
        <v>1356.4</v>
      </c>
      <c r="F11" s="11" t="n">
        <v>1931</v>
      </c>
      <c r="G11" s="11" t="n">
        <v>896</v>
      </c>
      <c r="H11" s="11" t="n">
        <v>935</v>
      </c>
      <c r="I11" s="11" t="n">
        <v>825</v>
      </c>
      <c r="J11" s="11" t="n">
        <v>755</v>
      </c>
      <c r="K11" s="11" t="n">
        <v>953</v>
      </c>
      <c r="L11" s="11" t="n">
        <v>530</v>
      </c>
      <c r="M11" s="11" t="n">
        <v>0</v>
      </c>
      <c r="N11" s="13" t="n">
        <f aca="false">SUM(B11:M11)</f>
        <v>10857.8</v>
      </c>
    </row>
    <row r="12" customFormat="false" ht="19.5" hidden="false" customHeight="true" outlineLevel="0" collapsed="false">
      <c r="A12" s="50" t="s">
        <v>31</v>
      </c>
      <c r="B12" s="11" t="n">
        <v>42</v>
      </c>
      <c r="C12" s="11" t="n">
        <v>42</v>
      </c>
      <c r="D12" s="11" t="n">
        <v>42</v>
      </c>
      <c r="E12" s="11" t="n">
        <v>42</v>
      </c>
      <c r="F12" s="11" t="n">
        <v>45</v>
      </c>
      <c r="G12" s="11" t="n">
        <v>50.58</v>
      </c>
      <c r="H12" s="11" t="n">
        <v>50.75</v>
      </c>
      <c r="I12" s="11" t="n">
        <v>50</v>
      </c>
      <c r="J12" s="11" t="n">
        <v>42</v>
      </c>
      <c r="K12" s="11" t="n">
        <v>42</v>
      </c>
      <c r="L12" s="11" t="n">
        <v>42</v>
      </c>
      <c r="M12" s="11" t="n">
        <v>42</v>
      </c>
      <c r="N12" s="13" t="n">
        <f aca="false">SUM(B12:M12)</f>
        <v>532.33</v>
      </c>
    </row>
    <row r="13" customFormat="false" ht="19.5" hidden="false" customHeight="true" outlineLevel="0" collapsed="false">
      <c r="A13" s="50" t="s">
        <v>32</v>
      </c>
      <c r="B13" s="11" t="n">
        <v>1200</v>
      </c>
      <c r="C13" s="11" t="n">
        <v>1200</v>
      </c>
      <c r="D13" s="11" t="n">
        <v>1200</v>
      </c>
      <c r="E13" s="11" t="n">
        <v>1200</v>
      </c>
      <c r="F13" s="11" t="n">
        <v>1200</v>
      </c>
      <c r="G13" s="11" t="n">
        <v>1200</v>
      </c>
      <c r="H13" s="11" t="n">
        <v>1200</v>
      </c>
      <c r="I13" s="11" t="n">
        <v>1200</v>
      </c>
      <c r="J13" s="11" t="n">
        <v>1200</v>
      </c>
      <c r="K13" s="11" t="n">
        <v>1200</v>
      </c>
      <c r="L13" s="11" t="n">
        <v>1200</v>
      </c>
      <c r="M13" s="11" t="n">
        <v>1200</v>
      </c>
      <c r="N13" s="13" t="n">
        <f aca="false">SUM(B13:M13)</f>
        <v>14400</v>
      </c>
    </row>
    <row r="14" customFormat="false" ht="19.5" hidden="false" customHeight="true" outlineLevel="0" collapsed="false">
      <c r="A14" s="50" t="s">
        <v>33</v>
      </c>
      <c r="B14" s="11" t="n">
        <v>157</v>
      </c>
      <c r="C14" s="11" t="n">
        <v>141.31</v>
      </c>
      <c r="D14" s="11" t="n">
        <v>172</v>
      </c>
      <c r="E14" s="11" t="n">
        <v>192.37</v>
      </c>
      <c r="F14" s="11" t="n">
        <v>35</v>
      </c>
      <c r="G14" s="11" t="n">
        <v>159.18</v>
      </c>
      <c r="H14" s="11" t="n">
        <v>140</v>
      </c>
      <c r="I14" s="11" t="n">
        <v>160</v>
      </c>
      <c r="J14" s="11" t="n">
        <v>0</v>
      </c>
      <c r="K14" s="11" t="n">
        <v>0</v>
      </c>
      <c r="L14" s="11" t="n">
        <v>0</v>
      </c>
      <c r="M14" s="11" t="n">
        <v>0</v>
      </c>
      <c r="N14" s="13" t="n">
        <f aca="false">SUM(B14:M14)</f>
        <v>1156.86</v>
      </c>
    </row>
    <row r="15" customFormat="false" ht="19.5" hidden="false" customHeight="true" outlineLevel="0" collapsed="false">
      <c r="A15" s="50" t="s">
        <v>34</v>
      </c>
      <c r="B15" s="11" t="n">
        <v>83</v>
      </c>
      <c r="C15" s="11" t="n">
        <v>83</v>
      </c>
      <c r="D15" s="11" t="n">
        <v>83</v>
      </c>
      <c r="E15" s="11" t="n">
        <v>83</v>
      </c>
      <c r="F15" s="11" t="n">
        <v>85</v>
      </c>
      <c r="G15" s="11" t="n">
        <v>83</v>
      </c>
      <c r="H15" s="11" t="n">
        <v>83</v>
      </c>
      <c r="I15" s="11" t="n">
        <v>83</v>
      </c>
      <c r="J15" s="11" t="n">
        <v>83</v>
      </c>
      <c r="K15" s="11" t="n">
        <v>83</v>
      </c>
      <c r="L15" s="11" t="n">
        <v>83</v>
      </c>
      <c r="M15" s="11" t="n">
        <v>83</v>
      </c>
      <c r="N15" s="13" t="n">
        <f aca="false">SUM(B15:M15)</f>
        <v>998</v>
      </c>
    </row>
    <row r="16" customFormat="false" ht="19.5" hidden="false" customHeight="true" outlineLevel="0" collapsed="false">
      <c r="A16" s="50" t="s">
        <v>35</v>
      </c>
      <c r="B16" s="11" t="n">
        <v>447</v>
      </c>
      <c r="C16" s="11" t="n">
        <v>0</v>
      </c>
      <c r="D16" s="11" t="n">
        <v>0</v>
      </c>
      <c r="E16" s="11" t="n">
        <v>0</v>
      </c>
      <c r="F16" s="11" t="n">
        <v>0</v>
      </c>
      <c r="G16" s="11" t="n">
        <v>0</v>
      </c>
      <c r="H16" s="11" t="n">
        <v>0</v>
      </c>
      <c r="I16" s="11" t="n">
        <v>0</v>
      </c>
      <c r="J16" s="11" t="n">
        <v>0</v>
      </c>
      <c r="K16" s="11" t="n">
        <v>0</v>
      </c>
      <c r="L16" s="11" t="n">
        <v>0</v>
      </c>
      <c r="M16" s="11" t="n">
        <v>0</v>
      </c>
      <c r="N16" s="13" t="n">
        <f aca="false">SUM(B16:M16)</f>
        <v>447</v>
      </c>
    </row>
    <row r="17" customFormat="false" ht="19.5" hidden="false" customHeight="true" outlineLevel="0" collapsed="false">
      <c r="A17" s="50" t="s">
        <v>36</v>
      </c>
      <c r="B17" s="11" t="n">
        <v>90</v>
      </c>
      <c r="C17" s="11" t="n">
        <v>10</v>
      </c>
      <c r="D17" s="11" t="n">
        <v>0</v>
      </c>
      <c r="E17" s="11" t="n">
        <v>2400</v>
      </c>
      <c r="F17" s="11" t="n">
        <v>0</v>
      </c>
      <c r="G17" s="11" t="n">
        <v>0</v>
      </c>
      <c r="H17" s="11" t="n">
        <v>0</v>
      </c>
      <c r="I17" s="11" t="n">
        <v>0</v>
      </c>
      <c r="J17" s="11" t="n">
        <v>0</v>
      </c>
      <c r="K17" s="11" t="n">
        <v>0</v>
      </c>
      <c r="L17" s="11" t="n">
        <v>0</v>
      </c>
      <c r="M17" s="11" t="n">
        <v>0</v>
      </c>
      <c r="N17" s="13" t="n">
        <f aca="false">SUM(B17:M17)</f>
        <v>2500</v>
      </c>
    </row>
    <row r="18" customFormat="false" ht="19.5" hidden="false" customHeight="true" outlineLevel="0" collapsed="false">
      <c r="A18" s="50" t="s">
        <v>37</v>
      </c>
      <c r="B18" s="11" t="n">
        <v>408</v>
      </c>
      <c r="C18" s="11" t="n">
        <v>394</v>
      </c>
      <c r="D18" s="11" t="n">
        <v>266</v>
      </c>
      <c r="E18" s="11" t="n">
        <v>272</v>
      </c>
      <c r="F18" s="11" t="n">
        <v>15</v>
      </c>
      <c r="G18" s="11" t="n">
        <v>0</v>
      </c>
      <c r="H18" s="11" t="n">
        <v>21</v>
      </c>
      <c r="I18" s="11" t="n">
        <v>0</v>
      </c>
      <c r="J18" s="11" t="n">
        <v>0</v>
      </c>
      <c r="K18" s="11" t="n">
        <v>0</v>
      </c>
      <c r="L18" s="11" t="n">
        <v>0</v>
      </c>
      <c r="M18" s="11" t="n">
        <v>0</v>
      </c>
      <c r="N18" s="13" t="n">
        <f aca="false">SUM(B18:M18)</f>
        <v>1376</v>
      </c>
    </row>
    <row r="19" customFormat="false" ht="19.5" hidden="false" customHeight="true" outlineLevel="0" collapsed="false">
      <c r="A19" s="50" t="s">
        <v>38</v>
      </c>
      <c r="B19" s="11" t="n">
        <v>500</v>
      </c>
      <c r="C19" s="11" t="n">
        <v>415</v>
      </c>
      <c r="D19" s="11" t="n">
        <v>560</v>
      </c>
      <c r="E19" s="11" t="n">
        <v>241.67</v>
      </c>
      <c r="F19" s="11" t="n">
        <v>250</v>
      </c>
      <c r="G19" s="11" t="n">
        <v>200</v>
      </c>
      <c r="H19" s="11" t="n">
        <v>252</v>
      </c>
      <c r="I19" s="11" t="n">
        <v>0</v>
      </c>
      <c r="J19" s="11" t="n">
        <v>0</v>
      </c>
      <c r="K19" s="11" t="n">
        <v>0</v>
      </c>
      <c r="L19" s="11" t="n">
        <v>0</v>
      </c>
      <c r="M19" s="11" t="n">
        <v>0</v>
      </c>
      <c r="N19" s="13" t="n">
        <f aca="false">SUM(B19:M19)</f>
        <v>2418.67</v>
      </c>
    </row>
    <row r="20" customFormat="false" ht="19.5" hidden="false" customHeight="true" outlineLevel="0" collapsed="false">
      <c r="A20" s="50" t="s">
        <v>39</v>
      </c>
      <c r="B20" s="11" t="n">
        <v>973</v>
      </c>
      <c r="C20" s="11" t="n">
        <v>973</v>
      </c>
      <c r="D20" s="11" t="n">
        <v>973</v>
      </c>
      <c r="E20" s="11" t="n">
        <v>973</v>
      </c>
      <c r="F20" s="11" t="n">
        <v>973</v>
      </c>
      <c r="G20" s="11" t="n">
        <v>0</v>
      </c>
      <c r="H20" s="11" t="n">
        <v>0</v>
      </c>
      <c r="I20" s="11" t="n">
        <v>0</v>
      </c>
      <c r="J20" s="11" t="n">
        <v>0</v>
      </c>
      <c r="K20" s="11" t="n">
        <v>0</v>
      </c>
      <c r="L20" s="11" t="n">
        <v>0</v>
      </c>
      <c r="M20" s="11" t="n">
        <v>0</v>
      </c>
      <c r="N20" s="13" t="n">
        <f aca="false">SUM(B20:M20)</f>
        <v>4865</v>
      </c>
    </row>
    <row r="21" customFormat="false" ht="19.5" hidden="false" customHeight="true" outlineLevel="0" collapsed="false">
      <c r="A21" s="50" t="s">
        <v>40</v>
      </c>
      <c r="B21" s="11" t="n">
        <v>430</v>
      </c>
      <c r="C21" s="11" t="n">
        <v>486</v>
      </c>
      <c r="D21" s="11" t="n">
        <v>462.63</v>
      </c>
      <c r="E21" s="11" t="n">
        <v>462.63</v>
      </c>
      <c r="F21" s="11" t="n">
        <v>462.63</v>
      </c>
      <c r="G21" s="11" t="n">
        <v>462.63</v>
      </c>
      <c r="H21" s="11" t="n">
        <v>462.63</v>
      </c>
      <c r="I21" s="11" t="n">
        <v>462.63</v>
      </c>
      <c r="J21" s="11" t="n">
        <v>0</v>
      </c>
      <c r="K21" s="11" t="n">
        <v>0</v>
      </c>
      <c r="L21" s="11" t="n">
        <v>0</v>
      </c>
      <c r="M21" s="11" t="n">
        <v>0</v>
      </c>
      <c r="N21" s="13" t="n">
        <f aca="false">SUM(B21:M21)</f>
        <v>3691.78</v>
      </c>
    </row>
    <row r="22" customFormat="false" ht="19.5" hidden="false" customHeight="true" outlineLevel="0" collapsed="false">
      <c r="A22" s="50" t="s">
        <v>41</v>
      </c>
      <c r="B22" s="11" t="n">
        <v>230</v>
      </c>
      <c r="C22" s="11" t="n">
        <f aca="false">1588+30</f>
        <v>1618</v>
      </c>
      <c r="D22" s="11" t="n">
        <v>1995</v>
      </c>
      <c r="E22" s="11" t="n">
        <v>130</v>
      </c>
      <c r="F22" s="11" t="n">
        <v>1124</v>
      </c>
      <c r="G22" s="11" t="n">
        <v>0</v>
      </c>
      <c r="H22" s="11" t="n">
        <v>0</v>
      </c>
      <c r="I22" s="11" t="n">
        <v>0</v>
      </c>
      <c r="J22" s="11" t="n">
        <v>0</v>
      </c>
      <c r="K22" s="11" t="n">
        <v>0</v>
      </c>
      <c r="L22" s="11" t="n">
        <v>0</v>
      </c>
      <c r="M22" s="11" t="n">
        <v>0</v>
      </c>
      <c r="N22" s="13" t="n">
        <f aca="false">SUM(B22:M22)</f>
        <v>5097</v>
      </c>
    </row>
    <row r="23" customFormat="false" ht="19.5" hidden="false" customHeight="true" outlineLevel="0" collapsed="false">
      <c r="A23" s="50" t="s">
        <v>42</v>
      </c>
      <c r="B23" s="11" t="n">
        <v>0</v>
      </c>
      <c r="C23" s="11" t="n">
        <v>0</v>
      </c>
      <c r="D23" s="11" t="n">
        <v>0</v>
      </c>
      <c r="E23" s="11" t="n">
        <v>0</v>
      </c>
      <c r="F23" s="11" t="n">
        <v>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677.2</v>
      </c>
      <c r="N23" s="13" t="n">
        <f aca="false">SUM(B23:M23)</f>
        <v>677.2</v>
      </c>
    </row>
    <row r="24" customFormat="false" ht="19.5" hidden="false" customHeight="true" outlineLevel="0" collapsed="false">
      <c r="A24" s="50" t="s">
        <v>43</v>
      </c>
      <c r="B24" s="11" t="n">
        <v>0</v>
      </c>
      <c r="C24" s="11" t="n">
        <v>0</v>
      </c>
      <c r="D24" s="11" t="n">
        <v>0</v>
      </c>
      <c r="E24" s="11" t="n">
        <v>0</v>
      </c>
      <c r="F24" s="11" t="n">
        <v>0</v>
      </c>
      <c r="G24" s="11" t="n">
        <v>0</v>
      </c>
      <c r="H24" s="11" t="n">
        <v>0</v>
      </c>
      <c r="I24" s="11" t="n">
        <v>0</v>
      </c>
      <c r="J24" s="11" t="n">
        <v>0</v>
      </c>
      <c r="K24" s="11" t="n">
        <v>0</v>
      </c>
      <c r="L24" s="11" t="n">
        <v>0</v>
      </c>
      <c r="M24" s="11" t="n">
        <v>500</v>
      </c>
      <c r="N24" s="13" t="n">
        <f aca="false">SUM(B24:M24)</f>
        <v>500</v>
      </c>
    </row>
    <row r="25" customFormat="false" ht="19.5" hidden="false" customHeight="true" outlineLevel="0" collapsed="false">
      <c r="A25" s="50" t="s">
        <v>44</v>
      </c>
      <c r="B25" s="11" t="n">
        <v>0</v>
      </c>
      <c r="C25" s="11" t="n">
        <v>0</v>
      </c>
      <c r="D25" s="11" t="n">
        <v>0</v>
      </c>
      <c r="E25" s="11" t="n">
        <v>0</v>
      </c>
      <c r="F25" s="11" t="n">
        <v>0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3" t="n">
        <f aca="false">SUM(B25:M25)</f>
        <v>0</v>
      </c>
    </row>
    <row r="26" customFormat="false" ht="19.5" hidden="false" customHeight="true" outlineLevel="0" collapsed="false">
      <c r="A26" s="50" t="s">
        <v>45</v>
      </c>
      <c r="B26" s="55" t="n">
        <f aca="false">B6-B10</f>
        <v>14600.5</v>
      </c>
      <c r="C26" s="55" t="n">
        <f aca="false">C6-C10</f>
        <v>15422.35</v>
      </c>
      <c r="D26" s="55" t="n">
        <f aca="false">D6-D10</f>
        <v>18174.64</v>
      </c>
      <c r="E26" s="55" t="n">
        <f aca="false">E6-E10</f>
        <v>11598.19</v>
      </c>
      <c r="F26" s="55" t="n">
        <f aca="false">F6-F10</f>
        <v>17592.2</v>
      </c>
      <c r="G26" s="55" t="n">
        <f aca="false">G6-G10</f>
        <v>17040.93</v>
      </c>
      <c r="H26" s="55" t="n">
        <f aca="false">H6-H10</f>
        <v>21815.14</v>
      </c>
      <c r="I26" s="55" t="n">
        <f aca="false">I6-I10</f>
        <v>26572.1</v>
      </c>
      <c r="J26" s="55" t="n">
        <f aca="false">J6-J10</f>
        <v>23904.02</v>
      </c>
      <c r="K26" s="55" t="n">
        <f aca="false">K6-K10</f>
        <v>20739.16</v>
      </c>
      <c r="L26" s="55" t="n">
        <f aca="false">L6-L10</f>
        <v>17413.14</v>
      </c>
      <c r="M26" s="55" t="n">
        <f aca="false">M6-M10</f>
        <v>18613.94</v>
      </c>
      <c r="N26" s="55" t="n">
        <f aca="false">N6-N10</f>
        <v>223486.31</v>
      </c>
    </row>
    <row r="27" customFormat="false" ht="19.5" hidden="false" customHeight="true" outlineLevel="0" collapsed="false"/>
    <row r="28" customFormat="false" ht="15" hidden="false" customHeight="false" outlineLevel="0" collapsed="false">
      <c r="A28" s="36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20"/>
  <sheetViews>
    <sheetView showFormulas="false" showGridLines="true" showRowColHeaders="true" showZeros="true" rightToLeft="false" tabSelected="false" showOutlineSymbols="true" defaultGridColor="true" view="normal" topLeftCell="D4" colorId="64" zoomScale="100" zoomScaleNormal="100" zoomScalePageLayoutView="100" workbookViewId="0">
      <selection pane="topLeft" activeCell="M7" activeCellId="0" sqref="M7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22.14"/>
    <col collapsed="false" customWidth="true" hidden="false" outlineLevel="0" max="14" min="3" style="1" width="11.72"/>
    <col collapsed="false" customWidth="true" hidden="false" outlineLevel="0" max="15" min="15" style="1" width="12.72"/>
    <col collapsed="false" customWidth="false" hidden="false" outlineLevel="0" max="16384" min="16" style="1" width="9.14"/>
  </cols>
  <sheetData>
    <row r="1" s="2" customFormat="true" ht="60.75" hidden="false" customHeight="true" outlineLevel="0" collapsed="false"/>
    <row r="2" s="3" customFormat="true" ht="15" hidden="false" customHeight="false" outlineLevel="0" collapsed="false"/>
    <row r="5" customFormat="false" ht="22.5" hidden="false" customHeight="true" outlineLevel="0" collapsed="false">
      <c r="B5" s="5" t="s">
        <v>46</v>
      </c>
      <c r="C5" s="6" t="s">
        <v>1</v>
      </c>
      <c r="D5" s="7" t="s">
        <v>2</v>
      </c>
      <c r="E5" s="8" t="s">
        <v>3</v>
      </c>
      <c r="F5" s="9" t="s">
        <v>4</v>
      </c>
      <c r="G5" s="8" t="s">
        <v>5</v>
      </c>
      <c r="H5" s="9" t="s">
        <v>6</v>
      </c>
      <c r="I5" s="8" t="s">
        <v>7</v>
      </c>
      <c r="J5" s="9" t="s">
        <v>8</v>
      </c>
      <c r="K5" s="8" t="s">
        <v>9</v>
      </c>
      <c r="L5" s="8" t="s">
        <v>10</v>
      </c>
      <c r="M5" s="9" t="s">
        <v>11</v>
      </c>
      <c r="N5" s="8" t="s">
        <v>12</v>
      </c>
      <c r="O5" s="8" t="s">
        <v>13</v>
      </c>
    </row>
    <row r="6" customFormat="false" ht="22.5" hidden="false" customHeight="true" outlineLevel="0" collapsed="false">
      <c r="B6" s="57" t="s">
        <v>47</v>
      </c>
      <c r="C6" s="11" t="n">
        <v>17304.74</v>
      </c>
      <c r="D6" s="58"/>
      <c r="E6" s="59"/>
      <c r="F6" s="60"/>
      <c r="G6" s="59"/>
      <c r="H6" s="60"/>
      <c r="I6" s="59"/>
      <c r="J6" s="60"/>
      <c r="K6" s="59"/>
      <c r="L6" s="59"/>
      <c r="M6" s="61" t="n">
        <v>17304.74</v>
      </c>
      <c r="N6" s="13" t="n">
        <v>17304.74</v>
      </c>
      <c r="O6" s="13" t="n">
        <f aca="false">SUM(C6:N6)</f>
        <v>51914.22</v>
      </c>
    </row>
    <row r="7" customFormat="false" ht="22.5" hidden="false" customHeight="true" outlineLevel="0" collapsed="false">
      <c r="B7" s="6" t="s">
        <v>48</v>
      </c>
      <c r="C7" s="15" t="n">
        <f aca="false">'LIVRO CAIXA'!B6</f>
        <v>20491</v>
      </c>
      <c r="D7" s="15" t="n">
        <f aca="false">'LIVRO CAIXA'!C6</f>
        <v>21280.56</v>
      </c>
      <c r="E7" s="15" t="n">
        <f aca="false">'LIVRO CAIXA'!D6</f>
        <v>24778.27</v>
      </c>
      <c r="F7" s="15" t="n">
        <f aca="false">'LIVRO CAIXA'!E6</f>
        <v>18951.26</v>
      </c>
      <c r="G7" s="15" t="n">
        <f aca="false">'LIVRO CAIXA'!F6</f>
        <v>23712.83</v>
      </c>
      <c r="H7" s="15" t="n">
        <f aca="false">'LIVRO CAIXA'!G6</f>
        <v>20092.32</v>
      </c>
      <c r="I7" s="15" t="n">
        <f aca="false">'LIVRO CAIXA'!H6</f>
        <v>24959.52</v>
      </c>
      <c r="J7" s="15" t="n">
        <f aca="false">'LIVRO CAIXA'!I6</f>
        <v>29352.73</v>
      </c>
      <c r="K7" s="15" t="n">
        <f aca="false">'LIVRO CAIXA'!J6</f>
        <v>25984.02</v>
      </c>
      <c r="L7" s="15" t="n">
        <f aca="false">'LIVRO CAIXA'!K6</f>
        <v>23017.16</v>
      </c>
      <c r="M7" s="15" t="n">
        <f aca="false">'LIVRO CAIXA'!L6</f>
        <v>19268.14</v>
      </c>
      <c r="N7" s="15" t="n">
        <f aca="false">'LIVRO CAIXA'!M6</f>
        <v>21116.14</v>
      </c>
      <c r="O7" s="16" t="n">
        <f aca="false">SUM(C7:N7)</f>
        <v>273003.95</v>
      </c>
    </row>
    <row r="8" customFormat="false" ht="22.5" hidden="false" customHeight="true" outlineLevel="0" collapsed="false">
      <c r="B8" s="5" t="s">
        <v>49</v>
      </c>
      <c r="C8" s="62" t="n">
        <f aca="false">(C7*100%/C6)-100%</f>
        <v>0.184126430099499</v>
      </c>
      <c r="D8" s="63" t="str">
        <f aca="false">IFERROR((D7*100%)/D6,"%")</f>
        <v>%</v>
      </c>
      <c r="E8" s="63" t="str">
        <f aca="false">IFERROR((E7*100%)/E6,"%")</f>
        <v>%</v>
      </c>
      <c r="F8" s="63" t="str">
        <f aca="false">IFERROR((F7*100%)/F6,"%")</f>
        <v>%</v>
      </c>
      <c r="G8" s="63" t="str">
        <f aca="false">IFERROR((G7*100%)/G6,"%")</f>
        <v>%</v>
      </c>
      <c r="H8" s="63" t="str">
        <f aca="false">IFERROR((H7*100%)/H6,"%")</f>
        <v>%</v>
      </c>
      <c r="I8" s="63" t="str">
        <f aca="false">IFERROR((I7*100%)/I6,"%")</f>
        <v>%</v>
      </c>
      <c r="J8" s="63" t="str">
        <f aca="false">IFERROR((J7*100%)/J6,"%")</f>
        <v>%</v>
      </c>
      <c r="K8" s="63" t="str">
        <f aca="false">IFERROR((K7*100%)/K6,"%")</f>
        <v>%</v>
      </c>
      <c r="L8" s="63" t="str">
        <f aca="false">IFERROR((L7*100%)/L6,"%")</f>
        <v>%</v>
      </c>
      <c r="M8" s="64" t="n">
        <f aca="false">IFERROR((M7*100%)/M6,"%")</f>
        <v>1.11346024268495</v>
      </c>
      <c r="N8" s="64" t="n">
        <f aca="false">IFERROR((N7*100%)/N6,"%")</f>
        <v>1.2202517922835</v>
      </c>
      <c r="O8" s="64" t="n">
        <f aca="false">(O7*100%/O6)-100%</f>
        <v>4.25875087789049</v>
      </c>
    </row>
    <row r="9" customFormat="false" ht="22.5" hidden="false" customHeight="true" outlineLevel="0" collapsed="false">
      <c r="B9" s="65"/>
      <c r="C9" s="66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</row>
    <row r="10" customFormat="false" ht="22.5" hidden="false" customHeight="true" outlineLevel="0" collapsed="false">
      <c r="B10" s="65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</row>
    <row r="11" customFormat="false" ht="22.5" hidden="false" customHeight="true" outlineLevel="0" collapsed="false">
      <c r="B11" s="5" t="s">
        <v>46</v>
      </c>
      <c r="C11" s="6" t="s">
        <v>1</v>
      </c>
      <c r="D11" s="7" t="s">
        <v>2</v>
      </c>
      <c r="E11" s="8" t="s">
        <v>3</v>
      </c>
      <c r="F11" s="9" t="s">
        <v>4</v>
      </c>
      <c r="G11" s="8" t="s">
        <v>5</v>
      </c>
      <c r="H11" s="9" t="s">
        <v>6</v>
      </c>
      <c r="I11" s="8" t="s">
        <v>7</v>
      </c>
      <c r="J11" s="9" t="s">
        <v>8</v>
      </c>
      <c r="K11" s="8" t="s">
        <v>9</v>
      </c>
      <c r="L11" s="8" t="s">
        <v>10</v>
      </c>
      <c r="M11" s="9" t="s">
        <v>11</v>
      </c>
      <c r="N11" s="8" t="s">
        <v>12</v>
      </c>
      <c r="O11" s="8" t="s">
        <v>13</v>
      </c>
    </row>
    <row r="12" customFormat="false" ht="22.5" hidden="false" customHeight="true" outlineLevel="0" collapsed="false">
      <c r="B12" s="57" t="s">
        <v>50</v>
      </c>
      <c r="C12" s="11" t="n">
        <v>7500</v>
      </c>
      <c r="D12" s="12" t="n">
        <v>7500</v>
      </c>
      <c r="E12" s="13" t="n">
        <v>7500</v>
      </c>
      <c r="F12" s="13" t="n">
        <v>7500</v>
      </c>
      <c r="G12" s="13" t="n">
        <v>7500</v>
      </c>
      <c r="H12" s="13" t="n">
        <v>7500</v>
      </c>
      <c r="I12" s="13" t="n">
        <v>7500</v>
      </c>
      <c r="J12" s="13" t="n">
        <v>7500</v>
      </c>
      <c r="K12" s="13" t="n">
        <v>7500</v>
      </c>
      <c r="L12" s="13" t="n">
        <v>7500</v>
      </c>
      <c r="M12" s="13" t="n">
        <v>7500</v>
      </c>
      <c r="N12" s="13" t="n">
        <v>7500</v>
      </c>
      <c r="O12" s="13" t="n">
        <f aca="false">SUM(C12:N12)</f>
        <v>90000</v>
      </c>
    </row>
    <row r="13" customFormat="false" ht="22.5" hidden="false" customHeight="true" outlineLevel="0" collapsed="false">
      <c r="B13" s="5" t="s">
        <v>51</v>
      </c>
      <c r="C13" s="15" t="n">
        <f aca="false">'LIVRO CAIXA'!B10</f>
        <v>5890.5</v>
      </c>
      <c r="D13" s="15" t="n">
        <f aca="false">'LIVRO CAIXA'!C10</f>
        <v>5858.21</v>
      </c>
      <c r="E13" s="15" t="n">
        <f aca="false">'LIVRO CAIXA'!D10</f>
        <v>6603.63</v>
      </c>
      <c r="F13" s="15" t="n">
        <f aca="false">'LIVRO CAIXA'!E10</f>
        <v>7353.07</v>
      </c>
      <c r="G13" s="15" t="n">
        <f aca="false">'LIVRO CAIXA'!F10</f>
        <v>6120.63</v>
      </c>
      <c r="H13" s="15" t="n">
        <f aca="false">'LIVRO CAIXA'!G10</f>
        <v>3051.39</v>
      </c>
      <c r="I13" s="15" t="n">
        <f aca="false">'LIVRO CAIXA'!H10</f>
        <v>3144.38</v>
      </c>
      <c r="J13" s="15" t="n">
        <f aca="false">'LIVRO CAIXA'!I10</f>
        <v>2780.63</v>
      </c>
      <c r="K13" s="15" t="n">
        <f aca="false">'LIVRO CAIXA'!J10</f>
        <v>2080</v>
      </c>
      <c r="L13" s="15" t="n">
        <f aca="false">'LIVRO CAIXA'!K10</f>
        <v>2278</v>
      </c>
      <c r="M13" s="15" t="n">
        <f aca="false">'LIVRO CAIXA'!L10</f>
        <v>1855</v>
      </c>
      <c r="N13" s="15" t="n">
        <f aca="false">'LIVRO CAIXA'!M10</f>
        <v>2502.2</v>
      </c>
      <c r="O13" s="16" t="n">
        <f aca="false">SUM(C13:N13)</f>
        <v>49517.64</v>
      </c>
    </row>
    <row r="14" customFormat="false" ht="22.5" hidden="false" customHeight="true" outlineLevel="0" collapsed="false">
      <c r="B14" s="8" t="s">
        <v>49</v>
      </c>
      <c r="C14" s="68" t="n">
        <f aca="false">IFERROR((C13*100%)/C12,"%")</f>
        <v>0.7854</v>
      </c>
      <c r="D14" s="64" t="n">
        <f aca="false">IFERROR((D13*100%)/D12,"%")</f>
        <v>0.781094666666667</v>
      </c>
      <c r="E14" s="64" t="n">
        <f aca="false">IFERROR((E13*100%)/E12,"%")</f>
        <v>0.880484</v>
      </c>
      <c r="F14" s="64" t="n">
        <f aca="false">IFERROR((F13*100%)/F12,"%")</f>
        <v>0.980409333333334</v>
      </c>
      <c r="G14" s="64" t="n">
        <f aca="false">IFERROR((G13*100%)/G12,"%")</f>
        <v>0.816084</v>
      </c>
      <c r="H14" s="64" t="n">
        <f aca="false">IFERROR((H13*100%)/H12,"%")</f>
        <v>0.406852</v>
      </c>
      <c r="I14" s="64" t="n">
        <f aca="false">IFERROR((I13*100%)/I12,"%")</f>
        <v>0.419250666666667</v>
      </c>
      <c r="J14" s="64" t="n">
        <f aca="false">IFERROR((J13*100%)/J12,"%")</f>
        <v>0.370750666666667</v>
      </c>
      <c r="K14" s="64" t="n">
        <f aca="false">IFERROR((K13*100%)/K12,"%")</f>
        <v>0.277333333333333</v>
      </c>
      <c r="L14" s="64" t="n">
        <f aca="false">IFERROR((L13*100%)/L12,"%")</f>
        <v>0.303733333333333</v>
      </c>
      <c r="M14" s="64" t="n">
        <f aca="false">IFERROR((M13*100%)/M12,"%")</f>
        <v>0.247333333333333</v>
      </c>
      <c r="N14" s="64" t="n">
        <f aca="false">IFERROR((N13*100%)/N12,"%")</f>
        <v>0.333626666666667</v>
      </c>
      <c r="O14" s="64" t="n">
        <f aca="false">(O13*100%/O12)-100%</f>
        <v>-0.449804</v>
      </c>
    </row>
    <row r="17" customFormat="false" ht="22.5" hidden="false" customHeight="true" outlineLevel="0" collapsed="false">
      <c r="B17" s="5" t="s">
        <v>52</v>
      </c>
      <c r="C17" s="6" t="s">
        <v>1</v>
      </c>
      <c r="D17" s="7" t="s">
        <v>2</v>
      </c>
      <c r="E17" s="8" t="s">
        <v>3</v>
      </c>
      <c r="F17" s="9" t="s">
        <v>4</v>
      </c>
      <c r="G17" s="8" t="s">
        <v>5</v>
      </c>
      <c r="H17" s="9" t="s">
        <v>6</v>
      </c>
      <c r="I17" s="8" t="s">
        <v>7</v>
      </c>
      <c r="J17" s="9" t="s">
        <v>8</v>
      </c>
      <c r="K17" s="8" t="s">
        <v>9</v>
      </c>
      <c r="L17" s="8" t="s">
        <v>10</v>
      </c>
      <c r="M17" s="9" t="s">
        <v>11</v>
      </c>
      <c r="N17" s="8" t="s">
        <v>12</v>
      </c>
      <c r="O17" s="8" t="s">
        <v>13</v>
      </c>
    </row>
    <row r="18" customFormat="false" ht="22.5" hidden="false" customHeight="true" outlineLevel="0" collapsed="false">
      <c r="B18" s="57" t="s">
        <v>53</v>
      </c>
      <c r="C18" s="11" t="n">
        <f aca="false">C6-C12</f>
        <v>9804.74</v>
      </c>
      <c r="D18" s="58"/>
      <c r="E18" s="59"/>
      <c r="F18" s="60"/>
      <c r="G18" s="59"/>
      <c r="H18" s="60"/>
      <c r="I18" s="59"/>
      <c r="J18" s="60"/>
      <c r="K18" s="59"/>
      <c r="L18" s="59"/>
      <c r="M18" s="60"/>
      <c r="N18" s="59"/>
      <c r="O18" s="13" t="n">
        <f aca="false">SUM(C18:N18)</f>
        <v>9804.74</v>
      </c>
    </row>
    <row r="19" customFormat="false" ht="22.5" hidden="false" customHeight="true" outlineLevel="0" collapsed="false">
      <c r="B19" s="5" t="s">
        <v>54</v>
      </c>
      <c r="C19" s="15" t="n">
        <f aca="false">C7-C13</f>
        <v>14600.5</v>
      </c>
      <c r="D19" s="15" t="n">
        <f aca="false">'LIVRO CAIXA'!C25</f>
        <v>0</v>
      </c>
      <c r="E19" s="15" t="n">
        <f aca="false">'LIVRO CAIXA'!D25</f>
        <v>0</v>
      </c>
      <c r="F19" s="15" t="n">
        <f aca="false">'LIVRO CAIXA'!E25</f>
        <v>0</v>
      </c>
      <c r="G19" s="15" t="n">
        <f aca="false">'LIVRO CAIXA'!F25</f>
        <v>0</v>
      </c>
      <c r="H19" s="15" t="n">
        <f aca="false">'LIVRO CAIXA'!G25</f>
        <v>0</v>
      </c>
      <c r="I19" s="15" t="n">
        <f aca="false">'LIVRO CAIXA'!H25</f>
        <v>0</v>
      </c>
      <c r="J19" s="15" t="n">
        <f aca="false">'LIVRO CAIXA'!I25</f>
        <v>0</v>
      </c>
      <c r="K19" s="15" t="n">
        <f aca="false">'LIVRO CAIXA'!J25</f>
        <v>0</v>
      </c>
      <c r="L19" s="15" t="n">
        <f aca="false">'LIVRO CAIXA'!K25</f>
        <v>0</v>
      </c>
      <c r="M19" s="15" t="n">
        <f aca="false">'LIVRO CAIXA'!L25</f>
        <v>0</v>
      </c>
      <c r="N19" s="15" t="n">
        <f aca="false">'LIVRO CAIXA'!M25</f>
        <v>0</v>
      </c>
      <c r="O19" s="16" t="n">
        <f aca="false">SUM(C19:N19)</f>
        <v>14600.5</v>
      </c>
    </row>
    <row r="20" customFormat="false" ht="22.5" hidden="false" customHeight="true" outlineLevel="0" collapsed="false">
      <c r="B20" s="8" t="s">
        <v>49</v>
      </c>
      <c r="C20" s="62" t="n">
        <f aca="false">(C19*100%/C18)-100%</f>
        <v>0.489126687704111</v>
      </c>
      <c r="D20" s="63" t="str">
        <f aca="false">IFERROR((D19*100%)/D18,"%")</f>
        <v>%</v>
      </c>
      <c r="E20" s="63" t="str">
        <f aca="false">IFERROR((E19*100%)/E18,"%")</f>
        <v>%</v>
      </c>
      <c r="F20" s="63" t="str">
        <f aca="false">IFERROR((F19*100%)/F18,"%")</f>
        <v>%</v>
      </c>
      <c r="G20" s="63" t="str">
        <f aca="false">IFERROR((G19*100%)/G18,"%")</f>
        <v>%</v>
      </c>
      <c r="H20" s="63" t="str">
        <f aca="false">IFERROR((H19*100%)/H18,"%")</f>
        <v>%</v>
      </c>
      <c r="I20" s="63" t="str">
        <f aca="false">IFERROR((I19*100%)/I18,"%")</f>
        <v>%</v>
      </c>
      <c r="J20" s="63" t="str">
        <f aca="false">IFERROR((J19*100%)/J18,"%")</f>
        <v>%</v>
      </c>
      <c r="K20" s="63" t="str">
        <f aca="false">IFERROR((K19*100%)/K18,"%")</f>
        <v>%</v>
      </c>
      <c r="L20" s="63" t="str">
        <f aca="false">IFERROR((L19*100%)/L18,"%")</f>
        <v>%</v>
      </c>
      <c r="M20" s="63" t="str">
        <f aca="false">IFERROR((M19*100%)/M18,"%")</f>
        <v>%</v>
      </c>
      <c r="N20" s="63" t="str">
        <f aca="false">IFERROR((N19*100%)/N18,"%")</f>
        <v>%</v>
      </c>
      <c r="O20" s="64" t="n">
        <f aca="false">(O19*100%/O18)-100%</f>
        <v>0.489126687704111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28.14"/>
    <col collapsed="false" customWidth="false" hidden="false" outlineLevel="0" max="3" min="2" style="1" width="9.14"/>
    <col collapsed="false" customWidth="true" hidden="false" outlineLevel="0" max="4" min="4" style="1" width="18.7"/>
    <col collapsed="false" customWidth="true" hidden="false" outlineLevel="0" max="5" min="5" style="1" width="15.15"/>
    <col collapsed="false" customWidth="true" hidden="false" outlineLevel="0" max="6" min="6" style="1" width="11.72"/>
    <col collapsed="false" customWidth="true" hidden="false" outlineLevel="0" max="7" min="7" style="1" width="25"/>
    <col collapsed="false" customWidth="false" hidden="false" outlineLevel="0" max="8" min="8" style="1" width="9.14"/>
    <col collapsed="false" customWidth="true" hidden="false" outlineLevel="0" max="9" min="9" style="1" width="19.28"/>
    <col collapsed="false" customWidth="true" hidden="false" outlineLevel="0" max="10" min="10" style="1" width="27.57"/>
    <col collapsed="false" customWidth="false" hidden="false" outlineLevel="0" max="12" min="11" style="1" width="9.14"/>
    <col collapsed="false" customWidth="false" hidden="true" outlineLevel="0" max="13" min="13" style="1" width="9.14"/>
    <col collapsed="false" customWidth="false" hidden="false" outlineLevel="0" max="16384" min="14" style="1" width="9.14"/>
  </cols>
  <sheetData>
    <row r="1" customFormat="false" ht="60.7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9.5" hidden="false" customHeight="true" outlineLevel="0" collapsed="false"/>
    <row r="4" customFormat="false" ht="18.75" hidden="false" customHeight="true" outlineLevel="0" collapsed="false">
      <c r="A4" s="69" t="s">
        <v>55</v>
      </c>
      <c r="D4" s="69" t="s">
        <v>56</v>
      </c>
      <c r="G4" s="1" t="s">
        <v>57</v>
      </c>
      <c r="J4" s="70" t="n">
        <v>1</v>
      </c>
      <c r="K4" s="71"/>
      <c r="L4" s="71"/>
      <c r="M4" s="71"/>
    </row>
    <row r="5" customFormat="false" ht="46.5" hidden="false" customHeight="true" outlineLevel="0" collapsed="false">
      <c r="A5" s="72" t="n">
        <f aca="false">'FLUXO DE CAIXA'!M7</f>
        <v>19268.14</v>
      </c>
      <c r="B5" s="72"/>
      <c r="D5" s="72" t="n">
        <f aca="false">'FLUXO DE CAIXA'!M8</f>
        <v>1855</v>
      </c>
      <c r="E5" s="72"/>
      <c r="G5" s="72" t="n">
        <f aca="false">'LIVRO CAIXA'!L26</f>
        <v>17413.14</v>
      </c>
      <c r="H5" s="72"/>
      <c r="J5" s="73" t="s">
        <v>58</v>
      </c>
      <c r="K5" s="73"/>
      <c r="L5" s="73"/>
      <c r="M5" s="73"/>
      <c r="N5" s="74"/>
      <c r="O5" s="74"/>
    </row>
    <row r="6" customFormat="false" ht="18" hidden="false" customHeight="true" outlineLevel="0" collapsed="false">
      <c r="A6" s="75" t="s">
        <v>59</v>
      </c>
      <c r="B6" s="76" t="n">
        <f aca="false">META!C8</f>
        <v>0.184126430099499</v>
      </c>
      <c r="D6" s="77" t="s">
        <v>59</v>
      </c>
      <c r="E6" s="78" t="n">
        <f aca="false">META!C14</f>
        <v>0.7854</v>
      </c>
      <c r="G6" s="75" t="s">
        <v>60</v>
      </c>
      <c r="H6" s="76" t="n">
        <f aca="false">META!C20</f>
        <v>0.489126687704111</v>
      </c>
      <c r="J6" s="73"/>
      <c r="K6" s="73"/>
      <c r="L6" s="73"/>
      <c r="M6" s="73"/>
      <c r="N6" s="74"/>
      <c r="O6" s="74"/>
    </row>
    <row r="7" customFormat="false" ht="15" hidden="false" customHeight="true" outlineLevel="0" collapsed="false">
      <c r="C7" s="35"/>
      <c r="J7" s="73"/>
      <c r="K7" s="73"/>
      <c r="L7" s="73"/>
      <c r="M7" s="73"/>
      <c r="N7" s="74"/>
      <c r="O7" s="74"/>
    </row>
    <row r="8" customFormat="false" ht="15" hidden="false" customHeight="true" outlineLevel="0" collapsed="false">
      <c r="A8" s="38" t="s">
        <v>61</v>
      </c>
      <c r="H8" s="79"/>
      <c r="J8" s="73"/>
      <c r="K8" s="73"/>
      <c r="L8" s="73"/>
      <c r="M8" s="73"/>
      <c r="N8" s="74"/>
      <c r="O8" s="74"/>
    </row>
    <row r="9" customFormat="false" ht="15" hidden="false" customHeight="true" outlineLevel="0" collapsed="false">
      <c r="D9" s="65" t="s">
        <v>62</v>
      </c>
      <c r="E9" s="65"/>
      <c r="G9" s="79" t="s">
        <v>63</v>
      </c>
      <c r="J9" s="73"/>
      <c r="K9" s="73"/>
      <c r="L9" s="73"/>
      <c r="M9" s="73"/>
      <c r="N9" s="74"/>
      <c r="O9" s="74"/>
    </row>
    <row r="10" customFormat="false" ht="17.35" hidden="false" customHeight="false" outlineLevel="0" collapsed="false">
      <c r="J10" s="80" t="n">
        <v>2</v>
      </c>
      <c r="K10" s="81"/>
      <c r="L10" s="81"/>
      <c r="M10" s="81"/>
    </row>
    <row r="11" customFormat="false" ht="15" hidden="false" customHeight="true" outlineLevel="0" collapsed="false">
      <c r="J11" s="82" t="s">
        <v>64</v>
      </c>
      <c r="K11" s="82"/>
      <c r="L11" s="82"/>
      <c r="M11" s="82"/>
      <c r="N11" s="74"/>
      <c r="O11" s="74"/>
    </row>
    <row r="12" customFormat="false" ht="15" hidden="false" customHeight="true" outlineLevel="0" collapsed="false">
      <c r="J12" s="82"/>
      <c r="K12" s="82"/>
      <c r="L12" s="82"/>
      <c r="M12" s="82"/>
      <c r="N12" s="74"/>
      <c r="O12" s="74"/>
    </row>
    <row r="13" customFormat="false" ht="15" hidden="false" customHeight="true" outlineLevel="0" collapsed="false">
      <c r="B13" s="35"/>
      <c r="C13" s="35"/>
      <c r="J13" s="82"/>
      <c r="K13" s="82"/>
      <c r="L13" s="82"/>
      <c r="M13" s="82"/>
      <c r="N13" s="74"/>
      <c r="O13" s="74"/>
    </row>
    <row r="14" customFormat="false" ht="15" hidden="false" customHeight="true" outlineLevel="0" collapsed="false">
      <c r="B14" s="35"/>
      <c r="C14" s="35"/>
      <c r="J14" s="82"/>
      <c r="K14" s="82"/>
      <c r="L14" s="82"/>
      <c r="M14" s="82"/>
      <c r="N14" s="74"/>
      <c r="O14" s="74"/>
    </row>
    <row r="15" customFormat="false" ht="15" hidden="false" customHeight="true" outlineLevel="0" collapsed="false">
      <c r="J15" s="82"/>
      <c r="K15" s="82"/>
      <c r="L15" s="82"/>
      <c r="M15" s="82"/>
      <c r="N15" s="74"/>
      <c r="O15" s="74"/>
    </row>
    <row r="16" customFormat="false" ht="15" hidden="false" customHeight="true" outlineLevel="0" collapsed="false">
      <c r="J16" s="82"/>
      <c r="K16" s="82"/>
      <c r="L16" s="82"/>
      <c r="M16" s="82"/>
      <c r="N16" s="74"/>
      <c r="O16" s="74"/>
    </row>
    <row r="17" customFormat="false" ht="15" hidden="false" customHeight="true" outlineLevel="0" collapsed="false">
      <c r="J17" s="82"/>
      <c r="K17" s="82"/>
      <c r="L17" s="82"/>
      <c r="M17" s="82"/>
      <c r="N17" s="74"/>
      <c r="O17" s="74"/>
    </row>
    <row r="18" customFormat="false" ht="15" hidden="false" customHeight="true" outlineLevel="0" collapsed="false">
      <c r="J18" s="82"/>
      <c r="K18" s="82"/>
      <c r="L18" s="82"/>
      <c r="M18" s="82"/>
      <c r="N18" s="74"/>
      <c r="O18" s="74"/>
    </row>
    <row r="19" customFormat="false" ht="17.35" hidden="false" customHeight="false" outlineLevel="0" collapsed="false">
      <c r="J19" s="83" t="n">
        <v>3</v>
      </c>
      <c r="K19" s="84"/>
      <c r="L19" s="84"/>
      <c r="M19" s="84"/>
    </row>
    <row r="20" customFormat="false" ht="15" hidden="false" customHeight="true" outlineLevel="0" collapsed="false">
      <c r="J20" s="85"/>
      <c r="K20" s="85"/>
      <c r="L20" s="85"/>
      <c r="M20" s="85"/>
      <c r="N20" s="74"/>
      <c r="O20" s="74"/>
    </row>
    <row r="21" customFormat="false" ht="15" hidden="false" customHeight="true" outlineLevel="0" collapsed="false">
      <c r="A21" s="86"/>
      <c r="B21" s="86"/>
      <c r="C21" s="86"/>
      <c r="J21" s="85"/>
      <c r="K21" s="85"/>
      <c r="L21" s="85"/>
      <c r="M21" s="85"/>
      <c r="N21" s="74"/>
      <c r="O21" s="74"/>
    </row>
    <row r="22" customFormat="false" ht="15.75" hidden="false" customHeight="true" outlineLevel="0" collapsed="false">
      <c r="A22" s="87"/>
      <c r="B22" s="87"/>
      <c r="C22" s="87"/>
      <c r="J22" s="85"/>
      <c r="K22" s="85"/>
      <c r="L22" s="85"/>
      <c r="M22" s="85"/>
      <c r="N22" s="74"/>
      <c r="O22" s="74"/>
    </row>
    <row r="23" customFormat="false" ht="15.75" hidden="false" customHeight="true" outlineLevel="0" collapsed="false">
      <c r="A23" s="88" t="n">
        <f aca="false">META!M6</f>
        <v>17304.74</v>
      </c>
      <c r="B23" s="18" t="n">
        <f aca="false">A23*$B$27/$A$27</f>
        <v>0.376780726652308</v>
      </c>
      <c r="C23" s="87"/>
      <c r="J23" s="85"/>
      <c r="K23" s="85"/>
      <c r="L23" s="85"/>
      <c r="M23" s="85"/>
      <c r="N23" s="74"/>
      <c r="O23" s="74"/>
    </row>
    <row r="24" customFormat="false" ht="15.75" hidden="false" customHeight="true" outlineLevel="0" collapsed="false">
      <c r="A24" s="89" t="n">
        <f aca="false">META!M7</f>
        <v>19268.14</v>
      </c>
      <c r="B24" s="18" t="n">
        <f aca="false">A24*$B$27/$A$27</f>
        <v>0.419530359337291</v>
      </c>
      <c r="C24" s="87"/>
      <c r="D24" s="69"/>
      <c r="J24" s="85"/>
      <c r="K24" s="85"/>
      <c r="L24" s="85"/>
      <c r="M24" s="85"/>
      <c r="N24" s="74"/>
      <c r="O24" s="74"/>
    </row>
    <row r="25" customFormat="false" ht="15.75" hidden="false" customHeight="true" outlineLevel="0" collapsed="false">
      <c r="A25" s="88" t="n">
        <f aca="false">META!C12</f>
        <v>7500</v>
      </c>
      <c r="B25" s="18" t="n">
        <f aca="false">A25*$B$27/$A$27</f>
        <v>0.163299503482416</v>
      </c>
      <c r="C25" s="87"/>
      <c r="D25" s="69"/>
      <c r="J25" s="85"/>
      <c r="K25" s="85"/>
      <c r="L25" s="85"/>
      <c r="M25" s="85"/>
      <c r="N25" s="74"/>
      <c r="O25" s="74"/>
    </row>
    <row r="26" customFormat="false" ht="15.75" hidden="false" customHeight="true" outlineLevel="0" collapsed="false">
      <c r="A26" s="89" t="n">
        <f aca="false">META!M13</f>
        <v>1855</v>
      </c>
      <c r="B26" s="18" t="n">
        <f aca="false">A26*$B$27/$A$27</f>
        <v>0.0403894105279843</v>
      </c>
      <c r="C26" s="87"/>
      <c r="D26" s="69"/>
      <c r="J26" s="85"/>
      <c r="K26" s="85"/>
      <c r="L26" s="85"/>
      <c r="M26" s="85"/>
      <c r="N26" s="74"/>
      <c r="O26" s="74"/>
    </row>
    <row r="27" customFormat="false" ht="15" hidden="false" customHeight="true" outlineLevel="0" collapsed="false">
      <c r="A27" s="90" t="n">
        <f aca="false">SUM(A23:A26)</f>
        <v>45927.88</v>
      </c>
      <c r="B27" s="22" t="n">
        <v>1</v>
      </c>
      <c r="C27" s="87"/>
      <c r="D27" s="69"/>
      <c r="J27" s="85"/>
      <c r="K27" s="85"/>
      <c r="L27" s="85"/>
      <c r="M27" s="85"/>
      <c r="N27" s="74"/>
      <c r="O27" s="74"/>
    </row>
    <row r="28" customFormat="false" ht="15" hidden="false" customHeight="true" outlineLevel="0" collapsed="false">
      <c r="A28" s="86"/>
      <c r="B28" s="86"/>
      <c r="C28" s="86"/>
      <c r="D28" s="69"/>
      <c r="J28" s="85"/>
      <c r="K28" s="85"/>
      <c r="L28" s="85"/>
      <c r="M28" s="85"/>
      <c r="N28" s="74"/>
      <c r="O28" s="74"/>
    </row>
    <row r="29" customFormat="false" ht="15" hidden="false" customHeight="false" outlineLevel="0" collapsed="false">
      <c r="A29" s="86"/>
      <c r="B29" s="86"/>
      <c r="C29" s="86"/>
      <c r="D29" s="69"/>
    </row>
    <row r="30" customFormat="false" ht="15" hidden="false" customHeight="false" outlineLevel="0" collapsed="false">
      <c r="A30" s="86"/>
      <c r="B30" s="86"/>
      <c r="C30" s="86"/>
      <c r="D30" s="69"/>
    </row>
    <row r="31" customFormat="false" ht="15" hidden="false" customHeight="false" outlineLevel="0" collapsed="false">
      <c r="A31" s="86"/>
      <c r="B31" s="86"/>
      <c r="C31" s="86"/>
      <c r="D31" s="69"/>
    </row>
    <row r="32" customFormat="false" ht="15" hidden="false" customHeight="false" outlineLevel="0" collapsed="false">
      <c r="A32" s="86"/>
      <c r="B32" s="86"/>
      <c r="C32" s="86"/>
      <c r="D32" s="69"/>
    </row>
    <row r="33" customFormat="false" ht="15" hidden="false" customHeight="false" outlineLevel="0" collapsed="false">
      <c r="A33" s="69"/>
      <c r="B33" s="69"/>
      <c r="C33" s="69"/>
      <c r="D33" s="69"/>
    </row>
    <row r="34" customFormat="false" ht="15" hidden="false" customHeight="false" outlineLevel="0" collapsed="false">
      <c r="A34" s="69"/>
      <c r="B34" s="69"/>
      <c r="C34" s="69"/>
      <c r="D34" s="69"/>
    </row>
    <row r="35" customFormat="false" ht="15" hidden="false" customHeight="false" outlineLevel="0" collapsed="false">
      <c r="A35" s="69"/>
      <c r="B35" s="69"/>
      <c r="C35" s="69"/>
      <c r="D35" s="69"/>
    </row>
    <row r="36" customFormat="false" ht="15" hidden="false" customHeight="false" outlineLevel="0" collapsed="false">
      <c r="A36" s="69"/>
      <c r="B36" s="69"/>
      <c r="C36" s="69"/>
      <c r="D36" s="69"/>
    </row>
    <row r="37" customFormat="false" ht="15" hidden="false" customHeight="false" outlineLevel="0" collapsed="false">
      <c r="A37" s="69"/>
      <c r="B37" s="69"/>
      <c r="C37" s="69"/>
      <c r="D37" s="69"/>
    </row>
    <row r="38" customFormat="false" ht="15" hidden="false" customHeight="false" outlineLevel="0" collapsed="false">
      <c r="A38" s="69"/>
      <c r="B38" s="69"/>
      <c r="C38" s="69"/>
      <c r="D38" s="69"/>
    </row>
    <row r="39" customFormat="false" ht="15" hidden="false" customHeight="false" outlineLevel="0" collapsed="false">
      <c r="A39" s="69"/>
      <c r="B39" s="69"/>
      <c r="C39" s="69"/>
      <c r="D39" s="69"/>
    </row>
    <row r="40" customFormat="false" ht="15" hidden="false" customHeight="false" outlineLevel="0" collapsed="false">
      <c r="A40" s="69"/>
      <c r="B40" s="69"/>
      <c r="C40" s="69"/>
      <c r="D40" s="69"/>
    </row>
  </sheetData>
  <mergeCells count="7">
    <mergeCell ref="A5:B5"/>
    <mergeCell ref="D5:E5"/>
    <mergeCell ref="G5:H5"/>
    <mergeCell ref="J5:M9"/>
    <mergeCell ref="D9:E9"/>
    <mergeCell ref="J11:M18"/>
    <mergeCell ref="J20:M28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" activeCellId="0" sqref="T1"/>
    </sheetView>
  </sheetViews>
  <sheetFormatPr defaultColWidth="9.14453125" defaultRowHeight="15" zeroHeight="false" outlineLevelRow="0" outlineLevelCol="0"/>
  <cols>
    <col collapsed="false" customWidth="false" hidden="false" outlineLevel="0" max="4" min="1" style="1" width="9.14"/>
    <col collapsed="false" customWidth="false" hidden="false" outlineLevel="0" max="6" min="5" style="35" width="9.14"/>
    <col collapsed="false" customWidth="false" hidden="false" outlineLevel="0" max="16384" min="7" style="1" width="9.14"/>
  </cols>
  <sheetData>
    <row r="1" customFormat="false" ht="60.7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12" customFormat="false" ht="20.2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20" activeCellId="0" sqref="X20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26.14"/>
    <col collapsed="false" customWidth="true" hidden="false" outlineLevel="0" max="2" min="2" style="1" width="23.43"/>
    <col collapsed="false" customWidth="true" hidden="false" outlineLevel="0" max="3" min="3" style="1" width="14.57"/>
    <col collapsed="false" customWidth="true" hidden="false" outlineLevel="0" max="4" min="4" style="1" width="16.14"/>
    <col collapsed="false" customWidth="true" hidden="false" outlineLevel="0" max="5" min="5" style="1" width="20.86"/>
    <col collapsed="false" customWidth="true" hidden="false" outlineLevel="0" max="6" min="6" style="1" width="27.86"/>
    <col collapsed="false" customWidth="true" hidden="false" outlineLevel="0" max="7" min="7" style="1" width="37.14"/>
    <col collapsed="false" customWidth="true" hidden="false" outlineLevel="0" max="8" min="8" style="1" width="18.14"/>
    <col collapsed="false" customWidth="true" hidden="false" outlineLevel="0" max="9" min="9" style="1" width="13.14"/>
    <col collapsed="false" customWidth="true" hidden="false" outlineLevel="0" max="10" min="10" style="1" width="12.72"/>
    <col collapsed="false" customWidth="false" hidden="false" outlineLevel="0" max="12" min="11" style="1" width="9.14"/>
    <col collapsed="false" customWidth="true" hidden="false" outlineLevel="0" max="13" min="13" style="1" width="10.29"/>
    <col collapsed="false" customWidth="true" hidden="false" outlineLevel="0" max="14" min="14" style="1" width="28"/>
    <col collapsed="false" customWidth="true" hidden="false" outlineLevel="0" max="15" min="15" style="1" width="13"/>
    <col collapsed="false" customWidth="true" hidden="false" outlineLevel="0" max="16" min="16" style="1" width="10.43"/>
    <col collapsed="false" customWidth="false" hidden="false" outlineLevel="0" max="16384" min="17" style="1" width="9.14"/>
  </cols>
  <sheetData>
    <row r="1" s="2" customFormat="true" ht="60.75" hidden="false" customHeight="true" outlineLevel="0" collapsed="false"/>
    <row r="2" s="3" customFormat="true" ht="14.25" hidden="false" customHeight="true" outlineLevel="0" collapsed="false">
      <c r="C2" s="4"/>
      <c r="D2" s="4"/>
    </row>
    <row r="4" customFormat="false" ht="15" hidden="false" customHeight="false" outlineLevel="0" collapsed="false">
      <c r="A4" s="38" t="s">
        <v>65</v>
      </c>
    </row>
    <row r="5" customFormat="false" ht="27" hidden="false" customHeight="true" outlineLevel="0" collapsed="false">
      <c r="A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</row>
    <row r="6" customFormat="false" ht="19.5" hidden="false" customHeight="true" outlineLevel="0" collapsed="false">
      <c r="A6" s="91" t="s">
        <v>66</v>
      </c>
      <c r="C6" s="92"/>
      <c r="D6" s="93"/>
      <c r="E6" s="93"/>
      <c r="F6" s="93"/>
      <c r="G6" s="93"/>
      <c r="H6" s="93"/>
      <c r="I6" s="93"/>
      <c r="J6" s="93"/>
      <c r="K6" s="93"/>
      <c r="L6" s="93"/>
      <c r="M6" s="94"/>
      <c r="N6" s="94"/>
      <c r="O6" s="94"/>
      <c r="P6" s="94"/>
      <c r="Q6" s="94"/>
      <c r="R6" s="94"/>
      <c r="S6" s="94"/>
      <c r="T6" s="94"/>
    </row>
    <row r="7" customFormat="false" ht="19.5" hidden="false" customHeight="true" outlineLevel="0" collapsed="false">
      <c r="A7" s="91" t="s">
        <v>67</v>
      </c>
      <c r="C7" s="92"/>
      <c r="D7" s="95"/>
      <c r="E7" s="95"/>
      <c r="F7" s="95"/>
      <c r="G7" s="96"/>
      <c r="H7" s="96"/>
      <c r="I7" s="95"/>
      <c r="J7" s="95"/>
      <c r="K7" s="95"/>
      <c r="L7" s="95"/>
      <c r="M7" s="94"/>
      <c r="N7" s="94"/>
      <c r="O7" s="94"/>
      <c r="P7" s="94"/>
      <c r="Q7" s="94"/>
      <c r="R7" s="94"/>
      <c r="S7" s="94"/>
      <c r="T7" s="94"/>
    </row>
    <row r="8" customFormat="false" ht="19.5" hidden="false" customHeight="true" outlineLevel="0" collapsed="false">
      <c r="A8" s="91" t="s">
        <v>68</v>
      </c>
      <c r="C8" s="92"/>
      <c r="D8" s="95"/>
      <c r="E8" s="95"/>
      <c r="F8" s="95"/>
      <c r="G8" s="97" t="s">
        <v>69</v>
      </c>
      <c r="H8" s="98"/>
      <c r="I8" s="95"/>
      <c r="J8" s="95"/>
      <c r="K8" s="95"/>
      <c r="L8" s="95"/>
      <c r="M8" s="99"/>
      <c r="N8" s="100"/>
      <c r="O8" s="100"/>
      <c r="P8" s="100"/>
      <c r="Q8" s="100"/>
      <c r="R8" s="100"/>
      <c r="S8" s="100"/>
      <c r="T8" s="100"/>
    </row>
    <row r="9" customFormat="false" ht="18.75" hidden="false" customHeight="true" outlineLevel="0" collapsed="false">
      <c r="B9" s="91"/>
      <c r="C9" s="101"/>
      <c r="D9" s="67"/>
      <c r="E9" s="67"/>
      <c r="F9" s="67"/>
      <c r="G9" s="102" t="n">
        <f aca="false">G11*F22</f>
        <v>900</v>
      </c>
      <c r="H9" s="35"/>
      <c r="I9" s="67"/>
      <c r="J9" s="67"/>
      <c r="K9" s="67"/>
      <c r="L9" s="67"/>
      <c r="M9" s="99"/>
      <c r="N9" s="100"/>
      <c r="O9" s="100"/>
      <c r="P9" s="100"/>
      <c r="Q9" s="100"/>
      <c r="R9" s="100"/>
      <c r="S9" s="100"/>
      <c r="T9" s="100"/>
    </row>
    <row r="10" customFormat="false" ht="35.3" hidden="false" customHeight="true" outlineLevel="0" collapsed="false">
      <c r="B10" s="35"/>
      <c r="C10" s="36"/>
      <c r="D10" s="35"/>
      <c r="E10" s="35"/>
      <c r="F10" s="67"/>
      <c r="G10" s="67"/>
      <c r="H10" s="67"/>
      <c r="I10" s="67"/>
      <c r="J10" s="67"/>
      <c r="K10" s="67"/>
      <c r="L10" s="67"/>
      <c r="M10" s="103" t="s">
        <v>70</v>
      </c>
      <c r="N10" s="103"/>
      <c r="O10" s="104" t="s">
        <v>71</v>
      </c>
      <c r="P10" s="104" t="s">
        <v>72</v>
      </c>
    </row>
    <row r="11" customFormat="false" ht="33" hidden="false" customHeight="true" outlineLevel="0" collapsed="false">
      <c r="A11" s="65" t="s">
        <v>73</v>
      </c>
      <c r="B11" s="65"/>
      <c r="C11" s="65"/>
      <c r="D11" s="105"/>
      <c r="F11" s="106" t="s">
        <v>74</v>
      </c>
      <c r="G11" s="107" t="n">
        <v>15000</v>
      </c>
      <c r="H11" s="108"/>
      <c r="I11" s="109"/>
      <c r="J11" s="109"/>
      <c r="K11" s="109"/>
      <c r="L11" s="109"/>
      <c r="M11" s="110" t="s">
        <v>75</v>
      </c>
      <c r="N11" s="111" t="s">
        <v>76</v>
      </c>
      <c r="O11" s="112" t="n">
        <v>0.06</v>
      </c>
      <c r="P11" s="111" t="s">
        <v>77</v>
      </c>
    </row>
    <row r="12" customFormat="false" ht="25.5" hidden="false" customHeight="true" outlineLevel="0" collapsed="false">
      <c r="A12" s="113" t="s">
        <v>78</v>
      </c>
      <c r="B12" s="114" t="s">
        <v>79</v>
      </c>
      <c r="C12" s="114" t="s">
        <v>80</v>
      </c>
      <c r="D12" s="115" t="s">
        <v>81</v>
      </c>
      <c r="F12" s="106" t="s">
        <v>82</v>
      </c>
      <c r="G12" s="116" t="n">
        <f aca="false">G11*12</f>
        <v>180000</v>
      </c>
      <c r="H12" s="108"/>
      <c r="I12" s="35"/>
      <c r="J12" s="35"/>
      <c r="K12" s="35"/>
      <c r="L12" s="35"/>
      <c r="M12" s="110" t="s">
        <v>83</v>
      </c>
      <c r="N12" s="111" t="s">
        <v>84</v>
      </c>
      <c r="O12" s="112" t="n">
        <v>0.112</v>
      </c>
      <c r="P12" s="117" t="n">
        <v>9360</v>
      </c>
    </row>
    <row r="13" customFormat="false" ht="17.35" hidden="false" customHeight="false" outlineLevel="0" collapsed="false">
      <c r="A13" s="118" t="s">
        <v>85</v>
      </c>
      <c r="B13" s="119" t="n">
        <f aca="false">F22</f>
        <v>0.06</v>
      </c>
      <c r="C13" s="21" t="n">
        <f aca="false">B13*$G$11</f>
        <v>900</v>
      </c>
      <c r="D13" s="120" t="n">
        <f aca="false">B13*$G$12</f>
        <v>10800</v>
      </c>
      <c r="E13" s="21"/>
      <c r="F13" s="106" t="s">
        <v>86</v>
      </c>
      <c r="G13" s="107" t="n">
        <v>0</v>
      </c>
      <c r="H13" s="108"/>
      <c r="I13" s="121"/>
      <c r="K13" s="35"/>
      <c r="L13" s="35"/>
      <c r="M13" s="110" t="s">
        <v>87</v>
      </c>
      <c r="N13" s="111" t="s">
        <v>88</v>
      </c>
      <c r="O13" s="112" t="n">
        <v>0.135</v>
      </c>
      <c r="P13" s="117" t="n">
        <v>17640</v>
      </c>
    </row>
    <row r="14" customFormat="false" ht="16.75" hidden="false" customHeight="false" outlineLevel="0" collapsed="false">
      <c r="A14" s="118" t="s">
        <v>89</v>
      </c>
      <c r="B14" s="119" t="n">
        <v>0.1633</v>
      </c>
      <c r="C14" s="21" t="n">
        <f aca="false">B14*$G$11</f>
        <v>2449.5</v>
      </c>
      <c r="D14" s="120" t="n">
        <f aca="false">B14*$G$12</f>
        <v>29394</v>
      </c>
      <c r="F14" s="106" t="s">
        <v>90</v>
      </c>
      <c r="G14" s="122" t="n">
        <v>0.06</v>
      </c>
      <c r="H14" s="123"/>
      <c r="I14" s="35"/>
      <c r="J14" s="121"/>
      <c r="K14" s="35"/>
      <c r="L14" s="35"/>
      <c r="M14" s="110" t="s">
        <v>91</v>
      </c>
      <c r="N14" s="111" t="s">
        <v>92</v>
      </c>
      <c r="O14" s="112" t="n">
        <v>0.16</v>
      </c>
      <c r="P14" s="117" t="n">
        <v>35640</v>
      </c>
    </row>
    <row r="15" customFormat="false" ht="16.9" hidden="false" customHeight="false" outlineLevel="0" collapsed="false">
      <c r="A15" s="118" t="s">
        <v>93</v>
      </c>
      <c r="B15" s="119" t="n">
        <v>0.3483</v>
      </c>
      <c r="C15" s="21" t="n">
        <f aca="false">B15*$G$11</f>
        <v>5224.5</v>
      </c>
      <c r="D15" s="120" t="n">
        <f aca="false">B15*$G$12</f>
        <v>62694</v>
      </c>
      <c r="F15" s="124" t="s">
        <v>94</v>
      </c>
      <c r="G15" s="122" t="n">
        <f aca="false">F22</f>
        <v>0.06</v>
      </c>
      <c r="H15" s="123"/>
      <c r="I15" s="35"/>
      <c r="J15" s="121"/>
      <c r="K15" s="35"/>
      <c r="L15" s="35"/>
      <c r="M15" s="110" t="s">
        <v>95</v>
      </c>
      <c r="N15" s="111" t="s">
        <v>96</v>
      </c>
      <c r="O15" s="112" t="n">
        <v>0.21</v>
      </c>
      <c r="P15" s="117" t="n">
        <v>125640</v>
      </c>
    </row>
    <row r="16" customFormat="false" ht="19.5" hidden="false" customHeight="true" outlineLevel="0" collapsed="false">
      <c r="F16" s="35"/>
      <c r="G16" s="35"/>
      <c r="H16" s="35"/>
      <c r="I16" s="121"/>
      <c r="J16" s="35"/>
      <c r="K16" s="35"/>
      <c r="L16" s="35"/>
      <c r="M16" s="110" t="s">
        <v>97</v>
      </c>
      <c r="N16" s="111" t="s">
        <v>98</v>
      </c>
      <c r="O16" s="112" t="n">
        <v>0.33</v>
      </c>
      <c r="P16" s="117" t="n">
        <v>648000</v>
      </c>
    </row>
    <row r="17" customFormat="false" ht="19.5" hidden="false" customHeight="true" outlineLevel="0" collapsed="false">
      <c r="C17" s="125"/>
      <c r="F17" s="96"/>
      <c r="I17" s="96"/>
      <c r="K17" s="35"/>
      <c r="L17" s="35"/>
    </row>
    <row r="18" customFormat="false" ht="19.5" hidden="false" customHeight="true" outlineLevel="0" collapsed="false">
      <c r="I18" s="126"/>
      <c r="K18" s="35"/>
      <c r="L18" s="35"/>
    </row>
    <row r="19" customFormat="false" ht="17.35" hidden="false" customHeight="false" outlineLevel="0" collapsed="false">
      <c r="C19" s="127"/>
      <c r="D19" s="128"/>
      <c r="E19" s="128"/>
      <c r="F19" s="128"/>
      <c r="G19" s="128"/>
      <c r="I19" s="129"/>
      <c r="K19" s="35"/>
      <c r="L19" s="35"/>
    </row>
    <row r="20" customFormat="false" ht="17.35" hidden="false" customHeight="true" outlineLevel="0" collapsed="false">
      <c r="C20" s="130" t="s">
        <v>99</v>
      </c>
      <c r="D20" s="130"/>
      <c r="E20" s="130"/>
      <c r="F20" s="130"/>
      <c r="G20" s="127"/>
      <c r="I20" s="35"/>
      <c r="K20" s="35"/>
      <c r="L20" s="35"/>
      <c r="M20" s="103" t="s">
        <v>100</v>
      </c>
      <c r="N20" s="103" t="s">
        <v>101</v>
      </c>
      <c r="O20" s="103"/>
      <c r="P20" s="103"/>
      <c r="Q20" s="103"/>
      <c r="R20" s="103"/>
      <c r="S20" s="103"/>
      <c r="T20" s="103"/>
    </row>
    <row r="21" customFormat="false" ht="17.35" hidden="false" customHeight="true" outlineLevel="0" collapsed="false">
      <c r="C21" s="131" t="s">
        <v>102</v>
      </c>
      <c r="D21" s="131"/>
      <c r="E21" s="131"/>
      <c r="F21" s="131"/>
      <c r="G21" s="127"/>
      <c r="M21" s="103"/>
      <c r="N21" s="103" t="s">
        <v>103</v>
      </c>
      <c r="O21" s="103"/>
      <c r="P21" s="132" t="s">
        <v>104</v>
      </c>
      <c r="Q21" s="132" t="s">
        <v>105</v>
      </c>
      <c r="R21" s="132" t="s">
        <v>106</v>
      </c>
      <c r="S21" s="132" t="s">
        <v>107</v>
      </c>
      <c r="T21" s="132" t="s">
        <v>108</v>
      </c>
    </row>
    <row r="22" customFormat="false" ht="17.35" hidden="false" customHeight="false" outlineLevel="0" collapsed="false">
      <c r="B22" s="133" t="n">
        <f aca="false">G12*G14</f>
        <v>10800</v>
      </c>
      <c r="C22" s="134" t="s">
        <v>77</v>
      </c>
      <c r="D22" s="135" t="n">
        <v>0</v>
      </c>
      <c r="E22" s="133"/>
      <c r="F22" s="136" t="n">
        <f aca="false">(B22-D22)/B23</f>
        <v>0.06</v>
      </c>
      <c r="G22" s="136"/>
      <c r="I22" s="35"/>
      <c r="M22" s="110" t="s">
        <v>75</v>
      </c>
      <c r="N22" s="137" t="n">
        <v>0.04</v>
      </c>
      <c r="O22" s="137"/>
      <c r="P22" s="112" t="n">
        <v>0.035</v>
      </c>
      <c r="Q22" s="112" t="n">
        <v>0.1282</v>
      </c>
      <c r="R22" s="112" t="n">
        <v>0.0278</v>
      </c>
      <c r="S22" s="112" t="n">
        <v>0.434</v>
      </c>
      <c r="T22" s="112" t="n">
        <v>0.335</v>
      </c>
    </row>
    <row r="23" customFormat="false" ht="17.35" hidden="false" customHeight="false" outlineLevel="0" collapsed="false">
      <c r="B23" s="138" t="n">
        <f aca="false">G12</f>
        <v>180000</v>
      </c>
      <c r="C23" s="138"/>
      <c r="D23" s="138"/>
      <c r="E23" s="138"/>
      <c r="F23" s="136"/>
      <c r="G23" s="136"/>
      <c r="I23" s="139"/>
      <c r="M23" s="110" t="s">
        <v>83</v>
      </c>
      <c r="N23" s="137" t="n">
        <v>0.04</v>
      </c>
      <c r="O23" s="137"/>
      <c r="P23" s="112" t="n">
        <v>0.035</v>
      </c>
      <c r="Q23" s="112" t="n">
        <v>0.1405</v>
      </c>
      <c r="R23" s="112" t="n">
        <v>0.0305</v>
      </c>
      <c r="S23" s="112" t="n">
        <v>0.434</v>
      </c>
      <c r="T23" s="112" t="n">
        <v>0.32</v>
      </c>
    </row>
    <row r="24" customFormat="false" ht="15" hidden="false" customHeight="false" outlineLevel="0" collapsed="false">
      <c r="M24" s="110" t="s">
        <v>87</v>
      </c>
      <c r="N24" s="137" t="n">
        <v>0.04</v>
      </c>
      <c r="O24" s="137"/>
      <c r="P24" s="112" t="n">
        <v>0.035</v>
      </c>
      <c r="Q24" s="112" t="n">
        <v>0.1364</v>
      </c>
      <c r="R24" s="112" t="n">
        <v>0.0296</v>
      </c>
      <c r="S24" s="112" t="n">
        <v>0.434</v>
      </c>
      <c r="T24" s="112" t="n">
        <v>0.325</v>
      </c>
    </row>
    <row r="25" customFormat="false" ht="15" hidden="false" customHeight="false" outlineLevel="0" collapsed="false">
      <c r="M25" s="110" t="s">
        <v>91</v>
      </c>
      <c r="N25" s="137" t="n">
        <v>0.04</v>
      </c>
      <c r="O25" s="137"/>
      <c r="P25" s="112" t="n">
        <v>0.035</v>
      </c>
      <c r="Q25" s="112" t="n">
        <v>0.1364</v>
      </c>
      <c r="R25" s="112" t="n">
        <v>0.0296</v>
      </c>
      <c r="S25" s="112" t="n">
        <v>0.434</v>
      </c>
      <c r="T25" s="112" t="n">
        <v>0.325</v>
      </c>
    </row>
    <row r="26" customFormat="false" ht="15" hidden="false" customHeight="false" outlineLevel="0" collapsed="false">
      <c r="M26" s="110" t="s">
        <v>95</v>
      </c>
      <c r="N26" s="137" t="n">
        <v>0.04</v>
      </c>
      <c r="O26" s="137"/>
      <c r="P26" s="112" t="n">
        <v>0.035</v>
      </c>
      <c r="Q26" s="112" t="n">
        <v>0.1282</v>
      </c>
      <c r="R26" s="112" t="n">
        <v>0.0278</v>
      </c>
      <c r="S26" s="112" t="n">
        <v>0.434</v>
      </c>
      <c r="T26" s="111" t="s">
        <v>109</v>
      </c>
    </row>
    <row r="27" customFormat="false" ht="15" hidden="false" customHeight="false" outlineLevel="0" collapsed="false">
      <c r="M27" s="110" t="s">
        <v>97</v>
      </c>
      <c r="N27" s="137" t="n">
        <v>0.35</v>
      </c>
      <c r="O27" s="137"/>
      <c r="P27" s="112" t="n">
        <v>0.15</v>
      </c>
      <c r="Q27" s="112" t="n">
        <v>0.1603</v>
      </c>
      <c r="R27" s="112" t="n">
        <v>0.0347</v>
      </c>
      <c r="S27" s="112" t="n">
        <v>0.305</v>
      </c>
      <c r="T27" s="111" t="s">
        <v>77</v>
      </c>
    </row>
    <row r="28" customFormat="false" ht="33.75" hidden="false" customHeight="true" outlineLevel="0" collapsed="false">
      <c r="M28" s="140" t="s">
        <v>110</v>
      </c>
      <c r="N28" s="140"/>
      <c r="O28" s="140"/>
      <c r="P28" s="140"/>
      <c r="Q28" s="140"/>
      <c r="R28" s="140"/>
      <c r="S28" s="140"/>
      <c r="T28" s="140"/>
    </row>
    <row r="29" customFormat="false" ht="15" hidden="false" customHeight="true" outlineLevel="0" collapsed="false">
      <c r="M29" s="141" t="s">
        <v>111</v>
      </c>
      <c r="N29" s="142" t="s">
        <v>103</v>
      </c>
      <c r="O29" s="143" t="s">
        <v>104</v>
      </c>
      <c r="P29" s="143"/>
      <c r="Q29" s="142" t="s">
        <v>105</v>
      </c>
      <c r="R29" s="142" t="s">
        <v>106</v>
      </c>
      <c r="S29" s="142" t="s">
        <v>107</v>
      </c>
      <c r="T29" s="142" t="s">
        <v>112</v>
      </c>
    </row>
    <row r="30" customFormat="false" ht="57.85" hidden="false" customHeight="true" outlineLevel="0" collapsed="false">
      <c r="M30" s="110" t="s">
        <v>113</v>
      </c>
      <c r="N30" s="111" t="s">
        <v>114</v>
      </c>
      <c r="O30" s="140" t="s">
        <v>115</v>
      </c>
      <c r="P30" s="140"/>
      <c r="Q30" s="111" t="s">
        <v>116</v>
      </c>
      <c r="R30" s="111" t="s">
        <v>117</v>
      </c>
      <c r="S30" s="111" t="s">
        <v>118</v>
      </c>
      <c r="T30" s="111" t="s">
        <v>119</v>
      </c>
    </row>
    <row r="31" customFormat="false" ht="15" hidden="false" customHeight="false" outlineLevel="0" collapsed="false">
      <c r="M31" s="144"/>
    </row>
    <row r="33" customFormat="false" ht="15" hidden="false" customHeight="false" outlineLevel="0" collapsed="false">
      <c r="B33" s="144"/>
    </row>
  </sheetData>
  <mergeCells count="16">
    <mergeCell ref="M10:N10"/>
    <mergeCell ref="A11:C11"/>
    <mergeCell ref="M20:M21"/>
    <mergeCell ref="N20:T20"/>
    <mergeCell ref="N21:O21"/>
    <mergeCell ref="F22:G23"/>
    <mergeCell ref="N22:O22"/>
    <mergeCell ref="B23:E23"/>
    <mergeCell ref="N23:O23"/>
    <mergeCell ref="N24:O24"/>
    <mergeCell ref="N25:O25"/>
    <mergeCell ref="N26:O26"/>
    <mergeCell ref="N27:O27"/>
    <mergeCell ref="M28:T28"/>
    <mergeCell ref="O29:P29"/>
    <mergeCell ref="O30:P30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S2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0" activeCellId="0" sqref="I10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2.86"/>
    <col collapsed="false" customWidth="true" hidden="false" outlineLevel="0" max="4" min="3" style="1" width="12.57"/>
    <col collapsed="false" customWidth="true" hidden="false" outlineLevel="0" max="5" min="5" style="1" width="17.57"/>
    <col collapsed="false" customWidth="true" hidden="false" outlineLevel="0" max="7" min="6" style="1" width="11.72"/>
    <col collapsed="false" customWidth="false" hidden="false" outlineLevel="0" max="8" min="8" style="1" width="9.14"/>
    <col collapsed="false" customWidth="true" hidden="false" outlineLevel="0" max="9" min="9" style="1" width="14.57"/>
    <col collapsed="false" customWidth="false" hidden="false" outlineLevel="0" max="11" min="10" style="1" width="9.14"/>
    <col collapsed="false" customWidth="true" hidden="false" outlineLevel="0" max="13" min="12" style="1" width="10.57"/>
    <col collapsed="false" customWidth="false" hidden="false" outlineLevel="0" max="16384" min="14" style="1" width="9.14"/>
  </cols>
  <sheetData>
    <row r="3" customFormat="false" ht="15" hidden="false" customHeight="false" outlineLevel="0" collapsed="false">
      <c r="B3" s="35" t="s">
        <v>120</v>
      </c>
      <c r="C3" s="35"/>
      <c r="D3" s="35"/>
      <c r="E3" s="35"/>
      <c r="F3" s="35"/>
      <c r="G3" s="35"/>
      <c r="H3" s="21"/>
      <c r="I3" s="21"/>
      <c r="J3" s="21"/>
      <c r="K3" s="21"/>
      <c r="L3" s="21"/>
      <c r="M3" s="21"/>
    </row>
    <row r="4" customFormat="false" ht="15" hidden="false" customHeight="false" outlineLevel="0" collapsed="false">
      <c r="B4" s="35"/>
      <c r="C4" s="35"/>
      <c r="D4" s="145"/>
      <c r="E4" s="145"/>
      <c r="F4" s="145"/>
      <c r="G4" s="145"/>
      <c r="H4" s="146" t="n">
        <f aca="false">$F$7*M14</f>
        <v>93.1209067288009</v>
      </c>
      <c r="I4" s="146" t="n">
        <f aca="false">$F$7*O14</f>
        <v>81.4807933877008</v>
      </c>
      <c r="J4" s="146" t="n">
        <f aca="false">$F$7*P14</f>
        <v>298.452506065807</v>
      </c>
      <c r="K4" s="146" t="n">
        <f aca="false">$F$7*Q14</f>
        <v>64.7190301765166</v>
      </c>
      <c r="L4" s="146" t="n">
        <f aca="false">$F$7*R14</f>
        <v>1010.36183800749</v>
      </c>
      <c r="M4" s="146" t="n">
        <f aca="false">$F$7*S14</f>
        <v>779.887593853708</v>
      </c>
      <c r="N4" s="147" t="n">
        <v>0.0201</v>
      </c>
      <c r="O4" s="147" t="n">
        <v>0.0216</v>
      </c>
      <c r="R4" s="1" t="n">
        <f aca="false">301.5+50.56</f>
        <v>352.06</v>
      </c>
    </row>
    <row r="5" customFormat="false" ht="33" hidden="false" customHeight="true" outlineLevel="0" collapsed="false">
      <c r="A5" s="35"/>
      <c r="B5" s="148"/>
      <c r="C5" s="148"/>
      <c r="D5" s="149" t="s">
        <v>121</v>
      </c>
      <c r="E5" s="149"/>
      <c r="F5" s="150" t="s">
        <v>122</v>
      </c>
      <c r="G5" s="150"/>
      <c r="H5" s="150" t="s">
        <v>103</v>
      </c>
      <c r="I5" s="150" t="s">
        <v>104</v>
      </c>
      <c r="J5" s="150" t="s">
        <v>105</v>
      </c>
      <c r="K5" s="150" t="s">
        <v>106</v>
      </c>
      <c r="L5" s="150" t="s">
        <v>107</v>
      </c>
      <c r="M5" s="151" t="s">
        <v>112</v>
      </c>
      <c r="N5" s="93" t="n">
        <v>301.5</v>
      </c>
      <c r="O5" s="1" t="n">
        <v>323.85</v>
      </c>
      <c r="S5" s="21" t="n">
        <f aca="false">R6-R4</f>
        <v>-352.06</v>
      </c>
    </row>
    <row r="6" customFormat="false" ht="24.75" hidden="false" customHeight="true" outlineLevel="0" collapsed="false">
      <c r="A6" s="152"/>
      <c r="B6" s="153" t="s">
        <v>123</v>
      </c>
      <c r="C6" s="153"/>
      <c r="D6" s="154" t="n">
        <v>272099</v>
      </c>
      <c r="E6" s="154"/>
      <c r="F6" s="155" t="n">
        <f aca="false">((D6*H14)-I14)/D6</f>
        <v>0.0776007556073341</v>
      </c>
      <c r="G6" s="155"/>
      <c r="H6" s="156" t="n">
        <f aca="false">M15*F6</f>
        <v>0.00310403022429336</v>
      </c>
      <c r="I6" s="156" t="n">
        <f aca="false">O15*F6</f>
        <v>0.00271602644625669</v>
      </c>
      <c r="J6" s="156" t="n">
        <f aca="false">P15*F6</f>
        <v>0.0109029061628304</v>
      </c>
      <c r="K6" s="156" t="n">
        <f aca="false">Q15*F6</f>
        <v>0.00236682304602369</v>
      </c>
      <c r="L6" s="156" t="n">
        <f aca="false">R15*F6</f>
        <v>0.033678727933583</v>
      </c>
      <c r="M6" s="157" t="n">
        <f aca="false">S15*F6</f>
        <v>0.0248322417943469</v>
      </c>
      <c r="N6" s="93" t="n">
        <v>50.56</v>
      </c>
      <c r="O6" s="1" t="n">
        <v>54.31</v>
      </c>
      <c r="R6" s="121" t="n">
        <f aca="false">J9+J10</f>
        <v>0</v>
      </c>
    </row>
    <row r="7" customFormat="false" ht="15" hidden="false" customHeight="false" outlineLevel="0" collapsed="false">
      <c r="B7" s="35" t="s">
        <v>124</v>
      </c>
      <c r="C7" s="121" t="n">
        <v>30000</v>
      </c>
      <c r="D7" s="35"/>
      <c r="E7" s="35" t="s">
        <v>125</v>
      </c>
      <c r="F7" s="158" t="n">
        <f aca="false">F6*C7</f>
        <v>2328.02266822002</v>
      </c>
      <c r="H7" s="121"/>
      <c r="I7" s="121" t="n">
        <f aca="false">F7-N5</f>
        <v>2026.52266822002</v>
      </c>
      <c r="J7" s="121"/>
      <c r="K7" s="121"/>
      <c r="L7" s="121"/>
      <c r="M7" s="121"/>
      <c r="N7" s="35" t="n">
        <f aca="false">SUM(N5:N6)</f>
        <v>352.06</v>
      </c>
      <c r="R7" s="35"/>
    </row>
    <row r="8" customFormat="false" ht="15" hidden="false" customHeight="false" outlineLevel="0" collapsed="false">
      <c r="B8" s="35"/>
      <c r="C8" s="159"/>
      <c r="D8" s="35"/>
      <c r="E8" s="160"/>
      <c r="F8" s="121" t="n">
        <f aca="false">D6*F6</f>
        <v>21115.088</v>
      </c>
      <c r="G8" s="161"/>
      <c r="H8" s="161"/>
      <c r="I8" s="35"/>
      <c r="K8" s="35"/>
      <c r="L8" s="35"/>
      <c r="M8" s="35"/>
      <c r="N8" s="35"/>
      <c r="R8" s="35"/>
    </row>
    <row r="9" customFormat="false" ht="15" hidden="false" customHeight="false" outlineLevel="0" collapsed="false">
      <c r="B9" s="35"/>
      <c r="C9" s="121"/>
      <c r="D9" s="121"/>
      <c r="E9" s="35"/>
      <c r="F9" s="35"/>
      <c r="G9" s="162"/>
      <c r="H9" s="121"/>
      <c r="I9" s="35"/>
      <c r="J9" s="121"/>
      <c r="K9" s="35"/>
      <c r="L9" s="121"/>
      <c r="M9" s="35"/>
      <c r="N9" s="163"/>
    </row>
    <row r="10" customFormat="false" ht="15" hidden="false" customHeight="false" outlineLevel="0" collapsed="false">
      <c r="B10" s="35"/>
      <c r="C10" s="35"/>
      <c r="D10" s="35" t="n">
        <v>210186.6</v>
      </c>
      <c r="E10" s="35"/>
      <c r="F10" s="35" t="n">
        <v>8.08</v>
      </c>
      <c r="G10" s="163" t="n">
        <v>0.153175638402978</v>
      </c>
      <c r="I10" s="147" t="n">
        <v>0.024832</v>
      </c>
      <c r="J10" s="121"/>
      <c r="M10" s="1" t="n">
        <v>2.0313</v>
      </c>
    </row>
    <row r="11" customFormat="false" ht="15" hidden="false" customHeight="false" outlineLevel="0" collapsed="false">
      <c r="I11" s="21"/>
    </row>
    <row r="12" customFormat="false" ht="39" hidden="false" customHeight="true" outlineLevel="0" collapsed="false">
      <c r="B12" s="164" t="n">
        <v>15354.33</v>
      </c>
      <c r="D12" s="165" t="s">
        <v>70</v>
      </c>
      <c r="E12" s="165"/>
      <c r="F12" s="165"/>
      <c r="G12" s="165"/>
      <c r="H12" s="166" t="s">
        <v>71</v>
      </c>
      <c r="I12" s="166" t="s">
        <v>72</v>
      </c>
      <c r="K12" s="1" t="s">
        <v>126</v>
      </c>
      <c r="L12" s="165" t="s">
        <v>100</v>
      </c>
      <c r="M12" s="165" t="s">
        <v>101</v>
      </c>
      <c r="N12" s="165"/>
      <c r="O12" s="165"/>
      <c r="P12" s="165"/>
      <c r="Q12" s="165"/>
      <c r="R12" s="165"/>
      <c r="S12" s="165"/>
    </row>
    <row r="13" customFormat="false" ht="15" hidden="false" customHeight="true" outlineLevel="0" collapsed="false">
      <c r="D13" s="110" t="s">
        <v>75</v>
      </c>
      <c r="E13" s="140" t="s">
        <v>76</v>
      </c>
      <c r="F13" s="140"/>
      <c r="G13" s="140"/>
      <c r="H13" s="112" t="n">
        <v>0.06</v>
      </c>
      <c r="I13" s="111" t="n">
        <v>0</v>
      </c>
      <c r="L13" s="165"/>
      <c r="M13" s="165" t="s">
        <v>103</v>
      </c>
      <c r="N13" s="165"/>
      <c r="O13" s="167" t="s">
        <v>104</v>
      </c>
      <c r="P13" s="167" t="s">
        <v>105</v>
      </c>
      <c r="Q13" s="167" t="s">
        <v>106</v>
      </c>
      <c r="R13" s="167" t="s">
        <v>107</v>
      </c>
      <c r="S13" s="167" t="s">
        <v>108</v>
      </c>
    </row>
    <row r="14" customFormat="false" ht="26.25" hidden="false" customHeight="true" outlineLevel="0" collapsed="false">
      <c r="B14" s="164" t="n">
        <f aca="false">2.5%*C7</f>
        <v>750</v>
      </c>
      <c r="D14" s="110" t="s">
        <v>83</v>
      </c>
      <c r="E14" s="140" t="s">
        <v>84</v>
      </c>
      <c r="F14" s="140"/>
      <c r="G14" s="140"/>
      <c r="H14" s="112" t="n">
        <v>0.112</v>
      </c>
      <c r="I14" s="117" t="n">
        <v>9360</v>
      </c>
      <c r="L14" s="110" t="s">
        <v>75</v>
      </c>
      <c r="M14" s="137" t="n">
        <v>0.04</v>
      </c>
      <c r="N14" s="137"/>
      <c r="O14" s="112" t="n">
        <v>0.035</v>
      </c>
      <c r="P14" s="112" t="n">
        <v>0.1282</v>
      </c>
      <c r="Q14" s="112" t="n">
        <v>0.0278</v>
      </c>
      <c r="R14" s="112" t="n">
        <v>0.434</v>
      </c>
      <c r="S14" s="112" t="n">
        <v>0.335</v>
      </c>
    </row>
    <row r="15" customFormat="false" ht="26.25" hidden="false" customHeight="true" outlineLevel="0" collapsed="false">
      <c r="B15" s="1" t="n">
        <f aca="false">50/4</f>
        <v>12.5</v>
      </c>
      <c r="D15" s="110" t="s">
        <v>87</v>
      </c>
      <c r="E15" s="140" t="s">
        <v>88</v>
      </c>
      <c r="F15" s="140"/>
      <c r="G15" s="140"/>
      <c r="H15" s="112" t="n">
        <v>0.135</v>
      </c>
      <c r="I15" s="117" t="n">
        <v>17640</v>
      </c>
      <c r="L15" s="110" t="s">
        <v>83</v>
      </c>
      <c r="M15" s="137" t="n">
        <v>0.04</v>
      </c>
      <c r="N15" s="137"/>
      <c r="O15" s="112" t="n">
        <v>0.035</v>
      </c>
      <c r="P15" s="112" t="n">
        <v>0.1405</v>
      </c>
      <c r="Q15" s="112" t="n">
        <v>0.0305</v>
      </c>
      <c r="R15" s="112" t="n">
        <v>0.434</v>
      </c>
      <c r="S15" s="112" t="n">
        <v>0.32</v>
      </c>
    </row>
    <row r="16" customFormat="false" ht="26.25" hidden="false" customHeight="true" outlineLevel="0" collapsed="false">
      <c r="D16" s="110" t="s">
        <v>91</v>
      </c>
      <c r="E16" s="140" t="s">
        <v>92</v>
      </c>
      <c r="F16" s="140"/>
      <c r="G16" s="140"/>
      <c r="H16" s="112" t="n">
        <v>0.16</v>
      </c>
      <c r="I16" s="117" t="n">
        <v>35640</v>
      </c>
      <c r="L16" s="110" t="s">
        <v>87</v>
      </c>
      <c r="M16" s="137" t="n">
        <v>0.04</v>
      </c>
      <c r="N16" s="137"/>
      <c r="O16" s="112" t="n">
        <v>0.035</v>
      </c>
      <c r="P16" s="112" t="n">
        <v>0.1364</v>
      </c>
      <c r="Q16" s="112" t="n">
        <v>0.0296</v>
      </c>
      <c r="R16" s="112" t="n">
        <v>0.434</v>
      </c>
      <c r="S16" s="112" t="n">
        <v>0.325</v>
      </c>
    </row>
    <row r="17" customFormat="false" ht="26.25" hidden="false" customHeight="true" outlineLevel="0" collapsed="false">
      <c r="D17" s="110" t="s">
        <v>95</v>
      </c>
      <c r="E17" s="140" t="s">
        <v>96</v>
      </c>
      <c r="F17" s="140"/>
      <c r="G17" s="140"/>
      <c r="H17" s="112" t="n">
        <v>0.21</v>
      </c>
      <c r="I17" s="117" t="n">
        <v>125640</v>
      </c>
      <c r="L17" s="110" t="s">
        <v>91</v>
      </c>
      <c r="M17" s="137" t="n">
        <v>0.04</v>
      </c>
      <c r="N17" s="137"/>
      <c r="O17" s="112" t="n">
        <v>0.035</v>
      </c>
      <c r="P17" s="112" t="n">
        <v>0.1364</v>
      </c>
      <c r="Q17" s="112" t="n">
        <v>0.0296</v>
      </c>
      <c r="R17" s="112" t="n">
        <v>0.434</v>
      </c>
      <c r="S17" s="112" t="n">
        <v>0.325</v>
      </c>
    </row>
    <row r="18" customFormat="false" ht="26.25" hidden="false" customHeight="true" outlineLevel="0" collapsed="false">
      <c r="D18" s="110" t="s">
        <v>97</v>
      </c>
      <c r="E18" s="140" t="s">
        <v>98</v>
      </c>
      <c r="F18" s="140"/>
      <c r="G18" s="140"/>
      <c r="H18" s="112" t="n">
        <v>0.33</v>
      </c>
      <c r="I18" s="117" t="n">
        <v>648000</v>
      </c>
      <c r="L18" s="110" t="s">
        <v>95</v>
      </c>
      <c r="M18" s="137" t="n">
        <v>0.04</v>
      </c>
      <c r="N18" s="137"/>
      <c r="O18" s="112" t="n">
        <v>0.035</v>
      </c>
      <c r="P18" s="112" t="n">
        <v>0.1282</v>
      </c>
      <c r="Q18" s="112" t="n">
        <v>0.0278</v>
      </c>
      <c r="R18" s="112" t="n">
        <v>0.434</v>
      </c>
      <c r="S18" s="111" t="s">
        <v>109</v>
      </c>
    </row>
    <row r="19" customFormat="false" ht="15" hidden="false" customHeight="false" outlineLevel="0" collapsed="false">
      <c r="L19" s="110" t="s">
        <v>97</v>
      </c>
      <c r="M19" s="137" t="n">
        <v>0.35</v>
      </c>
      <c r="N19" s="137"/>
      <c r="O19" s="112" t="n">
        <v>0.15</v>
      </c>
      <c r="P19" s="112" t="n">
        <v>0.1603</v>
      </c>
      <c r="Q19" s="112" t="n">
        <v>0.0347</v>
      </c>
      <c r="R19" s="112" t="n">
        <v>0.305</v>
      </c>
      <c r="S19" s="111" t="s">
        <v>77</v>
      </c>
    </row>
    <row r="20" customFormat="false" ht="35.3" hidden="false" customHeight="true" outlineLevel="0" collapsed="false">
      <c r="L20" s="140" t="s">
        <v>110</v>
      </c>
      <c r="M20" s="140"/>
      <c r="N20" s="140"/>
      <c r="O20" s="140"/>
      <c r="P20" s="140"/>
      <c r="Q20" s="140"/>
      <c r="R20" s="140"/>
      <c r="S20" s="140"/>
    </row>
    <row r="21" customFormat="false" ht="15" hidden="false" customHeight="true" outlineLevel="0" collapsed="false">
      <c r="L21" s="141" t="s">
        <v>111</v>
      </c>
      <c r="M21" s="142" t="s">
        <v>103</v>
      </c>
      <c r="N21" s="143" t="s">
        <v>104</v>
      </c>
      <c r="O21" s="143"/>
      <c r="P21" s="142" t="s">
        <v>105</v>
      </c>
      <c r="Q21" s="142" t="s">
        <v>106</v>
      </c>
      <c r="R21" s="142" t="s">
        <v>107</v>
      </c>
      <c r="S21" s="142" t="s">
        <v>112</v>
      </c>
    </row>
    <row r="22" customFormat="false" ht="57.85" hidden="false" customHeight="true" outlineLevel="0" collapsed="false">
      <c r="I22" s="1" t="n">
        <f aca="false">157.9*4</f>
        <v>631.6</v>
      </c>
      <c r="L22" s="110" t="s">
        <v>113</v>
      </c>
      <c r="M22" s="111" t="s">
        <v>114</v>
      </c>
      <c r="N22" s="140" t="s">
        <v>115</v>
      </c>
      <c r="O22" s="140"/>
      <c r="P22" s="111" t="s">
        <v>116</v>
      </c>
      <c r="Q22" s="111" t="s">
        <v>117</v>
      </c>
      <c r="R22" s="111" t="s">
        <v>118</v>
      </c>
      <c r="S22" s="111" t="s">
        <v>119</v>
      </c>
    </row>
  </sheetData>
  <mergeCells count="25">
    <mergeCell ref="B5:C5"/>
    <mergeCell ref="D5:E5"/>
    <mergeCell ref="F5:G5"/>
    <mergeCell ref="B6:C6"/>
    <mergeCell ref="D6:E6"/>
    <mergeCell ref="F6:G6"/>
    <mergeCell ref="D12:G12"/>
    <mergeCell ref="L12:L13"/>
    <mergeCell ref="M12:S12"/>
    <mergeCell ref="E13:G13"/>
    <mergeCell ref="M13:N13"/>
    <mergeCell ref="E14:G14"/>
    <mergeCell ref="M14:N14"/>
    <mergeCell ref="E15:G15"/>
    <mergeCell ref="M15:N15"/>
    <mergeCell ref="E16:G16"/>
    <mergeCell ref="M16:N16"/>
    <mergeCell ref="E17:G17"/>
    <mergeCell ref="M17:N17"/>
    <mergeCell ref="E18:G18"/>
    <mergeCell ref="M18:N18"/>
    <mergeCell ref="M19:N19"/>
    <mergeCell ref="L20:S20"/>
    <mergeCell ref="N21:O21"/>
    <mergeCell ref="N22:O2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55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F4" activeCellId="0" sqref="F4"/>
    </sheetView>
  </sheetViews>
  <sheetFormatPr defaultColWidth="9.14453125" defaultRowHeight="15" zeroHeight="false" outlineLevelRow="0" outlineLevelCol="0"/>
  <cols>
    <col collapsed="false" customWidth="false" hidden="false" outlineLevel="0" max="1" min="1" style="41" width="9.14"/>
    <col collapsed="false" customWidth="true" hidden="false" outlineLevel="0" max="2" min="2" style="41" width="27.43"/>
    <col collapsed="false" customWidth="true" hidden="false" outlineLevel="0" max="3" min="3" style="41" width="17"/>
    <col collapsed="false" customWidth="true" hidden="false" outlineLevel="0" max="4" min="4" style="41" width="11.57"/>
    <col collapsed="false" customWidth="true" hidden="false" outlineLevel="0" max="5" min="5" style="41" width="9.86"/>
    <col collapsed="false" customWidth="true" hidden="false" outlineLevel="0" max="6" min="6" style="41" width="11.72"/>
    <col collapsed="false" customWidth="true" hidden="false" outlineLevel="0" max="7" min="7" style="41" width="30"/>
    <col collapsed="false" customWidth="false" hidden="false" outlineLevel="0" max="16384" min="8" style="41" width="9.14"/>
  </cols>
  <sheetData>
    <row r="1" customFormat="false" ht="15" hidden="false" customHeight="false" outlineLevel="0" collapsed="false">
      <c r="C1" s="41" t="s">
        <v>127</v>
      </c>
      <c r="D1" s="41" t="s">
        <v>128</v>
      </c>
    </row>
    <row r="2" customFormat="false" ht="15.4" hidden="false" customHeight="false" outlineLevel="0" collapsed="false">
      <c r="B2" s="168" t="s">
        <v>129</v>
      </c>
      <c r="C2" s="169" t="n">
        <v>36254</v>
      </c>
      <c r="D2" s="170" t="n">
        <v>0.0527</v>
      </c>
      <c r="E2" s="171" t="str">
        <f aca="false">IF(D2&gt;0,"↑","↓")&amp;" "&amp;TEXT(D2,"0,00%")</f>
        <v>↑ 5,27%</v>
      </c>
    </row>
    <row r="3" customFormat="false" ht="15.4" hidden="false" customHeight="false" outlineLevel="0" collapsed="false">
      <c r="B3" s="41" t="s">
        <v>130</v>
      </c>
      <c r="C3" s="172" t="n">
        <v>105</v>
      </c>
      <c r="D3" s="173" t="n">
        <f aca="false">((I5*100%)/H5)-100%</f>
        <v>0.00961538461538458</v>
      </c>
      <c r="E3" s="174" t="str">
        <f aca="false">IF(D3&gt;0,"↑","↓")&amp;" "&amp;TEXT(D3,"0%")</f>
        <v>↑ 1%</v>
      </c>
    </row>
    <row r="4" customFormat="false" ht="15.4" hidden="false" customHeight="false" outlineLevel="0" collapsed="false">
      <c r="B4" s="41" t="s">
        <v>131</v>
      </c>
      <c r="C4" s="175" t="n">
        <f aca="false">'LIVRO CAIXA'!L26</f>
        <v>17413.14</v>
      </c>
      <c r="D4" s="176" t="n">
        <f aca="false">'FLUXO DE CAIXA'!M11</f>
        <v>0.903727085229815</v>
      </c>
      <c r="E4" s="177" t="str">
        <f aca="false">IF(D4&gt;0,"↑","↓")&amp;" "&amp;TEXT(D4,"0%")</f>
        <v>↑ 90%</v>
      </c>
      <c r="F4" s="178" t="n">
        <f aca="false">'FLUXO DE CAIXA'!L7</f>
        <v>23017.16</v>
      </c>
      <c r="H4" s="41" t="s">
        <v>132</v>
      </c>
      <c r="I4" s="172" t="s">
        <v>133</v>
      </c>
    </row>
    <row r="5" customFormat="false" ht="15.4" hidden="false" customHeight="false" outlineLevel="0" collapsed="false">
      <c r="B5" s="41" t="s">
        <v>134</v>
      </c>
      <c r="C5" s="179" t="n">
        <f aca="false">'LIVRO CAIXA'!L6-'LIVRO CAIXA'!K6</f>
        <v>-3749.02</v>
      </c>
      <c r="D5" s="180" t="n">
        <f aca="false">('LIVRO CAIXA'!L6-'LIVRO CAIXA'!K6*100%)/'LIVRO CAIXA'!L6</f>
        <v>-0.194570934194998</v>
      </c>
      <c r="E5" s="174" t="str">
        <f aca="false">IF(D5&gt;0,"↑","↓")&amp;" "&amp;TEXT(D5,"0%")</f>
        <v>↓ -19%</v>
      </c>
      <c r="H5" s="41" t="n">
        <v>104</v>
      </c>
      <c r="I5" s="41" t="n">
        <v>105</v>
      </c>
    </row>
    <row r="6" customFormat="false" ht="15.4" hidden="false" customHeight="false" outlineLevel="0" collapsed="false">
      <c r="B6" s="41" t="s">
        <v>135</v>
      </c>
      <c r="C6" s="178" t="n">
        <f aca="false">META!M7-META!M6</f>
        <v>1963.4</v>
      </c>
      <c r="D6" s="181" t="n">
        <f aca="false">META!C8</f>
        <v>0.184126430099499</v>
      </c>
      <c r="E6" s="174" t="str">
        <f aca="false">IF(D6&gt;0,"↑","↓")&amp;" "&amp;TEXT(D6,"0,00%")</f>
        <v>↑ 18,41%</v>
      </c>
    </row>
    <row r="8" customFormat="false" ht="15" hidden="false" customHeight="false" outlineLevel="0" collapsed="false">
      <c r="B8" s="41" t="s">
        <v>136</v>
      </c>
      <c r="F8" s="182"/>
    </row>
    <row r="9" customFormat="false" ht="15" hidden="false" customHeight="false" outlineLevel="0" collapsed="false">
      <c r="G9" s="180" t="n">
        <f aca="false">('FLUXO DE CAIXA'!D7-'FLUXO DE CAIXA'!C7*100%)/'FLUXO DE CAIXA'!C7</f>
        <v>-1</v>
      </c>
    </row>
    <row r="10" customFormat="false" ht="15" hidden="false" customHeight="false" outlineLevel="0" collapsed="false">
      <c r="C10" s="41" t="s">
        <v>137</v>
      </c>
      <c r="D10" s="41" t="s">
        <v>138</v>
      </c>
    </row>
    <row r="11" customFormat="false" ht="15" hidden="false" customHeight="false" outlineLevel="0" collapsed="false">
      <c r="B11" s="41" t="s">
        <v>132</v>
      </c>
      <c r="C11" s="41" t="n">
        <v>45000</v>
      </c>
      <c r="D11" s="41" t="n">
        <v>30000</v>
      </c>
    </row>
    <row r="12" customFormat="false" ht="15" hidden="false" customHeight="false" outlineLevel="0" collapsed="false">
      <c r="B12" s="41" t="s">
        <v>133</v>
      </c>
      <c r="C12" s="41" t="n">
        <v>43000</v>
      </c>
      <c r="D12" s="41" t="n">
        <v>23000</v>
      </c>
    </row>
    <row r="13" customFormat="false" ht="15" hidden="false" customHeight="false" outlineLevel="0" collapsed="false">
      <c r="B13" s="41" t="s">
        <v>139</v>
      </c>
      <c r="C13" s="41" t="n">
        <v>54000</v>
      </c>
      <c r="D13" s="41" t="n">
        <v>40000</v>
      </c>
    </row>
    <row r="14" customFormat="false" ht="15" hidden="false" customHeight="false" outlineLevel="0" collapsed="false">
      <c r="B14" s="41" t="s">
        <v>140</v>
      </c>
      <c r="C14" s="41" t="n">
        <v>60000</v>
      </c>
      <c r="D14" s="41" t="n">
        <v>40000</v>
      </c>
    </row>
    <row r="15" customFormat="false" ht="15" hidden="false" customHeight="false" outlineLevel="0" collapsed="false">
      <c r="B15" s="41" t="s">
        <v>141</v>
      </c>
      <c r="C15" s="41" t="n">
        <v>30000</v>
      </c>
      <c r="D15" s="41" t="n">
        <v>35000</v>
      </c>
    </row>
    <row r="16" customFormat="false" ht="15" hidden="false" customHeight="false" outlineLevel="0" collapsed="false">
      <c r="B16" s="41" t="s">
        <v>142</v>
      </c>
      <c r="C16" s="41" t="n">
        <v>80000</v>
      </c>
      <c r="D16" s="41" t="n">
        <v>55000</v>
      </c>
    </row>
    <row r="17" customFormat="false" ht="15" hidden="false" customHeight="false" outlineLevel="0" collapsed="false">
      <c r="B17" s="41" t="s">
        <v>143</v>
      </c>
      <c r="C17" s="41" t="n">
        <v>35000</v>
      </c>
      <c r="D17" s="41" t="n">
        <v>23000</v>
      </c>
    </row>
    <row r="18" customFormat="false" ht="15" hidden="false" customHeight="false" outlineLevel="0" collapsed="false">
      <c r="B18" s="41" t="s">
        <v>144</v>
      </c>
      <c r="C18" s="41" t="n">
        <v>15000</v>
      </c>
      <c r="D18" s="41" t="n">
        <v>30000</v>
      </c>
    </row>
    <row r="19" customFormat="false" ht="15" hidden="false" customHeight="false" outlineLevel="0" collapsed="false">
      <c r="B19" s="41" t="s">
        <v>145</v>
      </c>
      <c r="C19" s="41" t="n">
        <v>12000</v>
      </c>
      <c r="D19" s="41" t="n">
        <v>30000</v>
      </c>
    </row>
    <row r="20" customFormat="false" ht="15" hidden="false" customHeight="false" outlineLevel="0" collapsed="false">
      <c r="B20" s="41" t="s">
        <v>146</v>
      </c>
      <c r="C20" s="41" t="n">
        <v>45000</v>
      </c>
      <c r="D20" s="41" t="n">
        <v>42000</v>
      </c>
    </row>
    <row r="21" customFormat="false" ht="15" hidden="false" customHeight="false" outlineLevel="0" collapsed="false">
      <c r="B21" s="41" t="s">
        <v>147</v>
      </c>
      <c r="C21" s="41" t="n">
        <v>80000</v>
      </c>
      <c r="D21" s="41" t="n">
        <v>25000</v>
      </c>
    </row>
    <row r="22" customFormat="false" ht="15" hidden="false" customHeight="false" outlineLevel="0" collapsed="false">
      <c r="B22" s="41" t="s">
        <v>148</v>
      </c>
      <c r="C22" s="41" t="n">
        <v>81000</v>
      </c>
      <c r="D22" s="41" t="n">
        <v>35000</v>
      </c>
    </row>
    <row r="24" customFormat="false" ht="15" hidden="false" customHeight="false" outlineLevel="0" collapsed="false">
      <c r="B24" s="41" t="s">
        <v>149</v>
      </c>
    </row>
    <row r="26" customFormat="false" ht="15" hidden="false" customHeight="false" outlineLevel="0" collapsed="false">
      <c r="C26" s="41" t="s">
        <v>150</v>
      </c>
    </row>
    <row r="27" customFormat="false" ht="15" hidden="false" customHeight="false" outlineLevel="0" collapsed="false">
      <c r="B27" s="41" t="str">
        <f aca="false">'LIVRO CAIXA'!A11</f>
        <v>DESPESACOMANESTESIA</v>
      </c>
      <c r="C27" s="175" t="n">
        <f aca="false">'LIVRO CAIXA'!B11</f>
        <v>1330.5</v>
      </c>
      <c r="G27" s="50" t="s">
        <v>151</v>
      </c>
      <c r="H27" s="41" t="n">
        <f aca="false">'LIVRO CAIXA'!L11</f>
        <v>530</v>
      </c>
    </row>
    <row r="28" customFormat="false" ht="15" hidden="false" customHeight="false" outlineLevel="0" collapsed="false">
      <c r="B28" s="41" t="str">
        <f aca="false">'LIVRO CAIXA'!A18</f>
        <v>DESPESACOMALIMENTACAO</v>
      </c>
      <c r="C28" s="175" t="n">
        <f aca="false">'LIVRO CAIXA'!B18</f>
        <v>408</v>
      </c>
      <c r="G28" s="50" t="s">
        <v>152</v>
      </c>
      <c r="H28" s="41" t="n">
        <f aca="false">'LIVRO CAIXA'!L12</f>
        <v>42</v>
      </c>
    </row>
    <row r="29" customFormat="false" ht="15" hidden="false" customHeight="false" outlineLevel="0" collapsed="false">
      <c r="B29" s="41" t="str">
        <f aca="false">'LIVRO CAIXA'!A19</f>
        <v>DESPESACOMCOMBUSTIVEL</v>
      </c>
      <c r="C29" s="175" t="n">
        <f aca="false">'LIVRO CAIXA'!B19</f>
        <v>500</v>
      </c>
      <c r="G29" s="50" t="s">
        <v>153</v>
      </c>
      <c r="H29" s="41" t="n">
        <f aca="false">'LIVRO CAIXA'!L13</f>
        <v>1200</v>
      </c>
    </row>
    <row r="30" customFormat="false" ht="15" hidden="false" customHeight="false" outlineLevel="0" collapsed="false">
      <c r="B30" s="41" t="str">
        <f aca="false">'LIVRO CAIXA'!A21</f>
        <v>DESPESACOMPLANODESAUDE</v>
      </c>
      <c r="C30" s="175" t="n">
        <f aca="false">'LIVRO CAIXA'!B21</f>
        <v>430</v>
      </c>
      <c r="G30" s="50" t="s">
        <v>154</v>
      </c>
      <c r="H30" s="41" t="n">
        <f aca="false">'LIVRO CAIXA'!L14</f>
        <v>0</v>
      </c>
    </row>
    <row r="31" customFormat="false" ht="15" hidden="false" customHeight="false" outlineLevel="0" collapsed="false">
      <c r="B31" s="41" t="str">
        <f aca="false">'LIVRO CAIXA'!A22</f>
        <v>DESPESACOMLAZER</v>
      </c>
      <c r="C31" s="175" t="n">
        <f aca="false">'LIVRO CAIXA'!B22</f>
        <v>230</v>
      </c>
      <c r="G31" s="50" t="s">
        <v>155</v>
      </c>
      <c r="H31" s="41" t="n">
        <f aca="false">'LIVRO CAIXA'!L15</f>
        <v>83</v>
      </c>
    </row>
    <row r="32" customFormat="false" ht="15" hidden="false" customHeight="false" outlineLevel="0" collapsed="false">
      <c r="B32" s="41" t="str">
        <f aca="false">'LIVRO CAIXA'!A23</f>
        <v>IMPOSTO</v>
      </c>
      <c r="C32" s="175" t="n">
        <f aca="false">'LIVRO CAIXA'!B23</f>
        <v>0</v>
      </c>
      <c r="G32" s="50" t="s">
        <v>156</v>
      </c>
      <c r="H32" s="41" t="n">
        <f aca="false">'LIVRO CAIXA'!L16</f>
        <v>0</v>
      </c>
    </row>
    <row r="33" customFormat="false" ht="15" hidden="false" customHeight="false" outlineLevel="0" collapsed="false">
      <c r="B33" s="41" t="str">
        <f aca="false">'LIVRO CAIXA'!A24</f>
        <v>CONTADOR</v>
      </c>
      <c r="C33" s="175" t="n">
        <f aca="false">'LIVRO CAIXA'!B24</f>
        <v>0</v>
      </c>
      <c r="G33" s="50" t="s">
        <v>157</v>
      </c>
      <c r="H33" s="41" t="n">
        <f aca="false">'LIVRO CAIXA'!L17</f>
        <v>0</v>
      </c>
    </row>
    <row r="34" customFormat="false" ht="15" hidden="false" customHeight="false" outlineLevel="0" collapsed="false">
      <c r="B34" s="41" t="str">
        <f aca="false">'LIVRO CAIXA'!A25</f>
        <v>INVESTIMENTO</v>
      </c>
      <c r="C34" s="175" t="n">
        <f aca="false">'LIVRO CAIXA'!B25</f>
        <v>0</v>
      </c>
      <c r="G34" s="50" t="s">
        <v>158</v>
      </c>
      <c r="H34" s="41" t="n">
        <f aca="false">'LIVRO CAIXA'!L18</f>
        <v>0</v>
      </c>
    </row>
    <row r="35" customFormat="false" ht="15" hidden="false" customHeight="false" outlineLevel="0" collapsed="false">
      <c r="C35" s="175"/>
      <c r="G35" s="50" t="s">
        <v>159</v>
      </c>
      <c r="H35" s="41" t="n">
        <f aca="false">'LIVRO CAIXA'!L19</f>
        <v>0</v>
      </c>
    </row>
    <row r="36" customFormat="false" ht="15" hidden="false" customHeight="false" outlineLevel="0" collapsed="false">
      <c r="C36" s="175"/>
      <c r="G36" s="50" t="s">
        <v>160</v>
      </c>
      <c r="H36" s="41" t="n">
        <f aca="false">'LIVRO CAIXA'!L20</f>
        <v>0</v>
      </c>
    </row>
    <row r="37" customFormat="false" ht="15" hidden="false" customHeight="false" outlineLevel="0" collapsed="false">
      <c r="G37" s="50" t="s">
        <v>161</v>
      </c>
      <c r="H37" s="41" t="n">
        <f aca="false">'LIVRO CAIXA'!L21</f>
        <v>0</v>
      </c>
    </row>
    <row r="38" customFormat="false" ht="15" hidden="false" customHeight="false" outlineLevel="0" collapsed="false">
      <c r="B38" s="41" t="s">
        <v>162</v>
      </c>
      <c r="G38" s="50" t="s">
        <v>163</v>
      </c>
      <c r="H38" s="41" t="n">
        <f aca="false">'LIVRO CAIXA'!L22</f>
        <v>0</v>
      </c>
    </row>
    <row r="39" customFormat="false" ht="15" hidden="false" customHeight="false" outlineLevel="0" collapsed="false">
      <c r="G39" s="50" t="s">
        <v>42</v>
      </c>
      <c r="H39" s="41" t="n">
        <f aca="false">'LIVRO CAIXA'!L23</f>
        <v>0</v>
      </c>
    </row>
    <row r="40" customFormat="false" ht="15" hidden="false" customHeight="false" outlineLevel="0" collapsed="false">
      <c r="C40" s="41" t="s">
        <v>164</v>
      </c>
      <c r="D40" s="41" t="s">
        <v>165</v>
      </c>
      <c r="G40" s="50" t="s">
        <v>43</v>
      </c>
      <c r="H40" s="41" t="n">
        <f aca="false">'LIVRO CAIXA'!L24</f>
        <v>0</v>
      </c>
    </row>
    <row r="41" customFormat="false" ht="15" hidden="false" customHeight="false" outlineLevel="0" collapsed="false">
      <c r="B41" s="41" t="s">
        <v>166</v>
      </c>
      <c r="C41" s="175" t="n">
        <f aca="false">'LIVRO CAIXA'!B6</f>
        <v>20491</v>
      </c>
      <c r="D41" s="175" t="n">
        <v>0</v>
      </c>
      <c r="G41" s="50" t="s">
        <v>44</v>
      </c>
      <c r="H41" s="41" t="n">
        <f aca="false">'LIVRO CAIXA'!L25</f>
        <v>0</v>
      </c>
    </row>
    <row r="42" customFormat="false" ht="15" hidden="false" customHeight="false" outlineLevel="0" collapsed="false">
      <c r="B42" s="41" t="s">
        <v>167</v>
      </c>
      <c r="C42" s="175" t="n">
        <f aca="false">'LIVRO CAIXA'!C6</f>
        <v>21280.56</v>
      </c>
      <c r="D42" s="175" t="n">
        <f aca="false">C41</f>
        <v>20491</v>
      </c>
    </row>
    <row r="43" customFormat="false" ht="15" hidden="false" customHeight="false" outlineLevel="0" collapsed="false">
      <c r="B43" s="41" t="s">
        <v>168</v>
      </c>
      <c r="C43" s="175" t="n">
        <f aca="false">'LIVRO CAIXA'!D6</f>
        <v>24778.27</v>
      </c>
      <c r="D43" s="175" t="n">
        <f aca="false">C42</f>
        <v>21280.56</v>
      </c>
    </row>
    <row r="44" customFormat="false" ht="15" hidden="false" customHeight="false" outlineLevel="0" collapsed="false">
      <c r="B44" s="41" t="s">
        <v>169</v>
      </c>
      <c r="C44" s="175" t="n">
        <f aca="false">'LIVRO CAIXA'!E6</f>
        <v>18951.26</v>
      </c>
      <c r="D44" s="175" t="n">
        <f aca="false">C43</f>
        <v>24778.27</v>
      </c>
    </row>
    <row r="45" customFormat="false" ht="15" hidden="false" customHeight="false" outlineLevel="0" collapsed="false">
      <c r="B45" s="41" t="s">
        <v>170</v>
      </c>
      <c r="C45" s="175" t="n">
        <f aca="false">'LIVRO CAIXA'!F6</f>
        <v>23712.83</v>
      </c>
      <c r="D45" s="175" t="n">
        <f aca="false">C44</f>
        <v>18951.26</v>
      </c>
    </row>
    <row r="46" customFormat="false" ht="15" hidden="false" customHeight="false" outlineLevel="0" collapsed="false">
      <c r="B46" s="41" t="s">
        <v>171</v>
      </c>
      <c r="C46" s="175" t="n">
        <f aca="false">'LIVRO CAIXA'!G6</f>
        <v>20092.32</v>
      </c>
      <c r="D46" s="175" t="n">
        <f aca="false">C45</f>
        <v>23712.83</v>
      </c>
    </row>
    <row r="47" customFormat="false" ht="15" hidden="false" customHeight="false" outlineLevel="0" collapsed="false">
      <c r="B47" s="41" t="s">
        <v>172</v>
      </c>
      <c r="C47" s="175" t="n">
        <f aca="false">'LIVRO CAIXA'!H6</f>
        <v>24959.52</v>
      </c>
      <c r="D47" s="175" t="n">
        <f aca="false">C46</f>
        <v>20092.32</v>
      </c>
    </row>
    <row r="48" customFormat="false" ht="15" hidden="false" customHeight="false" outlineLevel="0" collapsed="false">
      <c r="B48" s="41" t="s">
        <v>173</v>
      </c>
      <c r="C48" s="175" t="n">
        <f aca="false">'LIVRO CAIXA'!I6</f>
        <v>29352.73</v>
      </c>
      <c r="D48" s="175" t="n">
        <f aca="false">C47</f>
        <v>24959.52</v>
      </c>
    </row>
    <row r="49" customFormat="false" ht="15" hidden="false" customHeight="false" outlineLevel="0" collapsed="false">
      <c r="B49" s="41" t="s">
        <v>174</v>
      </c>
      <c r="C49" s="175" t="n">
        <f aca="false">'LIVRO CAIXA'!J6</f>
        <v>25984.02</v>
      </c>
      <c r="D49" s="175" t="n">
        <f aca="false">C48</f>
        <v>29352.73</v>
      </c>
    </row>
    <row r="50" customFormat="false" ht="15" hidden="false" customHeight="false" outlineLevel="0" collapsed="false">
      <c r="B50" s="41" t="s">
        <v>175</v>
      </c>
      <c r="C50" s="175" t="n">
        <f aca="false">'LIVRO CAIXA'!K6</f>
        <v>23017.16</v>
      </c>
      <c r="D50" s="175" t="n">
        <f aca="false">C49</f>
        <v>25984.02</v>
      </c>
    </row>
    <row r="51" customFormat="false" ht="15" hidden="false" customHeight="false" outlineLevel="0" collapsed="false">
      <c r="B51" s="41" t="s">
        <v>176</v>
      </c>
      <c r="C51" s="175" t="n">
        <f aca="false">'LIVRO CAIXA'!L6</f>
        <v>19268.14</v>
      </c>
      <c r="D51" s="175" t="n">
        <f aca="false">C50</f>
        <v>23017.16</v>
      </c>
    </row>
    <row r="52" customFormat="false" ht="15" hidden="false" customHeight="false" outlineLevel="0" collapsed="false">
      <c r="B52" s="41" t="s">
        <v>177</v>
      </c>
      <c r="C52" s="175" t="n">
        <f aca="false">'LIVRO CAIXA'!M6</f>
        <v>21116.14</v>
      </c>
      <c r="D52" s="175" t="n">
        <f aca="false">C51</f>
        <v>19268.14</v>
      </c>
    </row>
    <row r="53" customFormat="false" ht="15" hidden="false" customHeight="false" outlineLevel="0" collapsed="false">
      <c r="C53" s="183"/>
      <c r="D53" s="183" t="n">
        <f aca="false">'FLUXO DE CAIXA'!C7</f>
        <v>20491</v>
      </c>
    </row>
    <row r="55" customFormat="false" ht="15" hidden="false" customHeight="false" outlineLevel="0" collapsed="false">
      <c r="B55" s="41" t="s">
        <v>178</v>
      </c>
    </row>
  </sheetData>
  <conditionalFormatting sqref="E4">
    <cfRule type="expression" priority="2" aboveAverage="0" equalAverage="0" bottom="0" percent="0" rank="0" text="" dxfId="0">
      <formula>D4&lt;0</formula>
    </cfRule>
    <cfRule type="expression" priority="3" aboveAverage="0" equalAverage="0" bottom="0" percent="0" rank="0" text="" dxfId="1">
      <formula>D4&gt;=0</formula>
    </cfRule>
  </conditionalFormatting>
  <conditionalFormatting sqref="E2:E3 E5:E6">
    <cfRule type="expression" priority="4" aboveAverage="0" equalAverage="0" bottom="0" percent="0" rank="0" text="" dxfId="2">
      <formula>D2&lt;0</formula>
    </cfRule>
    <cfRule type="expression" priority="5" aboveAverage="0" equalAverage="0" bottom="0" percent="0" rank="0" text="" dxfId="3">
      <formula>D2&gt;=0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P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4.4296875" defaultRowHeight="15.75" zeroHeight="false" outlineLevelRow="0" outlineLevelCol="0"/>
  <cols>
    <col collapsed="false" customWidth="true" hidden="false" outlineLevel="0" max="1" min="1" style="184" width="3.72"/>
    <col collapsed="false" customWidth="true" hidden="false" outlineLevel="0" max="2" min="2" style="184" width="20.57"/>
    <col collapsed="false" customWidth="false" hidden="false" outlineLevel="0" max="4" min="3" style="184" width="14.43"/>
    <col collapsed="false" customWidth="true" hidden="false" outlineLevel="0" max="5" min="5" style="184" width="4.86"/>
    <col collapsed="false" customWidth="true" hidden="false" outlineLevel="0" max="6" min="6" style="184" width="22.7"/>
    <col collapsed="false" customWidth="false" hidden="false" outlineLevel="0" max="8" min="7" style="184" width="14.43"/>
    <col collapsed="false" customWidth="true" hidden="false" outlineLevel="0" max="9" min="9" style="184" width="5.71"/>
    <col collapsed="false" customWidth="true" hidden="false" outlineLevel="0" max="10" min="10" style="184" width="23.15"/>
    <col collapsed="false" customWidth="false" hidden="false" outlineLevel="0" max="14" min="11" style="184" width="14.43"/>
    <col collapsed="false" customWidth="false" hidden="false" outlineLevel="0" max="15" min="15" style="185" width="14.43"/>
    <col collapsed="false" customWidth="false" hidden="false" outlineLevel="0" max="16384" min="16" style="184" width="14.43"/>
  </cols>
  <sheetData>
    <row r="2" customFormat="false" ht="15.75" hidden="false" customHeight="false" outlineLevel="0" collapsed="false">
      <c r="B2" s="186" t="s">
        <v>179</v>
      </c>
      <c r="C2" s="186"/>
      <c r="D2" s="186"/>
      <c r="F2" s="186" t="s">
        <v>180</v>
      </c>
      <c r="G2" s="186"/>
      <c r="H2" s="186"/>
      <c r="J2" s="186" t="s">
        <v>181</v>
      </c>
      <c r="K2" s="186"/>
      <c r="L2" s="186"/>
    </row>
    <row r="3" customFormat="false" ht="15.75" hidden="false" customHeight="false" outlineLevel="0" collapsed="false">
      <c r="B3" s="187" t="s">
        <v>182</v>
      </c>
      <c r="C3" s="187"/>
      <c r="D3" s="188" t="n">
        <v>270000</v>
      </c>
      <c r="F3" s="187" t="s">
        <v>182</v>
      </c>
      <c r="G3" s="187"/>
      <c r="H3" s="188" t="n">
        <v>270000</v>
      </c>
      <c r="J3" s="187" t="s">
        <v>182</v>
      </c>
      <c r="K3" s="187"/>
      <c r="L3" s="188" t="n">
        <v>270000</v>
      </c>
    </row>
    <row r="4" customFormat="false" ht="15.75" hidden="false" customHeight="false" outlineLevel="0" collapsed="false">
      <c r="B4" s="189" t="s">
        <v>183</v>
      </c>
      <c r="C4" s="189"/>
      <c r="D4" s="189"/>
      <c r="F4" s="189" t="s">
        <v>112</v>
      </c>
      <c r="G4" s="190" t="n">
        <v>0.05</v>
      </c>
      <c r="H4" s="191" t="n">
        <f aca="false">G4*H3</f>
        <v>13500</v>
      </c>
      <c r="J4" s="189" t="s">
        <v>184</v>
      </c>
      <c r="K4" s="190" t="n">
        <v>0.05</v>
      </c>
      <c r="L4" s="192" t="n">
        <f aca="false">K4*L3</f>
        <v>13500</v>
      </c>
    </row>
    <row r="5" customFormat="false" ht="15.75" hidden="false" customHeight="false" outlineLevel="0" collapsed="false">
      <c r="B5" s="187" t="s">
        <v>185</v>
      </c>
      <c r="C5" s="187"/>
      <c r="D5" s="188" t="n">
        <f aca="false">D3-D4</f>
        <v>270000</v>
      </c>
      <c r="F5" s="189" t="s">
        <v>186</v>
      </c>
      <c r="G5" s="190" t="n">
        <v>0.0065</v>
      </c>
      <c r="H5" s="192" t="n">
        <f aca="false">G5*H3</f>
        <v>1755</v>
      </c>
      <c r="J5" s="189" t="s">
        <v>186</v>
      </c>
      <c r="K5" s="190" t="n">
        <v>0.06</v>
      </c>
      <c r="L5" s="192" t="n">
        <f aca="false">L3*K5</f>
        <v>16200</v>
      </c>
    </row>
    <row r="6" customFormat="false" ht="15.75" hidden="false" customHeight="false" outlineLevel="0" collapsed="false">
      <c r="B6" s="189" t="s">
        <v>187</v>
      </c>
      <c r="C6" s="189"/>
      <c r="D6" s="192" t="n">
        <v>0</v>
      </c>
      <c r="F6" s="189" t="s">
        <v>105</v>
      </c>
      <c r="G6" s="190" t="n">
        <v>0.03</v>
      </c>
      <c r="H6" s="192" t="n">
        <f aca="false">G6*H3</f>
        <v>8100</v>
      </c>
      <c r="J6" s="189" t="s">
        <v>105</v>
      </c>
      <c r="K6" s="190" t="n">
        <v>0.02</v>
      </c>
      <c r="L6" s="192" t="n">
        <f aca="false">K6*L3</f>
        <v>5400</v>
      </c>
    </row>
    <row r="7" customFormat="false" ht="15.75" hidden="false" customHeight="false" outlineLevel="0" collapsed="false">
      <c r="B7" s="189" t="s">
        <v>188</v>
      </c>
      <c r="C7" s="189"/>
      <c r="D7" s="192" t="n">
        <v>0</v>
      </c>
      <c r="F7" s="189" t="s">
        <v>189</v>
      </c>
      <c r="G7" s="190" t="n">
        <v>0.05</v>
      </c>
      <c r="H7" s="189" t="n">
        <v>0</v>
      </c>
      <c r="J7" s="189" t="s">
        <v>190</v>
      </c>
      <c r="K7" s="190" t="n">
        <v>0.12</v>
      </c>
      <c r="L7" s="192" t="n">
        <f aca="false">L11*K7</f>
        <v>0</v>
      </c>
    </row>
    <row r="8" customFormat="false" ht="15.75" hidden="false" customHeight="false" outlineLevel="0" collapsed="false">
      <c r="B8" s="187" t="s">
        <v>191</v>
      </c>
      <c r="C8" s="187"/>
      <c r="D8" s="188" t="n">
        <f aca="false">D5-(D7+D6)</f>
        <v>270000</v>
      </c>
      <c r="F8" s="187" t="s">
        <v>192</v>
      </c>
      <c r="G8" s="187"/>
      <c r="H8" s="188" t="n">
        <f aca="false">(H3-(H4+H5+H6))+H7</f>
        <v>246645</v>
      </c>
      <c r="J8" s="189" t="s">
        <v>193</v>
      </c>
      <c r="K8" s="190" t="n">
        <v>0.017</v>
      </c>
      <c r="L8" s="192" t="n">
        <f aca="false">L11*K8</f>
        <v>0</v>
      </c>
    </row>
    <row r="9" customFormat="false" ht="15.75" hidden="false" customHeight="false" outlineLevel="0" collapsed="false">
      <c r="B9" s="189" t="s">
        <v>194</v>
      </c>
      <c r="C9" s="190" t="n">
        <v>0.0765</v>
      </c>
      <c r="D9" s="191" t="n">
        <f aca="false">C9*D3</f>
        <v>20655</v>
      </c>
      <c r="F9" s="189" t="s">
        <v>183</v>
      </c>
      <c r="G9" s="189"/>
      <c r="H9" s="192" t="n">
        <v>0</v>
      </c>
      <c r="J9" s="189" t="s">
        <v>195</v>
      </c>
      <c r="K9" s="190" t="n">
        <v>0.07</v>
      </c>
      <c r="L9" s="192" t="n">
        <f aca="false">K9*L11</f>
        <v>0</v>
      </c>
    </row>
    <row r="10" customFormat="false" ht="15.75" hidden="false" customHeight="false" outlineLevel="0" collapsed="false">
      <c r="F10" s="187" t="s">
        <v>196</v>
      </c>
      <c r="G10" s="187"/>
      <c r="H10" s="188" t="n">
        <f aca="false">H8-H9</f>
        <v>246645</v>
      </c>
      <c r="J10" s="187" t="s">
        <v>197</v>
      </c>
      <c r="K10" s="187"/>
      <c r="L10" s="188" t="n">
        <f aca="false">(L3-(L4+L5+L6))+L7+L8+L9</f>
        <v>234900</v>
      </c>
      <c r="P10" s="193"/>
    </row>
    <row r="11" customFormat="false" ht="15.75" hidden="false" customHeight="false" outlineLevel="0" collapsed="false">
      <c r="D11" s="194" t="n">
        <f aca="false">D9/12</f>
        <v>1721.25</v>
      </c>
      <c r="F11" s="189" t="s">
        <v>187</v>
      </c>
      <c r="G11" s="189"/>
      <c r="H11" s="192" t="n">
        <v>0</v>
      </c>
      <c r="J11" s="189" t="s">
        <v>183</v>
      </c>
      <c r="K11" s="189"/>
      <c r="L11" s="192" t="n">
        <v>0</v>
      </c>
      <c r="P11" s="185"/>
    </row>
    <row r="12" customFormat="false" ht="15.75" hidden="false" customHeight="false" outlineLevel="0" collapsed="false">
      <c r="F12" s="189" t="s">
        <v>198</v>
      </c>
      <c r="G12" s="189"/>
      <c r="H12" s="192" t="n">
        <v>0</v>
      </c>
      <c r="J12" s="187" t="s">
        <v>185</v>
      </c>
      <c r="K12" s="187"/>
      <c r="L12" s="188" t="n">
        <f aca="false">L10-L11</f>
        <v>234900</v>
      </c>
      <c r="P12" s="185"/>
    </row>
    <row r="13" customFormat="false" ht="15.75" hidden="false" customHeight="false" outlineLevel="0" collapsed="false">
      <c r="F13" s="189" t="s">
        <v>188</v>
      </c>
      <c r="G13" s="189"/>
      <c r="H13" s="192" t="n">
        <v>0</v>
      </c>
      <c r="J13" s="189" t="s">
        <v>187</v>
      </c>
      <c r="K13" s="189"/>
      <c r="L13" s="192" t="n">
        <v>0</v>
      </c>
      <c r="O13" s="195"/>
    </row>
    <row r="14" customFormat="false" ht="15.75" hidden="false" customHeight="false" outlineLevel="0" collapsed="false">
      <c r="F14" s="187" t="s">
        <v>191</v>
      </c>
      <c r="G14" s="187"/>
      <c r="H14" s="188" t="n">
        <f aca="false">H10-(H11+H12+H13)</f>
        <v>246645</v>
      </c>
      <c r="J14" s="189" t="s">
        <v>198</v>
      </c>
      <c r="K14" s="189"/>
      <c r="L14" s="192" t="n">
        <v>4092</v>
      </c>
      <c r="O14" s="195"/>
      <c r="P14" s="185"/>
    </row>
    <row r="15" customFormat="false" ht="15.75" hidden="false" customHeight="false" outlineLevel="0" collapsed="false">
      <c r="F15" s="189" t="s">
        <v>199</v>
      </c>
      <c r="G15" s="190" t="n">
        <v>0.09</v>
      </c>
      <c r="H15" s="192" t="n">
        <f aca="false">H3*G15*12%</f>
        <v>2916</v>
      </c>
      <c r="J15" s="189" t="s">
        <v>188</v>
      </c>
      <c r="K15" s="189"/>
      <c r="L15" s="192" t="n">
        <v>0</v>
      </c>
      <c r="P15" s="185"/>
    </row>
    <row r="16" customFormat="false" ht="15.75" hidden="false" customHeight="false" outlineLevel="0" collapsed="false">
      <c r="F16" s="189" t="s">
        <v>200</v>
      </c>
      <c r="G16" s="190" t="n">
        <v>0.15</v>
      </c>
      <c r="H16" s="192" t="n">
        <f aca="false">H3*G16*8%</f>
        <v>3240</v>
      </c>
      <c r="J16" s="187" t="s">
        <v>191</v>
      </c>
      <c r="K16" s="187"/>
      <c r="L16" s="188" t="n">
        <f aca="false">L12-L13-L14-L15</f>
        <v>230808</v>
      </c>
    </row>
    <row r="17" customFormat="false" ht="15.75" hidden="false" customHeight="false" outlineLevel="0" collapsed="false">
      <c r="F17" s="196" t="s">
        <v>201</v>
      </c>
      <c r="G17" s="190" t="n">
        <v>0.1</v>
      </c>
      <c r="H17" s="197" t="n">
        <f aca="false">((H3*32%)-60000)*G17</f>
        <v>2640</v>
      </c>
      <c r="J17" s="189" t="s">
        <v>199</v>
      </c>
      <c r="K17" s="190" t="n">
        <v>0.07</v>
      </c>
      <c r="L17" s="192" t="n">
        <f aca="false">L16*K17</f>
        <v>16156.56</v>
      </c>
    </row>
    <row r="18" customFormat="false" ht="15.75" hidden="false" customHeight="false" outlineLevel="0" collapsed="false">
      <c r="J18" s="189" t="s">
        <v>200</v>
      </c>
      <c r="K18" s="190" t="n">
        <v>0.07</v>
      </c>
      <c r="L18" s="192" t="n">
        <f aca="false">L16*K18</f>
        <v>16156.56</v>
      </c>
    </row>
    <row r="19" customFormat="false" ht="15.75" hidden="false" customHeight="false" outlineLevel="0" collapsed="false">
      <c r="G19" s="198"/>
    </row>
    <row r="20" customFormat="false" ht="15.75" hidden="false" customHeight="false" outlineLevel="0" collapsed="false">
      <c r="B20" s="199" t="s">
        <v>202</v>
      </c>
      <c r="C20" s="199"/>
      <c r="D20" s="200" t="n">
        <f aca="false">D8-D9</f>
        <v>249345</v>
      </c>
      <c r="F20" s="199" t="s">
        <v>180</v>
      </c>
      <c r="G20" s="199"/>
      <c r="H20" s="200" t="n">
        <f aca="false">H14-(H15+H16+H17)</f>
        <v>237849</v>
      </c>
      <c r="J20" s="199" t="s">
        <v>181</v>
      </c>
      <c r="K20" s="199"/>
      <c r="L20" s="200" t="n">
        <f aca="false">L16-L17-L18</f>
        <v>198494.88</v>
      </c>
    </row>
    <row r="21" customFormat="false" ht="15.75" hidden="false" customHeight="false" outlineLevel="0" collapsed="false">
      <c r="F21" s="184" t="s">
        <v>203</v>
      </c>
      <c r="G21" s="198"/>
      <c r="H21" s="197" t="n">
        <f aca="false">D20-H20</f>
        <v>11496</v>
      </c>
    </row>
  </sheetData>
  <mergeCells count="3">
    <mergeCell ref="B2:D2"/>
    <mergeCell ref="F2:H2"/>
    <mergeCell ref="J2:L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2021-09-08T18:03:37Z</dcterms:created>
  <dc:creator>Tiago</dc:creator>
  <dc:description/>
  <dc:language>pt-BR</dc:language>
  <cp:lastModifiedBy/>
  <cp:lastPrinted>2021-12-07T15:55:44Z</cp:lastPrinted>
  <dcterms:modified xsi:type="dcterms:W3CDTF">2024-09-27T17:15:39Z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