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DataScience/6thSemester/Reconocimiento-Patrones/ProyectoFinal/"/>
    </mc:Choice>
  </mc:AlternateContent>
  <xr:revisionPtr revIDLastSave="0" documentId="13_ncr:1_{FD0E007E-D233-2641-9810-7F56855CBA02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Preoperativo" sheetId="3" r:id="rId1"/>
    <sheet name="Gastos mensuales" sheetId="1" r:id="rId2"/>
    <sheet name="ModeloFinanciero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7" l="1"/>
  <c r="Z21" i="7" s="1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B21" i="7"/>
  <c r="D22" i="1"/>
  <c r="B15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Y16" i="7"/>
  <c r="X16" i="7"/>
  <c r="W16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Z14" i="7"/>
  <c r="C20" i="1"/>
  <c r="C19" i="1"/>
  <c r="C18" i="1"/>
  <c r="D17" i="1"/>
  <c r="C17" i="1"/>
  <c r="C16" i="1"/>
  <c r="C15" i="1"/>
  <c r="D14" i="1"/>
  <c r="C14" i="1" s="1"/>
  <c r="D13" i="1"/>
  <c r="C13" i="1" s="1"/>
  <c r="C12" i="1"/>
  <c r="D11" i="1"/>
  <c r="C11" i="1" s="1"/>
  <c r="C10" i="1"/>
  <c r="C9" i="1"/>
  <c r="C8" i="1"/>
  <c r="C4" i="1"/>
  <c r="C7" i="1"/>
  <c r="C6" i="1"/>
  <c r="C5" i="1"/>
  <c r="C3" i="1"/>
  <c r="D2" i="1"/>
  <c r="C2" i="1" s="1"/>
  <c r="B17" i="7" l="1"/>
  <c r="B24" i="7" s="1"/>
  <c r="C15" i="7"/>
  <c r="B20" i="7"/>
  <c r="C20" i="7"/>
  <c r="D15" i="7" l="1"/>
  <c r="E15" i="7" s="1"/>
  <c r="C17" i="7"/>
  <c r="C24" i="7" s="1"/>
  <c r="B25" i="7"/>
  <c r="B27" i="7" s="1"/>
  <c r="C25" i="7"/>
  <c r="D17" i="7" l="1"/>
  <c r="D24" i="7" s="1"/>
  <c r="D20" i="7"/>
  <c r="D25" i="7" s="1"/>
  <c r="D27" i="7" s="1"/>
  <c r="C27" i="7"/>
  <c r="E17" i="7" l="1"/>
  <c r="E24" i="7" s="1"/>
  <c r="E20" i="7"/>
  <c r="E25" i="7" s="1"/>
  <c r="F15" i="7"/>
  <c r="G15" i="7" s="1"/>
  <c r="F17" i="7" l="1"/>
  <c r="F24" i="7" s="1"/>
  <c r="F20" i="7"/>
  <c r="F25" i="7" s="1"/>
  <c r="G17" i="7"/>
  <c r="G24" i="7" s="1"/>
  <c r="G20" i="7"/>
  <c r="G25" i="7" s="1"/>
  <c r="E27" i="7"/>
  <c r="H15" i="7"/>
  <c r="F27" i="7" l="1"/>
  <c r="G27" i="7"/>
  <c r="H17" i="7"/>
  <c r="H20" i="7"/>
  <c r="H25" i="7" s="1"/>
  <c r="I15" i="7"/>
  <c r="I17" i="7" l="1"/>
  <c r="I20" i="7"/>
  <c r="I25" i="7" s="1"/>
  <c r="J15" i="7"/>
  <c r="J17" i="7" l="1"/>
  <c r="J20" i="7"/>
  <c r="J25" i="7" s="1"/>
  <c r="K15" i="7"/>
  <c r="K17" i="7" l="1"/>
  <c r="K24" i="7" s="1"/>
  <c r="K20" i="7"/>
  <c r="K25" i="7" s="1"/>
  <c r="L15" i="7"/>
  <c r="L17" i="7" l="1"/>
  <c r="L24" i="7" s="1"/>
  <c r="L20" i="7"/>
  <c r="L25" i="7" s="1"/>
  <c r="M15" i="7"/>
  <c r="K27" i="7"/>
  <c r="M17" i="7" l="1"/>
  <c r="M24" i="7" s="1"/>
  <c r="M20" i="7"/>
  <c r="M25" i="7" s="1"/>
  <c r="L27" i="7"/>
  <c r="N15" i="7"/>
  <c r="N17" i="7" l="1"/>
  <c r="N24" i="7" s="1"/>
  <c r="N20" i="7"/>
  <c r="N25" i="7" s="1"/>
  <c r="O15" i="7"/>
  <c r="M27" i="7"/>
  <c r="O17" i="7" l="1"/>
  <c r="O24" i="7" s="1"/>
  <c r="O20" i="7"/>
  <c r="O25" i="7" s="1"/>
  <c r="P15" i="7"/>
  <c r="N27" i="7"/>
  <c r="P17" i="7" l="1"/>
  <c r="P24" i="7" s="1"/>
  <c r="P20" i="7"/>
  <c r="P25" i="7" s="1"/>
  <c r="O27" i="7"/>
  <c r="Q15" i="7"/>
  <c r="Q17" i="7" l="1"/>
  <c r="Q24" i="7" s="1"/>
  <c r="Q20" i="7"/>
  <c r="Q25" i="7" s="1"/>
  <c r="R15" i="7"/>
  <c r="P27" i="7"/>
  <c r="R17" i="7" l="1"/>
  <c r="R24" i="7" s="1"/>
  <c r="R20" i="7"/>
  <c r="R25" i="7" s="1"/>
  <c r="S15" i="7"/>
  <c r="Q27" i="7"/>
  <c r="S17" i="7" l="1"/>
  <c r="S24" i="7" s="1"/>
  <c r="S20" i="7"/>
  <c r="S25" i="7" s="1"/>
  <c r="T15" i="7"/>
  <c r="R27" i="7"/>
  <c r="T17" i="7" l="1"/>
  <c r="T24" i="7" s="1"/>
  <c r="T20" i="7"/>
  <c r="T25" i="7" s="1"/>
  <c r="U15" i="7"/>
  <c r="S27" i="7"/>
  <c r="U17" i="7" l="1"/>
  <c r="U24" i="7" s="1"/>
  <c r="U20" i="7"/>
  <c r="U25" i="7" s="1"/>
  <c r="T27" i="7"/>
  <c r="V15" i="7"/>
  <c r="V17" i="7" l="1"/>
  <c r="V24" i="7" s="1"/>
  <c r="V20" i="7"/>
  <c r="V25" i="7" s="1"/>
  <c r="W15" i="7"/>
  <c r="U27" i="7"/>
  <c r="W17" i="7" l="1"/>
  <c r="W24" i="7" s="1"/>
  <c r="W20" i="7"/>
  <c r="W25" i="7" s="1"/>
  <c r="X15" i="7"/>
  <c r="V27" i="7"/>
  <c r="X17" i="7" l="1"/>
  <c r="X20" i="7"/>
  <c r="X25" i="7" s="1"/>
  <c r="W27" i="7"/>
  <c r="X24" i="7"/>
  <c r="Y15" i="7"/>
  <c r="Y17" i="7" l="1"/>
  <c r="Y20" i="7"/>
  <c r="Y25" i="7" s="1"/>
  <c r="Z15" i="7"/>
  <c r="X27" i="7"/>
  <c r="Z17" i="7" l="1"/>
  <c r="Z20" i="7"/>
  <c r="Z25" i="7" s="1"/>
  <c r="Y24" i="7"/>
  <c r="Y27" i="7" l="1"/>
  <c r="J24" i="7" l="1"/>
  <c r="J27" i="7" s="1"/>
  <c r="I24" i="7"/>
  <c r="I27" i="7" s="1"/>
  <c r="H24" i="7"/>
  <c r="H27" i="7" l="1"/>
  <c r="B8" i="7" s="1"/>
  <c r="Z24" i="7"/>
  <c r="K5" i="7" l="1"/>
  <c r="K6" i="7"/>
  <c r="Z27" i="7"/>
  <c r="R33" i="7"/>
  <c r="R33" i="7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<sst xmlns="http://schemas.openxmlformats.org/spreadsheetml/2006/main" count="126" uniqueCount="61">
  <si>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Concepto</t>
  </si>
  <si>
    <t>Cantidad</t>
  </si>
  <si>
    <t>Costo unitario</t>
  </si>
  <si>
    <t>Subtotal</t>
  </si>
  <si>
    <t>Categoria</t>
  </si>
  <si>
    <t>Inicio</t>
  </si>
  <si>
    <t>Mensual</t>
  </si>
  <si>
    <t>Marketing</t>
  </si>
  <si>
    <t>Renta</t>
  </si>
  <si>
    <t>Una vez</t>
  </si>
  <si>
    <t>Clientes al mes</t>
  </si>
  <si>
    <t>Indicadores financieros</t>
  </si>
  <si>
    <t>Configuración</t>
  </si>
  <si>
    <t>Tasa de descuento</t>
  </si>
  <si>
    <t>Valor presente</t>
  </si>
  <si>
    <t>Comisión 1</t>
  </si>
  <si>
    <t>TIR</t>
  </si>
  <si>
    <t>Comisión 2</t>
  </si>
  <si>
    <t>Capital inicial (proy)</t>
  </si>
  <si>
    <t>Clientes por empleado</t>
  </si>
  <si>
    <t>Primeros clientes</t>
  </si>
  <si>
    <t>Proyección</t>
  </si>
  <si>
    <t>Total</t>
  </si>
  <si>
    <t>Clientes reales</t>
  </si>
  <si>
    <t>Clientes proyectados</t>
  </si>
  <si>
    <t>Rentas</t>
  </si>
  <si>
    <t>Comisiones conf</t>
  </si>
  <si>
    <t>Comisiones renta</t>
  </si>
  <si>
    <t>Gastos fijo</t>
  </si>
  <si>
    <t>Gastos variables</t>
  </si>
  <si>
    <t>Total ingresos</t>
  </si>
  <si>
    <t>Total gastos</t>
  </si>
  <si>
    <t>Equipo de cómputo</t>
  </si>
  <si>
    <t>Mobiliario</t>
  </si>
  <si>
    <t>Oficina</t>
  </si>
  <si>
    <t>Internet</t>
  </si>
  <si>
    <t>Tramites en normas y leyes para el uso de datos personales con propósitos médicos</t>
  </si>
  <si>
    <t>Transporte (vendedores)</t>
  </si>
  <si>
    <t>Viáticos vendedores</t>
  </si>
  <si>
    <t>Web page domain</t>
  </si>
  <si>
    <t xml:space="preserve">AWS </t>
  </si>
  <si>
    <t>Otros no contemplados</t>
  </si>
  <si>
    <t>Data Scientists</t>
  </si>
  <si>
    <t>Data Engineer</t>
  </si>
  <si>
    <t>Vendedor</t>
  </si>
  <si>
    <t>Abogado</t>
  </si>
  <si>
    <t>Developers</t>
  </si>
  <si>
    <t>Contador</t>
  </si>
  <si>
    <t>Administrador</t>
  </si>
  <si>
    <t>Gastos e Inversiones de Arranque Mensual</t>
  </si>
  <si>
    <t>Descripción</t>
  </si>
  <si>
    <t>Costo Total</t>
  </si>
  <si>
    <t>INVERSIONES</t>
  </si>
  <si>
    <t>GASTOS</t>
  </si>
  <si>
    <t>Anual</t>
  </si>
  <si>
    <t>NÓMINA</t>
  </si>
  <si>
    <t>Inversión de arranque</t>
  </si>
  <si>
    <t>Individual</t>
  </si>
  <si>
    <t>HS</t>
  </si>
  <si>
    <t>HM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</si>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</sst>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;[Red]\-&quot;$&quot;#,##0.00"/>
    <numFmt numFmtId="165" formatCode="_-* #,##0.00_-;\-* #,##0.00_-;_-* &quot;-&quot;??_-;_-@"/>
  </numFmts>
  <fonts count="13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548235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82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/>
    <xf numFmtId="0" fontId="4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/>
    </xf>
    <xf numFmtId="43" fontId="3" fillId="3" borderId="1" xfId="0" applyNumberFormat="1" applyFont="1" applyFill="1" applyBorder="1"/>
    <xf numFmtId="164" fontId="3" fillId="3" borderId="1" xfId="0" applyNumberFormat="1" applyFont="1" applyFill="1" applyBorder="1"/>
    <xf numFmtId="10" fontId="3" fillId="3" borderId="1" xfId="0" applyNumberFormat="1" applyFont="1" applyFill="1" applyBorder="1"/>
    <xf numFmtId="165" fontId="3" fillId="3" borderId="1" xfId="0" applyNumberFormat="1" applyFont="1" applyFill="1" applyBorder="1"/>
    <xf numFmtId="0" fontId="6" fillId="2" borderId="1" xfId="0" applyFont="1" applyFill="1" applyBorder="1"/>
    <xf numFmtId="17" fontId="6" fillId="2" borderId="1" xfId="0" applyNumberFormat="1" applyFont="1" applyFill="1" applyBorder="1"/>
    <xf numFmtId="0" fontId="4" fillId="0" borderId="0" xfId="0" applyFont="1"/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/>
    <xf numFmtId="0" fontId="0" fillId="0" borderId="4" xfId="1" applyNumberFormat="1" applyFont="1" applyBorder="1"/>
    <xf numFmtId="17" fontId="3" fillId="0" borderId="4" xfId="0" applyNumberFormat="1" applyFont="1" applyBorder="1"/>
    <xf numFmtId="0" fontId="0" fillId="0" borderId="4" xfId="1" applyNumberFormat="1" applyFont="1" applyBorder="1" applyAlignment="1">
      <alignment wrapText="1"/>
    </xf>
    <xf numFmtId="0" fontId="8" fillId="5" borderId="8" xfId="0" applyFont="1" applyFill="1" applyBorder="1"/>
    <xf numFmtId="0" fontId="8" fillId="5" borderId="9" xfId="0" applyFont="1" applyFill="1" applyBorder="1"/>
    <xf numFmtId="0" fontId="8" fillId="5" borderId="10" xfId="0" applyFont="1" applyFill="1" applyBorder="1"/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44" fontId="9" fillId="0" borderId="9" xfId="0" applyNumberFormat="1" applyFont="1" applyBorder="1" applyAlignment="1">
      <alignment horizontal="center" vertical="center"/>
    </xf>
    <xf numFmtId="14" fontId="9" fillId="0" borderId="10" xfId="0" applyNumberFormat="1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44" fontId="9" fillId="0" borderId="15" xfId="0" applyNumberFormat="1" applyFont="1" applyBorder="1" applyAlignment="1">
      <alignment horizontal="center" vertical="center"/>
    </xf>
    <xf numFmtId="14" fontId="9" fillId="0" borderId="16" xfId="0" applyNumberFormat="1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4" fontId="9" fillId="0" borderId="9" xfId="0" applyNumberFormat="1" applyFont="1" applyBorder="1" applyAlignment="1">
      <alignment horizontal="center" vertical="center" wrapText="1"/>
    </xf>
    <xf numFmtId="44" fontId="9" fillId="0" borderId="18" xfId="0" applyNumberFormat="1" applyFont="1" applyBorder="1" applyAlignment="1">
      <alignment horizontal="center" vertical="center"/>
    </xf>
    <xf numFmtId="0" fontId="10" fillId="5" borderId="19" xfId="0" applyFont="1" applyFill="1" applyBorder="1" applyAlignment="1">
      <alignment horizontal="center" vertical="center"/>
    </xf>
    <xf numFmtId="44" fontId="10" fillId="5" borderId="20" xfId="0" applyNumberFormat="1" applyFont="1" applyFill="1" applyBorder="1" applyAlignment="1">
      <alignment horizontal="center" vertical="center"/>
    </xf>
    <xf numFmtId="44" fontId="9" fillId="5" borderId="21" xfId="0" applyNumberFormat="1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14" fontId="9" fillId="5" borderId="22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  <xf numFmtId="8" fontId="3" fillId="3" borderId="1" xfId="0" applyNumberFormat="1" applyFont="1" applyFill="1" applyBorder="1"/>
    <xf numFmtId="0" fontId="0" fillId="7" borderId="0" xfId="0" applyFill="1"/>
    <xf numFmtId="0" fontId="2" fillId="7" borderId="0" xfId="0" applyFont="1" applyFill="1"/>
    <xf numFmtId="0" fontId="2" fillId="0" borderId="23" xfId="0" applyFont="1" applyBorder="1"/>
    <xf numFmtId="0" fontId="4" fillId="3" borderId="23" xfId="0" applyFont="1" applyFill="1" applyBorder="1"/>
    <xf numFmtId="0" fontId="3" fillId="3" borderId="23" xfId="0" applyFont="1" applyFill="1" applyBorder="1"/>
    <xf numFmtId="43" fontId="3" fillId="3" borderId="23" xfId="0" applyNumberFormat="1" applyFont="1" applyFill="1" applyBorder="1"/>
    <xf numFmtId="0" fontId="0" fillId="7" borderId="23" xfId="0" applyFill="1" applyBorder="1"/>
    <xf numFmtId="10" fontId="3" fillId="3" borderId="23" xfId="0" applyNumberFormat="1" applyFont="1" applyFill="1" applyBorder="1"/>
    <xf numFmtId="0" fontId="11" fillId="7" borderId="23" xfId="0" applyFont="1" applyFill="1" applyBorder="1"/>
    <xf numFmtId="165" fontId="3" fillId="3" borderId="23" xfId="0" applyNumberFormat="1" applyFont="1" applyFill="1" applyBorder="1"/>
    <xf numFmtId="17" fontId="3" fillId="3" borderId="23" xfId="0" applyNumberFormat="1" applyFont="1" applyFill="1" applyBorder="1"/>
    <xf numFmtId="0" fontId="3" fillId="8" borderId="23" xfId="0" applyFont="1" applyFill="1" applyBorder="1"/>
    <xf numFmtId="0" fontId="11" fillId="9" borderId="23" xfId="0" applyFont="1" applyFill="1" applyBorder="1" applyAlignment="1">
      <alignment horizontal="right" vertical="center"/>
    </xf>
    <xf numFmtId="43" fontId="3" fillId="8" borderId="23" xfId="0" applyNumberFormat="1" applyFont="1" applyFill="1" applyBorder="1"/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7" borderId="3" xfId="0" applyFont="1" applyFill="1" applyBorder="1"/>
    <xf numFmtId="0" fontId="5" fillId="7" borderId="4" xfId="0" applyFont="1" applyFill="1" applyBorder="1"/>
    <xf numFmtId="0" fontId="4" fillId="7" borderId="0" xfId="0" applyFont="1" applyFill="1" applyAlignment="1">
      <alignment horizontal="left"/>
    </xf>
    <xf numFmtId="0" fontId="0" fillId="7" borderId="0" xfId="0" applyFill="1"/>
    <xf numFmtId="0" fontId="4" fillId="3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1" fontId="0" fillId="0" borderId="0" xfId="0" applyNumberFormat="1"/>
    <xf numFmtId="0" fontId="12" fillId="0" borderId="4" xfId="0" applyFont="1" applyFill="1" applyBorder="1"/>
    <xf numFmtId="2" fontId="9" fillId="0" borderId="4" xfId="0" applyNumberFormat="1" applyFont="1" applyFill="1" applyBorder="1"/>
    <xf numFmtId="0" fontId="9" fillId="0" borderId="4" xfId="0" applyFont="1" applyFill="1" applyBorder="1"/>
    <xf numFmtId="0" fontId="0" fillId="0" borderId="0" xfId="0" applyFill="1"/>
    <xf numFmtId="0" fontId="4" fillId="0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9B931-E6D0-A541-B13A-7A1DA51C6895}">
  <dimension ref="A1:E28"/>
  <sheetViews>
    <sheetView workbookViewId="0">
      <selection activeCell="D8" sqref="D8"/>
    </sheetView>
  </sheetViews>
  <sheetFormatPr baseColWidth="10" defaultRowHeight="15" x14ac:dyDescent="0.2"/>
  <cols>
    <col min="1" max="1" width="22.83203125" customWidth="1"/>
    <col min="3" max="3" width="18" customWidth="1"/>
    <col min="4" max="4" width="12.5" customWidth="1"/>
  </cols>
  <sheetData>
    <row r="1" spans="1:5" x14ac:dyDescent="0.2">
      <c r="A1" s="58" t="s">
        <v>49</v>
      </c>
      <c r="B1" s="59"/>
      <c r="C1" s="59"/>
      <c r="D1" s="59"/>
      <c r="E1" s="60"/>
    </row>
    <row r="2" spans="1:5" x14ac:dyDescent="0.2">
      <c r="A2" s="20" t="s">
        <v>50</v>
      </c>
      <c r="B2" s="21" t="s">
        <v>1</v>
      </c>
      <c r="C2" s="21" t="s">
        <v>51</v>
      </c>
      <c r="D2" s="21" t="s">
        <v>4</v>
      </c>
      <c r="E2" s="22" t="s">
        <v>5</v>
      </c>
    </row>
    <row r="3" spans="1:5" x14ac:dyDescent="0.2">
      <c r="A3" s="61" t="s">
        <v>52</v>
      </c>
      <c r="B3" s="62"/>
      <c r="C3" s="62"/>
      <c r="D3" s="62"/>
      <c r="E3" s="63"/>
    </row>
    <row r="4" spans="1:5" x14ac:dyDescent="0.2">
      <c r="A4" s="23" t="s">
        <v>32</v>
      </c>
      <c r="B4" s="24">
        <v>10</v>
      </c>
      <c r="C4" s="25">
        <v>113996</v>
      </c>
      <c r="D4" s="24" t="s">
        <v>9</v>
      </c>
      <c r="E4" s="26">
        <v>45072</v>
      </c>
    </row>
    <row r="5" spans="1:5" ht="16" thickBot="1" x14ac:dyDescent="0.25">
      <c r="A5" s="27" t="s">
        <v>33</v>
      </c>
      <c r="B5" s="28">
        <v>15</v>
      </c>
      <c r="C5" s="29">
        <v>50000</v>
      </c>
      <c r="D5" s="28" t="s">
        <v>9</v>
      </c>
      <c r="E5" s="30">
        <v>45072</v>
      </c>
    </row>
    <row r="6" spans="1:5" ht="16" thickBot="1" x14ac:dyDescent="0.25">
      <c r="A6" s="31"/>
      <c r="B6" s="32"/>
      <c r="C6" s="32"/>
      <c r="D6" s="32"/>
      <c r="E6" s="32"/>
    </row>
    <row r="7" spans="1:5" x14ac:dyDescent="0.2">
      <c r="A7" s="64" t="s">
        <v>53</v>
      </c>
      <c r="B7" s="65"/>
      <c r="C7" s="65"/>
      <c r="D7" s="65"/>
      <c r="E7" s="66"/>
    </row>
    <row r="8" spans="1:5" x14ac:dyDescent="0.2">
      <c r="A8" s="23" t="s">
        <v>34</v>
      </c>
      <c r="B8" s="24">
        <v>1</v>
      </c>
      <c r="C8" s="25">
        <v>25000</v>
      </c>
      <c r="D8" s="24" t="s">
        <v>6</v>
      </c>
      <c r="E8" s="26">
        <v>45072</v>
      </c>
    </row>
    <row r="9" spans="1:5" x14ac:dyDescent="0.2">
      <c r="A9" s="23" t="s">
        <v>35</v>
      </c>
      <c r="B9" s="24">
        <v>1</v>
      </c>
      <c r="C9" s="25">
        <v>1500</v>
      </c>
      <c r="D9" s="24" t="s">
        <v>6</v>
      </c>
      <c r="E9" s="26">
        <v>45072</v>
      </c>
    </row>
    <row r="10" spans="1:5" x14ac:dyDescent="0.2">
      <c r="A10" s="23" t="s">
        <v>7</v>
      </c>
      <c r="B10" s="24">
        <v>1</v>
      </c>
      <c r="C10" s="25">
        <v>15000</v>
      </c>
      <c r="D10" s="24" t="s">
        <v>6</v>
      </c>
      <c r="E10" s="26">
        <v>45072</v>
      </c>
    </row>
    <row r="11" spans="1:5" ht="58" customHeight="1" x14ac:dyDescent="0.2">
      <c r="A11" s="33" t="s">
        <v>36</v>
      </c>
      <c r="B11" s="24">
        <v>1</v>
      </c>
      <c r="C11" s="25">
        <v>50000</v>
      </c>
      <c r="D11" s="24" t="s">
        <v>9</v>
      </c>
      <c r="E11" s="26">
        <v>45072</v>
      </c>
    </row>
    <row r="12" spans="1:5" x14ac:dyDescent="0.2">
      <c r="A12" s="23" t="s">
        <v>37</v>
      </c>
      <c r="B12" s="24">
        <v>1</v>
      </c>
      <c r="C12" s="25">
        <v>3600</v>
      </c>
      <c r="D12" s="24" t="s">
        <v>6</v>
      </c>
      <c r="E12" s="26">
        <v>45072</v>
      </c>
    </row>
    <row r="13" spans="1:5" ht="16" x14ac:dyDescent="0.2">
      <c r="A13" s="33" t="s">
        <v>38</v>
      </c>
      <c r="B13" s="34">
        <v>12</v>
      </c>
      <c r="C13" s="35">
        <v>1800</v>
      </c>
      <c r="D13" s="34" t="s">
        <v>6</v>
      </c>
      <c r="E13" s="26">
        <v>45072</v>
      </c>
    </row>
    <row r="14" spans="1:5" ht="16" x14ac:dyDescent="0.2">
      <c r="A14" s="33" t="s">
        <v>39</v>
      </c>
      <c r="B14" s="24">
        <v>1</v>
      </c>
      <c r="C14" s="25">
        <v>367</v>
      </c>
      <c r="D14" s="24" t="s">
        <v>54</v>
      </c>
      <c r="E14" s="26">
        <v>45072</v>
      </c>
    </row>
    <row r="15" spans="1:5" ht="16" x14ac:dyDescent="0.2">
      <c r="A15" s="33" t="s">
        <v>40</v>
      </c>
      <c r="B15" s="24">
        <v>1</v>
      </c>
      <c r="C15" s="25">
        <v>9000</v>
      </c>
      <c r="D15" s="24" t="s">
        <v>6</v>
      </c>
      <c r="E15" s="26">
        <v>45072</v>
      </c>
    </row>
    <row r="16" spans="1:5" ht="16" thickBot="1" x14ac:dyDescent="0.25">
      <c r="A16" s="27" t="s">
        <v>41</v>
      </c>
      <c r="B16" s="28">
        <v>1</v>
      </c>
      <c r="C16" s="29">
        <v>10000</v>
      </c>
      <c r="D16" s="28" t="s">
        <v>6</v>
      </c>
      <c r="E16" s="30">
        <v>45072</v>
      </c>
    </row>
    <row r="17" spans="1:5" ht="16" thickBot="1" x14ac:dyDescent="0.25">
      <c r="A17" s="31"/>
      <c r="B17" s="36"/>
      <c r="C17" s="32"/>
      <c r="D17" s="32"/>
      <c r="E17" s="32"/>
    </row>
    <row r="18" spans="1:5" x14ac:dyDescent="0.2">
      <c r="A18" s="64" t="s">
        <v>55</v>
      </c>
      <c r="B18" s="65"/>
      <c r="C18" s="65"/>
      <c r="D18" s="65"/>
      <c r="E18" s="66"/>
    </row>
    <row r="19" spans="1:5" x14ac:dyDescent="0.2">
      <c r="A19" s="23" t="s">
        <v>42</v>
      </c>
      <c r="B19" s="24">
        <v>2</v>
      </c>
      <c r="C19" s="25">
        <v>60000</v>
      </c>
      <c r="D19" s="24" t="s">
        <v>6</v>
      </c>
      <c r="E19" s="26">
        <v>45072</v>
      </c>
    </row>
    <row r="20" spans="1:5" x14ac:dyDescent="0.2">
      <c r="A20" s="23" t="s">
        <v>43</v>
      </c>
      <c r="B20" s="24">
        <v>1</v>
      </c>
      <c r="C20" s="25">
        <v>30000</v>
      </c>
      <c r="D20" s="24" t="s">
        <v>6</v>
      </c>
      <c r="E20" s="26">
        <v>45072</v>
      </c>
    </row>
    <row r="21" spans="1:5" x14ac:dyDescent="0.2">
      <c r="A21" s="23" t="s">
        <v>44</v>
      </c>
      <c r="B21" s="24">
        <v>1</v>
      </c>
      <c r="C21" s="25">
        <v>18000</v>
      </c>
      <c r="D21" s="24" t="s">
        <v>6</v>
      </c>
      <c r="E21" s="26">
        <v>45072</v>
      </c>
    </row>
    <row r="22" spans="1:5" x14ac:dyDescent="0.2">
      <c r="A22" s="23" t="s">
        <v>45</v>
      </c>
      <c r="B22" s="24">
        <v>1</v>
      </c>
      <c r="C22" s="25">
        <v>21000</v>
      </c>
      <c r="D22" s="24" t="s">
        <v>6</v>
      </c>
      <c r="E22" s="26">
        <v>45072</v>
      </c>
    </row>
    <row r="23" spans="1:5" x14ac:dyDescent="0.2">
      <c r="A23" s="23" t="s">
        <v>46</v>
      </c>
      <c r="B23" s="24">
        <v>2</v>
      </c>
      <c r="C23" s="25">
        <v>50000</v>
      </c>
      <c r="D23" s="24" t="s">
        <v>6</v>
      </c>
      <c r="E23" s="26">
        <v>45072</v>
      </c>
    </row>
    <row r="24" spans="1:5" x14ac:dyDescent="0.2">
      <c r="A24" s="23" t="s">
        <v>47</v>
      </c>
      <c r="B24" s="24">
        <v>1</v>
      </c>
      <c r="C24" s="25">
        <v>15000</v>
      </c>
      <c r="D24" s="24" t="s">
        <v>6</v>
      </c>
      <c r="E24" s="26">
        <v>45072</v>
      </c>
    </row>
    <row r="25" spans="1:5" x14ac:dyDescent="0.2">
      <c r="A25" s="23" t="s">
        <v>48</v>
      </c>
      <c r="B25" s="24">
        <v>1</v>
      </c>
      <c r="C25" s="25">
        <v>15000</v>
      </c>
      <c r="D25" s="24" t="s">
        <v>6</v>
      </c>
      <c r="E25" s="26">
        <v>45072</v>
      </c>
    </row>
    <row r="26" spans="1:5" ht="16" thickBot="1" x14ac:dyDescent="0.25">
      <c r="A26" s="27" t="s">
        <v>7</v>
      </c>
      <c r="B26" s="28">
        <v>1</v>
      </c>
      <c r="C26" s="29">
        <v>18000</v>
      </c>
      <c r="D26" s="28" t="s">
        <v>6</v>
      </c>
      <c r="E26" s="30">
        <v>45072</v>
      </c>
    </row>
    <row r="27" spans="1:5" ht="16" thickBot="1" x14ac:dyDescent="0.25">
      <c r="A27" s="31"/>
      <c r="B27" s="36"/>
      <c r="C27" s="32"/>
      <c r="D27" s="32"/>
      <c r="E27" s="32"/>
    </row>
    <row r="28" spans="1:5" ht="16" thickBot="1" x14ac:dyDescent="0.25">
      <c r="A28" s="37" t="s">
        <v>56</v>
      </c>
      <c r="B28" s="38"/>
      <c r="C28" s="39">
        <v>507263</v>
      </c>
      <c r="D28" s="40" t="s">
        <v>6</v>
      </c>
      <c r="E28" s="41">
        <v>45072</v>
      </c>
    </row>
  </sheetData>
  <mergeCells count="4">
    <mergeCell ref="A1:E1"/>
    <mergeCell ref="A3:E3"/>
    <mergeCell ref="A7:E7"/>
    <mergeCell ref="A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workbookViewId="0">
      <selection activeCell="D5" sqref="D5:D20"/>
    </sheetView>
  </sheetViews>
  <sheetFormatPr baseColWidth="10" defaultColWidth="14.5" defaultRowHeight="15" customHeight="1" x14ac:dyDescent="0.2"/>
  <cols>
    <col min="1" max="1" width="21.83203125" customWidth="1"/>
    <col min="2" max="3" width="19.6640625" customWidth="1"/>
    <col min="4" max="4" width="15.83203125" customWidth="1"/>
    <col min="5" max="26" width="10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3" t="s">
        <v>32</v>
      </c>
      <c r="B2" s="13">
        <v>10</v>
      </c>
      <c r="C2" s="16">
        <f>D2/B2</f>
        <v>11399.6</v>
      </c>
      <c r="D2" s="17">
        <f>( 6000*4) + 10000 + (19999 * 4)</f>
        <v>113996</v>
      </c>
      <c r="E2" s="2" t="s">
        <v>9</v>
      </c>
      <c r="F2" s="18">
        <v>45072</v>
      </c>
    </row>
    <row r="3" spans="1:6" x14ac:dyDescent="0.2">
      <c r="A3" s="13" t="s">
        <v>33</v>
      </c>
      <c r="B3" s="13">
        <v>15</v>
      </c>
      <c r="C3" s="16">
        <f t="shared" ref="C3:C20" si="0">D3/B3</f>
        <v>3333.3333333333335</v>
      </c>
      <c r="D3" s="17">
        <v>50000</v>
      </c>
      <c r="E3" s="2" t="s">
        <v>9</v>
      </c>
      <c r="F3" s="18">
        <v>45072</v>
      </c>
    </row>
    <row r="4" spans="1:6" ht="64" x14ac:dyDescent="0.2">
      <c r="A4" s="14" t="s">
        <v>36</v>
      </c>
      <c r="B4" s="13">
        <v>1</v>
      </c>
      <c r="C4" s="16">
        <f>D4/B4</f>
        <v>50000</v>
      </c>
      <c r="D4" s="17">
        <v>50000</v>
      </c>
      <c r="E4" s="2" t="s">
        <v>9</v>
      </c>
      <c r="F4" s="18">
        <v>45072</v>
      </c>
    </row>
    <row r="5" spans="1:6" x14ac:dyDescent="0.2">
      <c r="A5" s="13" t="s">
        <v>34</v>
      </c>
      <c r="B5" s="13">
        <v>1</v>
      </c>
      <c r="C5" s="16">
        <f t="shared" si="0"/>
        <v>25000</v>
      </c>
      <c r="D5" s="17">
        <v>25000</v>
      </c>
      <c r="E5" s="16" t="s">
        <v>6</v>
      </c>
      <c r="F5" s="18">
        <v>45072</v>
      </c>
    </row>
    <row r="6" spans="1:6" x14ac:dyDescent="0.2">
      <c r="A6" s="13" t="s">
        <v>35</v>
      </c>
      <c r="B6" s="13">
        <v>1</v>
      </c>
      <c r="C6" s="16">
        <f t="shared" si="0"/>
        <v>1500</v>
      </c>
      <c r="D6" s="17">
        <v>1500</v>
      </c>
      <c r="E6" s="16" t="s">
        <v>6</v>
      </c>
      <c r="F6" s="18">
        <v>45072</v>
      </c>
    </row>
    <row r="7" spans="1:6" x14ac:dyDescent="0.2">
      <c r="A7" s="13" t="s">
        <v>7</v>
      </c>
      <c r="B7" s="13">
        <v>1</v>
      </c>
      <c r="C7" s="16">
        <f t="shared" si="0"/>
        <v>15000</v>
      </c>
      <c r="D7" s="17">
        <v>15000</v>
      </c>
      <c r="E7" s="16" t="s">
        <v>6</v>
      </c>
      <c r="F7" s="18">
        <v>45072</v>
      </c>
    </row>
    <row r="8" spans="1:6" x14ac:dyDescent="0.2">
      <c r="A8" s="13" t="s">
        <v>37</v>
      </c>
      <c r="B8" s="13">
        <v>1</v>
      </c>
      <c r="C8" s="16">
        <f t="shared" si="0"/>
        <v>3600</v>
      </c>
      <c r="D8" s="17">
        <v>3600</v>
      </c>
      <c r="E8" s="16" t="s">
        <v>6</v>
      </c>
      <c r="F8" s="18">
        <v>45072</v>
      </c>
    </row>
    <row r="9" spans="1:6" ht="16" x14ac:dyDescent="0.2">
      <c r="A9" s="15" t="s">
        <v>38</v>
      </c>
      <c r="B9" s="14">
        <v>12</v>
      </c>
      <c r="C9" s="16">
        <f t="shared" si="0"/>
        <v>150</v>
      </c>
      <c r="D9" s="19">
        <v>1800</v>
      </c>
      <c r="E9" s="15" t="s">
        <v>6</v>
      </c>
      <c r="F9" s="18">
        <v>45072</v>
      </c>
    </row>
    <row r="10" spans="1:6" ht="16" x14ac:dyDescent="0.2">
      <c r="A10" s="14" t="s">
        <v>39</v>
      </c>
      <c r="B10" s="13">
        <v>1</v>
      </c>
      <c r="C10" s="16">
        <f t="shared" si="0"/>
        <v>367</v>
      </c>
      <c r="D10" s="17">
        <v>367</v>
      </c>
      <c r="E10" s="16" t="s">
        <v>6</v>
      </c>
      <c r="F10" s="18">
        <v>45072</v>
      </c>
    </row>
    <row r="11" spans="1:6" ht="16" x14ac:dyDescent="0.2">
      <c r="A11" s="14" t="s">
        <v>40</v>
      </c>
      <c r="B11" s="13">
        <v>1</v>
      </c>
      <c r="C11" s="16">
        <f t="shared" si="0"/>
        <v>9000</v>
      </c>
      <c r="D11" s="17">
        <f>5000 + 4000</f>
        <v>9000</v>
      </c>
      <c r="E11" s="16" t="s">
        <v>6</v>
      </c>
      <c r="F11" s="18">
        <v>45072</v>
      </c>
    </row>
    <row r="12" spans="1:6" ht="15" customHeight="1" x14ac:dyDescent="0.2">
      <c r="A12" s="13" t="s">
        <v>41</v>
      </c>
      <c r="B12" s="13">
        <v>1</v>
      </c>
      <c r="C12" s="16">
        <f t="shared" si="0"/>
        <v>10000</v>
      </c>
      <c r="D12" s="17">
        <v>10000</v>
      </c>
      <c r="E12" s="16" t="s">
        <v>6</v>
      </c>
      <c r="F12" s="18">
        <v>45072</v>
      </c>
    </row>
    <row r="13" spans="1:6" ht="15" customHeight="1" x14ac:dyDescent="0.2">
      <c r="A13" s="16" t="s">
        <v>42</v>
      </c>
      <c r="B13" s="17">
        <v>2</v>
      </c>
      <c r="C13" s="16">
        <f t="shared" si="0"/>
        <v>30000</v>
      </c>
      <c r="D13" s="17">
        <f xml:space="preserve"> 60000</f>
        <v>60000</v>
      </c>
      <c r="E13" s="16" t="s">
        <v>6</v>
      </c>
      <c r="F13" s="18">
        <v>45072</v>
      </c>
    </row>
    <row r="14" spans="1:6" ht="15" customHeight="1" x14ac:dyDescent="0.2">
      <c r="A14" s="16" t="s">
        <v>43</v>
      </c>
      <c r="B14" s="17">
        <v>1</v>
      </c>
      <c r="C14" s="16">
        <f t="shared" si="0"/>
        <v>30000</v>
      </c>
      <c r="D14" s="17">
        <f xml:space="preserve"> 30000</f>
        <v>30000</v>
      </c>
      <c r="E14" s="16" t="s">
        <v>6</v>
      </c>
      <c r="F14" s="18">
        <v>45072</v>
      </c>
    </row>
    <row r="15" spans="1:6" ht="15" customHeight="1" x14ac:dyDescent="0.2">
      <c r="A15" s="16" t="s">
        <v>44</v>
      </c>
      <c r="B15" s="17">
        <v>1</v>
      </c>
      <c r="C15" s="16">
        <f t="shared" si="0"/>
        <v>18000</v>
      </c>
      <c r="D15" s="17">
        <v>18000</v>
      </c>
      <c r="E15" s="16" t="s">
        <v>6</v>
      </c>
      <c r="F15" s="18">
        <v>45072</v>
      </c>
    </row>
    <row r="16" spans="1:6" ht="15" customHeight="1" x14ac:dyDescent="0.2">
      <c r="A16" s="16" t="s">
        <v>45</v>
      </c>
      <c r="B16" s="17">
        <v>1</v>
      </c>
      <c r="C16" s="16">
        <f t="shared" si="0"/>
        <v>21000</v>
      </c>
      <c r="D16" s="17">
        <v>21000</v>
      </c>
      <c r="E16" s="16" t="s">
        <v>6</v>
      </c>
      <c r="F16" s="18">
        <v>45072</v>
      </c>
    </row>
    <row r="17" spans="1:6" ht="15" customHeight="1" x14ac:dyDescent="0.2">
      <c r="A17" s="16" t="s">
        <v>46</v>
      </c>
      <c r="B17" s="17">
        <v>2</v>
      </c>
      <c r="C17" s="16">
        <f t="shared" si="0"/>
        <v>25000</v>
      </c>
      <c r="D17" s="17">
        <f>25000*2</f>
        <v>50000</v>
      </c>
      <c r="E17" s="16" t="s">
        <v>6</v>
      </c>
      <c r="F17" s="18">
        <v>45072</v>
      </c>
    </row>
    <row r="18" spans="1:6" ht="15" customHeight="1" x14ac:dyDescent="0.2">
      <c r="A18" s="16" t="s">
        <v>47</v>
      </c>
      <c r="B18" s="17">
        <v>1</v>
      </c>
      <c r="C18" s="16">
        <f t="shared" si="0"/>
        <v>15000</v>
      </c>
      <c r="D18" s="17">
        <v>15000</v>
      </c>
      <c r="E18" s="16" t="s">
        <v>6</v>
      </c>
      <c r="F18" s="18">
        <v>45072</v>
      </c>
    </row>
    <row r="19" spans="1:6" ht="15" customHeight="1" x14ac:dyDescent="0.2">
      <c r="A19" s="16" t="s">
        <v>48</v>
      </c>
      <c r="B19" s="17">
        <v>1</v>
      </c>
      <c r="C19" s="16">
        <f t="shared" si="0"/>
        <v>15000</v>
      </c>
      <c r="D19" s="17">
        <v>15000</v>
      </c>
      <c r="E19" s="16" t="s">
        <v>6</v>
      </c>
      <c r="F19" s="18">
        <v>45072</v>
      </c>
    </row>
    <row r="20" spans="1:6" ht="15" customHeight="1" x14ac:dyDescent="0.2">
      <c r="A20" s="16" t="s">
        <v>7</v>
      </c>
      <c r="B20" s="17">
        <v>1</v>
      </c>
      <c r="C20" s="16">
        <f t="shared" si="0"/>
        <v>18000</v>
      </c>
      <c r="D20" s="17">
        <v>18000</v>
      </c>
      <c r="E20" s="16" t="s">
        <v>6</v>
      </c>
      <c r="F20" s="18">
        <v>45072</v>
      </c>
    </row>
    <row r="21" spans="1:6" ht="15.75" customHeight="1" x14ac:dyDescent="0.2"/>
    <row r="22" spans="1:6" ht="15.75" customHeight="1" x14ac:dyDescent="0.2">
      <c r="C22" s="2" t="s">
        <v>22</v>
      </c>
      <c r="D22">
        <f>SUM(D5:D7,D8:D20)</f>
        <v>293267</v>
      </c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A668-BEE0-F948-9475-A4274AF09CEA}">
  <dimension ref="A1:Z37"/>
  <sheetViews>
    <sheetView tabSelected="1" zoomScaleNormal="158" workbookViewId="0">
      <selection activeCell="F33" sqref="F33"/>
    </sheetView>
  </sheetViews>
  <sheetFormatPr baseColWidth="10" defaultRowHeight="15" x14ac:dyDescent="0.2"/>
  <cols>
    <col min="1" max="1" width="20.33203125" customWidth="1"/>
    <col min="2" max="2" width="19.5" customWidth="1"/>
    <col min="3" max="3" width="15.33203125" customWidth="1"/>
    <col min="4" max="4" width="14" customWidth="1"/>
    <col min="5" max="5" width="16.6640625" customWidth="1"/>
    <col min="6" max="6" width="13.83203125" bestFit="1" customWidth="1"/>
    <col min="7" max="7" width="15.1640625" customWidth="1"/>
    <col min="8" max="8" width="16.1640625" customWidth="1"/>
    <col min="9" max="9" width="16.6640625" customWidth="1"/>
    <col min="10" max="10" width="18.5" customWidth="1"/>
    <col min="11" max="11" width="21.33203125" customWidth="1"/>
    <col min="12" max="12" width="16" customWidth="1"/>
    <col min="13" max="13" width="15.1640625" customWidth="1"/>
    <col min="14" max="14" width="15.6640625" customWidth="1"/>
    <col min="15" max="15" width="14.6640625" customWidth="1"/>
    <col min="16" max="16" width="17.33203125" customWidth="1"/>
    <col min="17" max="18" width="18.33203125" customWidth="1"/>
    <col min="19" max="19" width="20.6640625" customWidth="1"/>
    <col min="20" max="20" width="16" customWidth="1"/>
    <col min="21" max="21" width="17.1640625" customWidth="1"/>
    <col min="22" max="22" width="16.83203125" customWidth="1"/>
    <col min="23" max="23" width="17.1640625" customWidth="1"/>
    <col min="24" max="24" width="18" customWidth="1"/>
    <col min="25" max="25" width="16.6640625" customWidth="1"/>
    <col min="26" max="26" width="18.83203125" customWidth="1"/>
  </cols>
  <sheetData>
    <row r="1" spans="1:26" x14ac:dyDescent="0.2">
      <c r="A1" s="3"/>
    </row>
    <row r="2" spans="1:26" x14ac:dyDescent="0.2">
      <c r="A2" s="46"/>
      <c r="B2" s="56" t="s">
        <v>57</v>
      </c>
      <c r="C2" s="56" t="s">
        <v>58</v>
      </c>
      <c r="D2" s="56" t="s">
        <v>59</v>
      </c>
      <c r="E2" s="56" t="s">
        <v>60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x14ac:dyDescent="0.2">
      <c r="A3" s="47" t="s">
        <v>10</v>
      </c>
      <c r="B3" s="55">
        <v>28</v>
      </c>
      <c r="C3" s="55">
        <v>0.5</v>
      </c>
      <c r="D3" s="55">
        <v>0.25</v>
      </c>
      <c r="E3" s="55">
        <v>0.1666</v>
      </c>
      <c r="F3" s="44"/>
      <c r="G3" s="5"/>
      <c r="H3" s="5"/>
      <c r="I3" s="67" t="s">
        <v>11</v>
      </c>
      <c r="J3" s="68"/>
      <c r="K3" s="69"/>
      <c r="L3" s="5"/>
      <c r="M3" s="5"/>
      <c r="N3" s="5"/>
      <c r="O3" s="5"/>
      <c r="P3" s="5"/>
      <c r="Q3" s="5"/>
      <c r="R3" s="5"/>
      <c r="S3" s="5"/>
      <c r="T3" s="5"/>
      <c r="U3" s="4"/>
      <c r="V3" s="4"/>
      <c r="W3" s="4"/>
      <c r="X3" s="4"/>
      <c r="Y3" s="4"/>
      <c r="Z3" s="4"/>
    </row>
    <row r="4" spans="1:26" x14ac:dyDescent="0.2">
      <c r="A4" s="47" t="s">
        <v>12</v>
      </c>
      <c r="B4" s="49">
        <v>0</v>
      </c>
      <c r="C4" s="48"/>
      <c r="D4" s="50"/>
      <c r="E4" s="50"/>
      <c r="F4" s="44"/>
      <c r="G4" s="44"/>
      <c r="H4" s="44"/>
      <c r="I4" s="70" t="s">
        <v>13</v>
      </c>
      <c r="J4" s="71"/>
      <c r="K4" s="45">
        <v>0.3</v>
      </c>
      <c r="L4" s="44"/>
      <c r="M4" s="44"/>
      <c r="N4" s="44"/>
      <c r="O4" s="44"/>
      <c r="P4" s="44"/>
      <c r="Q4" s="44"/>
      <c r="R4" s="44"/>
      <c r="S4" s="44"/>
      <c r="T4" s="44"/>
      <c r="U4" s="4"/>
      <c r="V4" s="4"/>
      <c r="W4" s="4"/>
      <c r="X4" s="4"/>
      <c r="Y4" s="4"/>
      <c r="Z4" s="4"/>
    </row>
    <row r="5" spans="1:26" x14ac:dyDescent="0.2">
      <c r="A5" s="47" t="s">
        <v>8</v>
      </c>
      <c r="B5" s="57">
        <v>2000</v>
      </c>
      <c r="C5" s="57">
        <v>20000</v>
      </c>
      <c r="D5" s="57">
        <v>50000</v>
      </c>
      <c r="E5" s="57">
        <v>100000</v>
      </c>
      <c r="F5" s="44"/>
      <c r="G5" s="7"/>
      <c r="H5" s="7"/>
      <c r="I5" s="72" t="s">
        <v>14</v>
      </c>
      <c r="J5" s="69"/>
      <c r="K5" s="43">
        <f>NPV(K4/12,B27:Y27)</f>
        <v>11082745.75686425</v>
      </c>
      <c r="L5" s="7"/>
      <c r="M5" s="7"/>
      <c r="N5" s="7"/>
      <c r="O5" s="7"/>
      <c r="P5" s="7"/>
      <c r="Q5" s="7"/>
      <c r="R5" s="7"/>
      <c r="S5" s="7"/>
      <c r="T5" s="7"/>
      <c r="U5" s="4"/>
      <c r="V5" s="4"/>
      <c r="W5" s="4"/>
      <c r="X5" s="4"/>
      <c r="Y5" s="4"/>
      <c r="Z5" s="4"/>
    </row>
    <row r="6" spans="1:26" x14ac:dyDescent="0.2">
      <c r="A6" s="47" t="s">
        <v>15</v>
      </c>
      <c r="B6" s="51">
        <v>0.2</v>
      </c>
      <c r="C6" s="51"/>
      <c r="D6" s="51"/>
      <c r="E6" s="52"/>
      <c r="F6" s="44"/>
      <c r="G6" s="8"/>
      <c r="H6" s="8"/>
      <c r="I6" s="72" t="s">
        <v>16</v>
      </c>
      <c r="J6" s="69"/>
      <c r="K6" s="8">
        <f>IRR(B27:Y27)*12</f>
        <v>3.8539259688761547</v>
      </c>
      <c r="L6" s="8"/>
      <c r="M6" s="8"/>
      <c r="N6" s="8"/>
      <c r="O6" s="8"/>
      <c r="P6" s="8"/>
      <c r="Q6" s="8"/>
      <c r="R6" s="8"/>
      <c r="S6" s="8"/>
      <c r="T6" s="8"/>
      <c r="U6" s="4"/>
      <c r="V6" s="4"/>
      <c r="W6" s="4"/>
      <c r="X6" s="4"/>
      <c r="Y6" s="4"/>
      <c r="Z6" s="4"/>
    </row>
    <row r="7" spans="1:26" x14ac:dyDescent="0.2">
      <c r="A7" s="47" t="s">
        <v>17</v>
      </c>
      <c r="B7" s="51">
        <v>0.1</v>
      </c>
      <c r="C7" s="48"/>
      <c r="D7" s="48"/>
      <c r="E7" s="4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">
      <c r="A8" s="47" t="s">
        <v>18</v>
      </c>
      <c r="B8" s="53">
        <f>-1*SUMIF(B27:J27,"&lt;0")</f>
        <v>552068</v>
      </c>
      <c r="C8" s="48"/>
      <c r="D8" s="48"/>
      <c r="E8" s="4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">
      <c r="A9" s="47" t="s">
        <v>19</v>
      </c>
      <c r="B9" s="53">
        <v>5</v>
      </c>
      <c r="C9" s="48"/>
      <c r="D9" s="48"/>
      <c r="E9" s="4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">
      <c r="A10" s="47" t="s">
        <v>20</v>
      </c>
      <c r="B10" s="54">
        <v>45072</v>
      </c>
      <c r="C10" s="48"/>
      <c r="D10" s="48"/>
      <c r="E10" s="4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">
      <c r="A12" s="73" t="s">
        <v>21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5"/>
    </row>
    <row r="13" spans="1:26" x14ac:dyDescent="0.2">
      <c r="A13" s="10"/>
      <c r="B13" s="11">
        <v>45072</v>
      </c>
      <c r="C13" s="11">
        <v>45103</v>
      </c>
      <c r="D13" s="11">
        <v>45133</v>
      </c>
      <c r="E13" s="11">
        <v>45164</v>
      </c>
      <c r="F13" s="11">
        <v>45195</v>
      </c>
      <c r="G13" s="11">
        <v>45225</v>
      </c>
      <c r="H13" s="11">
        <v>45256</v>
      </c>
      <c r="I13" s="11">
        <v>45286</v>
      </c>
      <c r="J13" s="11">
        <v>45317</v>
      </c>
      <c r="K13" s="11">
        <v>45348</v>
      </c>
      <c r="L13" s="11">
        <v>45377</v>
      </c>
      <c r="M13" s="11">
        <v>45408</v>
      </c>
      <c r="N13" s="11">
        <v>45438</v>
      </c>
      <c r="O13" s="11">
        <v>45469</v>
      </c>
      <c r="P13" s="11">
        <v>45499</v>
      </c>
      <c r="Q13" s="11">
        <v>45530</v>
      </c>
      <c r="R13" s="11">
        <v>45561</v>
      </c>
      <c r="S13" s="11">
        <v>45591</v>
      </c>
      <c r="T13" s="11">
        <v>45622</v>
      </c>
      <c r="U13" s="11">
        <v>45652</v>
      </c>
      <c r="V13" s="11">
        <v>45683</v>
      </c>
      <c r="W13" s="11">
        <v>45714</v>
      </c>
      <c r="X13" s="11">
        <v>45742</v>
      </c>
      <c r="Y13" s="11">
        <v>45773</v>
      </c>
      <c r="Z13" s="42" t="s">
        <v>22</v>
      </c>
    </row>
    <row r="14" spans="1:26" x14ac:dyDescent="0.2">
      <c r="A14" s="12" t="s">
        <v>23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9">
        <f t="shared" ref="Z14:Z15" si="0">SUM(B14:Y14)</f>
        <v>0</v>
      </c>
    </row>
    <row r="15" spans="1:26" x14ac:dyDescent="0.2">
      <c r="A15" s="3" t="s">
        <v>24</v>
      </c>
      <c r="B15" s="4">
        <f>IF(B13=$B$10,$B$3,IF(B13&gt;$B$10,#REF!+$B$3,0))</f>
        <v>28</v>
      </c>
      <c r="C15" s="4">
        <f>IF(C13=$B$10,$B$3,IF(C13&gt;$B$10,B15+$B$3,0))</f>
        <v>56</v>
      </c>
      <c r="D15" s="4">
        <f>IF(D13=$B$10,$B$3,IF(D13&gt;$B$10,C15+$B$3,0))</f>
        <v>84</v>
      </c>
      <c r="E15" s="4">
        <f>IF(E13=$B$10,$B$3,IF(E13&gt;$B$10,D15+$B$3,0))</f>
        <v>112</v>
      </c>
      <c r="F15" s="4">
        <f t="shared" ref="F15:Y15" si="1">IF(F13=$B$10,$B$3,IF(F13&gt;$B$10,E15+$B$3,0))</f>
        <v>140</v>
      </c>
      <c r="G15" s="4">
        <f t="shared" si="1"/>
        <v>168</v>
      </c>
      <c r="H15" s="4">
        <f t="shared" si="1"/>
        <v>196</v>
      </c>
      <c r="I15" s="4">
        <f t="shared" si="1"/>
        <v>224</v>
      </c>
      <c r="J15" s="4">
        <f t="shared" si="1"/>
        <v>252</v>
      </c>
      <c r="K15" s="4">
        <f t="shared" si="1"/>
        <v>280</v>
      </c>
      <c r="L15" s="4">
        <f t="shared" si="1"/>
        <v>308</v>
      </c>
      <c r="M15" s="4">
        <f t="shared" si="1"/>
        <v>336</v>
      </c>
      <c r="N15" s="4">
        <f t="shared" si="1"/>
        <v>364</v>
      </c>
      <c r="O15" s="4">
        <f t="shared" si="1"/>
        <v>392</v>
      </c>
      <c r="P15" s="4">
        <f t="shared" si="1"/>
        <v>420</v>
      </c>
      <c r="Q15" s="4">
        <f t="shared" si="1"/>
        <v>448</v>
      </c>
      <c r="R15" s="4">
        <f t="shared" si="1"/>
        <v>476</v>
      </c>
      <c r="S15" s="4">
        <f t="shared" si="1"/>
        <v>504</v>
      </c>
      <c r="T15" s="4">
        <f t="shared" si="1"/>
        <v>532</v>
      </c>
      <c r="U15" s="4">
        <f t="shared" si="1"/>
        <v>560</v>
      </c>
      <c r="V15" s="4">
        <f t="shared" si="1"/>
        <v>588</v>
      </c>
      <c r="W15" s="4">
        <f t="shared" si="1"/>
        <v>616</v>
      </c>
      <c r="X15" s="4">
        <f t="shared" si="1"/>
        <v>644</v>
      </c>
      <c r="Y15" s="4">
        <f t="shared" si="1"/>
        <v>672</v>
      </c>
      <c r="Z15" s="9">
        <f t="shared" si="0"/>
        <v>8400</v>
      </c>
    </row>
    <row r="16" spans="1:26" x14ac:dyDescent="0.2">
      <c r="A16" s="3" t="s">
        <v>12</v>
      </c>
      <c r="B16" s="6">
        <f t="shared" ref="B16:Y16" si="2">IF(B13&gt;=$B$10,$B$3*$B$4,0)</f>
        <v>0</v>
      </c>
      <c r="C16" s="6">
        <f t="shared" si="2"/>
        <v>0</v>
      </c>
      <c r="D16" s="6">
        <f t="shared" si="2"/>
        <v>0</v>
      </c>
      <c r="E16" s="6">
        <f t="shared" si="2"/>
        <v>0</v>
      </c>
      <c r="F16" s="6">
        <f t="shared" si="2"/>
        <v>0</v>
      </c>
      <c r="G16" s="6">
        <f t="shared" si="2"/>
        <v>0</v>
      </c>
      <c r="H16" s="6">
        <f t="shared" si="2"/>
        <v>0</v>
      </c>
      <c r="I16" s="6">
        <f t="shared" si="2"/>
        <v>0</v>
      </c>
      <c r="J16" s="6">
        <f t="shared" si="2"/>
        <v>0</v>
      </c>
      <c r="K16" s="6">
        <f t="shared" si="2"/>
        <v>0</v>
      </c>
      <c r="L16" s="6">
        <f t="shared" si="2"/>
        <v>0</v>
      </c>
      <c r="M16" s="6">
        <f t="shared" si="2"/>
        <v>0</v>
      </c>
      <c r="N16" s="6">
        <f t="shared" si="2"/>
        <v>0</v>
      </c>
      <c r="O16" s="6">
        <f t="shared" si="2"/>
        <v>0</v>
      </c>
      <c r="P16" s="6">
        <f t="shared" si="2"/>
        <v>0</v>
      </c>
      <c r="Q16" s="6">
        <f t="shared" si="2"/>
        <v>0</v>
      </c>
      <c r="R16" s="6">
        <f t="shared" si="2"/>
        <v>0</v>
      </c>
      <c r="S16" s="6">
        <f t="shared" si="2"/>
        <v>0</v>
      </c>
      <c r="T16" s="6">
        <f t="shared" si="2"/>
        <v>0</v>
      </c>
      <c r="U16" s="6">
        <f t="shared" si="2"/>
        <v>0</v>
      </c>
      <c r="V16" s="6">
        <f t="shared" si="2"/>
        <v>0</v>
      </c>
      <c r="W16" s="6">
        <f t="shared" si="2"/>
        <v>0</v>
      </c>
      <c r="X16" s="6">
        <f t="shared" si="2"/>
        <v>0</v>
      </c>
      <c r="Y16" s="6">
        <f t="shared" si="2"/>
        <v>0</v>
      </c>
      <c r="Z16" s="9"/>
    </row>
    <row r="17" spans="1:26" x14ac:dyDescent="0.2">
      <c r="A17" s="3" t="s">
        <v>25</v>
      </c>
      <c r="B17" s="9">
        <f>B15*$B$5 + $C$5*B30+$D$5*B31+$E$5*B32</f>
        <v>56000</v>
      </c>
      <c r="C17" s="9">
        <f>C15*$B$5 + $C$5*C30+$D$5*C31+$E$5*C32</f>
        <v>132000</v>
      </c>
      <c r="D17" s="9">
        <f>D15*$B$5 + $C$5*D30+$D$5*D31+$E$5*D32</f>
        <v>188000</v>
      </c>
      <c r="E17" s="9">
        <f>E15*$B$5 + $C$5*E30+$D$5*E31+$E$5*E32</f>
        <v>314000</v>
      </c>
      <c r="F17" s="9">
        <f>F15*$B$5 + $C$5*F30+$D$5*F31+$E$5*F32</f>
        <v>370000</v>
      </c>
      <c r="G17" s="9">
        <f>G15*$B$5 + $C$5*G30+$D$5*G31+$E$5*G32</f>
        <v>546000</v>
      </c>
      <c r="H17" s="9">
        <f>H15*$B$5 + $C$5*H30+$D$5*H31+$E$5*H32</f>
        <v>602000</v>
      </c>
      <c r="I17" s="9">
        <f>I15*$B$5 + $C$5*I30+$D$5*I31+$E$5*I32</f>
        <v>722285.7142857142</v>
      </c>
      <c r="J17" s="9">
        <f>J15*$B$5 + $C$5*J30+$D$5*J31+$E$5*J32</f>
        <v>784714.28571428568</v>
      </c>
      <c r="K17" s="9">
        <f>K15*$B$5 + $C$5*K30+$D$5*K31+$E$5*K32</f>
        <v>863809.52380952367</v>
      </c>
      <c r="L17" s="9">
        <f>L15*$B$5 + $C$5*L30+$D$5*L31+$E$5*L32</f>
        <v>942904.76190476166</v>
      </c>
      <c r="M17" s="9">
        <f>M15*$B$5 + $C$5*M30+$D$5*M31+$E$5*M32</f>
        <v>1121999.9999999998</v>
      </c>
      <c r="N17" s="9">
        <f>N15*$B$5 + $C$5*N30+$D$5*N31+$E$5*N32</f>
        <v>1172307.3593073585</v>
      </c>
      <c r="O17" s="9">
        <f>O15*$B$5 + $C$5*O30+$D$5*O31+$E$5*O32</f>
        <v>1267486.5134865132</v>
      </c>
      <c r="P17" s="9">
        <f>P15*$B$5 + $C$5*P30+$D$5*P31+$E$5*P32</f>
        <v>1362665.6676656671</v>
      </c>
      <c r="Q17" s="9">
        <f>Q15*$B$5 + $C$5*Q30+$D$5*Q31+$E$5*Q32</f>
        <v>1457844.8218448209</v>
      </c>
      <c r="R17" s="9">
        <f>R15*$B$5 + $C$5*R30+$D$5*R31+$E$5*R32</f>
        <v>1553023.9760239751</v>
      </c>
      <c r="S17" s="9">
        <f>S15*$B$5 + $C$5*S30+$D$5*S31+$E$5*S32</f>
        <v>1648203.1302031302</v>
      </c>
      <c r="T17" s="9">
        <f>T15*$B$5 + $C$5*T30+$D$5*T31+$E$5*T32</f>
        <v>1743382.2843822842</v>
      </c>
      <c r="U17" s="9">
        <f>U15*$B$5 + $C$5*U30+$D$5*U31+$E$5*U32</f>
        <v>1838561.4385614386</v>
      </c>
      <c r="V17" s="9">
        <f>V15*$B$5 + $C$5*V30+$D$5*V31+$E$5*V32</f>
        <v>1933740.5927405928</v>
      </c>
      <c r="W17" s="9">
        <f>W15*$B$5 + $C$5*W30+$D$5*W31+$E$5*W32</f>
        <v>2028919.7469197465</v>
      </c>
      <c r="X17" s="9">
        <f>X15*$B$5 + $C$5*X30+$D$5*X31+$E$5*X32</f>
        <v>2124098.9010989005</v>
      </c>
      <c r="Y17" s="9">
        <f>Y15*$B$5 + $C$5*Y30+$D$5*Y31+$E$5*Y32</f>
        <v>2271142.8571428563</v>
      </c>
      <c r="Z17" s="9">
        <f>Z15*$B$5 + $C$5*Z30+$D$5*Z31+$E$5*Z32</f>
        <v>17645952.380952381</v>
      </c>
    </row>
    <row r="18" spans="1:26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9"/>
    </row>
    <row r="19" spans="1:26" x14ac:dyDescent="0.2">
      <c r="A19" s="3" t="s">
        <v>26</v>
      </c>
      <c r="B19" s="9">
        <f>IF(B13&gt;=$B$10,$B$4*$B$6*$B$3,0)</f>
        <v>0</v>
      </c>
      <c r="C19" s="9">
        <f>IF(C13&gt;=$B$10,$B$4*$B$6*$B$3,0)</f>
        <v>0</v>
      </c>
      <c r="D19" s="9">
        <f>IF(D13&gt;=$B$10,$B$4*$B$6*$B$3,0)</f>
        <v>0</v>
      </c>
      <c r="E19" s="9">
        <f>IF(E13&gt;=$B$10,$B$4*$B$6*$B$3,0)</f>
        <v>0</v>
      </c>
      <c r="F19" s="9">
        <f>IF(F13&gt;=$B$10,$B$4*$B$6*$B$3,0)</f>
        <v>0</v>
      </c>
      <c r="G19" s="9">
        <f>IF(G13&gt;=$B$10,$B$4*$B$6*$B$3,0)</f>
        <v>0</v>
      </c>
      <c r="H19" s="9">
        <f>IF(H13&gt;=$B$10,$B$4*$B$6*$B$3,0)</f>
        <v>0</v>
      </c>
      <c r="I19" s="9">
        <f>IF(I13&gt;=$B$10,$B$4*$B$6*$B$3,0)</f>
        <v>0</v>
      </c>
      <c r="J19" s="9">
        <f>IF(J13&gt;=$B$10,$B$4*$B$6*$B$3,0)</f>
        <v>0</v>
      </c>
      <c r="K19" s="9">
        <f>IF(K13&gt;=$B$10,$B$4*$B$6*$B$3,0)</f>
        <v>0</v>
      </c>
      <c r="L19" s="9">
        <f>IF(L13&gt;=$B$10,$B$4*$B$6*$B$3,0)</f>
        <v>0</v>
      </c>
      <c r="M19" s="9">
        <f>IF(M13&gt;=$B$10,$B$4*$B$6*$B$3,0)</f>
        <v>0</v>
      </c>
      <c r="N19" s="9">
        <f>IF(N13&gt;=$B$10,$B$4*$B$6*$B$3,0)</f>
        <v>0</v>
      </c>
      <c r="O19" s="9">
        <f>IF(O13&gt;=$B$10,$B$4*$B$6*$B$3,0)</f>
        <v>0</v>
      </c>
      <c r="P19" s="9">
        <f>IF(P13&gt;=$B$10,$B$4*$B$6*$B$3,0)</f>
        <v>0</v>
      </c>
      <c r="Q19" s="9">
        <f>IF(Q13&gt;=$B$10,$B$4*$B$6*$B$3,0)</f>
        <v>0</v>
      </c>
      <c r="R19" s="9">
        <f>IF(R13&gt;=$B$10,$B$4*$B$6*$B$3,0)</f>
        <v>0</v>
      </c>
      <c r="S19" s="9">
        <f>IF(S13&gt;=$B$10,$B$4*$B$6*$B$3,0)</f>
        <v>0</v>
      </c>
      <c r="T19" s="9">
        <f>IF(T13&gt;=$B$10,$B$4*$B$6*$B$3,0)</f>
        <v>0</v>
      </c>
      <c r="U19" s="9">
        <f>IF(U13&gt;=$B$10,$B$4*$B$6*$B$3,0)</f>
        <v>0</v>
      </c>
      <c r="V19" s="9">
        <f>IF(V13&gt;=$B$10,$B$4*$B$6*$B$3,0)</f>
        <v>0</v>
      </c>
      <c r="W19" s="9">
        <f>IF(W13&gt;=$B$10,$B$4*$B$6*$B$3,0)</f>
        <v>0</v>
      </c>
      <c r="X19" s="9">
        <f>IF(X13&gt;=$B$10,$B$4*$B$6*$B$3,0)</f>
        <v>0</v>
      </c>
      <c r="Y19" s="9">
        <f>IF(Y13&gt;=$B$10,$B$4*$B$6*$B$3,0)</f>
        <v>0</v>
      </c>
      <c r="Z19" s="9"/>
    </row>
    <row r="20" spans="1:26" x14ac:dyDescent="0.2">
      <c r="A20" s="3" t="s">
        <v>27</v>
      </c>
      <c r="B20" s="9">
        <f>IF(B13&gt;=$B$10,$B$5*$B$7*B15 + ($C$5*$B$7*B30) + ($D$5*$B$7*B31) + ($E$5*$B$7*B32),0)</f>
        <v>5600</v>
      </c>
      <c r="C20" s="9">
        <f>IF(C13&gt;=$B$10,$B$5*$B$7*C15 + ($C$5*$B$7*C30) + ($D$5*$B$7*C31) + ($E$5*$B$7*C32),0)</f>
        <v>13200</v>
      </c>
      <c r="D20" s="9">
        <f>IF(D13&gt;=$B$10,$B$5*$B$7*D15 + ($C$5*$B$7*D30) + ($D$5*$B$7*D31) + ($E$5*$B$7*D32),0)</f>
        <v>18800</v>
      </c>
      <c r="E20" s="9">
        <f>IF(E13&gt;=$B$10,$B$5*$B$7*E15 + ($C$5*$B$7*E30) + ($D$5*$B$7*E31) + ($E$5*$B$7*E32),0)</f>
        <v>31400</v>
      </c>
      <c r="F20" s="9">
        <f>IF(F13&gt;=$B$10,$B$5*$B$7*F15 + ($C$5*$B$7*F30) + ($D$5*$B$7*F31) + ($E$5*$B$7*F32),0)</f>
        <v>37000</v>
      </c>
      <c r="G20" s="9">
        <f>IF(G13&gt;=$B$10,$B$5*$B$7*G15 + ($C$5*$B$7*G30) + ($D$5*$B$7*G31) + ($E$5*$B$7*G32),0)</f>
        <v>54600</v>
      </c>
      <c r="H20" s="9">
        <f>IF(H13&gt;=$B$10,$B$5*$B$7*H15 + ($C$5*$B$7*H30) + ($D$5*$B$7*H31) + ($E$5*$B$7*H32),0)</f>
        <v>60200</v>
      </c>
      <c r="I20" s="9">
        <f>IF(I13&gt;=$B$10,$B$5*$B$7*I15 + ($C$5*$B$7*I30) + ($D$5*$B$7*I31) + ($E$5*$B$7*I32),0)</f>
        <v>72228.57142857142</v>
      </c>
      <c r="J20" s="9">
        <f>IF(J13&gt;=$B$10,$B$5*$B$7*J15 + ($C$5*$B$7*J30) + ($D$5*$B$7*J31) + ($E$5*$B$7*J32),0)</f>
        <v>78471.428571428565</v>
      </c>
      <c r="K20" s="9">
        <f>IF(K13&gt;=$B$10,$B$5*$B$7*K15 + ($C$5*$B$7*K30) + ($D$5*$B$7*K31) + ($E$5*$B$7*K32),0)</f>
        <v>86380.952380952367</v>
      </c>
      <c r="L20" s="9">
        <f>IF(L13&gt;=$B$10,$B$5*$B$7*L15 + ($C$5*$B$7*L30) + ($D$5*$B$7*L31) + ($E$5*$B$7*L32),0)</f>
        <v>94290.476190476169</v>
      </c>
      <c r="M20" s="9">
        <f>IF(M13&gt;=$B$10,$B$5*$B$7*M15 + ($C$5*$B$7*M30) + ($D$5*$B$7*M31) + ($E$5*$B$7*M32),0)</f>
        <v>112199.99999999997</v>
      </c>
      <c r="N20" s="9">
        <f>IF(N13&gt;=$B$10,$B$5*$B$7*N15 + ($C$5*$B$7*N30) + ($D$5*$B$7*N31) + ($E$5*$B$7*N32),0)</f>
        <v>117230.73593073587</v>
      </c>
      <c r="O20" s="9">
        <f>IF(O13&gt;=$B$10,$B$5*$B$7*O15 + ($C$5*$B$7*O30) + ($D$5*$B$7*O31) + ($E$5*$B$7*O32),0)</f>
        <v>126748.65134865131</v>
      </c>
      <c r="P20" s="9">
        <f>IF(P13&gt;=$B$10,$B$5*$B$7*P15 + ($C$5*$B$7*P30) + ($D$5*$B$7*P31) + ($E$5*$B$7*P32),0)</f>
        <v>136266.56676656671</v>
      </c>
      <c r="Q20" s="9">
        <f>IF(Q13&gt;=$B$10,$B$5*$B$7*Q15 + ($C$5*$B$7*Q30) + ($D$5*$B$7*Q31) + ($E$5*$B$7*Q32),0)</f>
        <v>145784.48218448213</v>
      </c>
      <c r="R20" s="9">
        <f>IF(R13&gt;=$B$10,$B$5*$B$7*R15 + ($C$5*$B$7*R30) + ($D$5*$B$7*R31) + ($E$5*$B$7*R32),0)</f>
        <v>155302.39760239751</v>
      </c>
      <c r="S20" s="9">
        <f>IF(S13&gt;=$B$10,$B$5*$B$7*S15 + ($C$5*$B$7*S30) + ($D$5*$B$7*S31) + ($E$5*$B$7*S32),0)</f>
        <v>164820.31302031301</v>
      </c>
      <c r="T20" s="9">
        <f>IF(T13&gt;=$B$10,$B$5*$B$7*T15 + ($C$5*$B$7*T30) + ($D$5*$B$7*T31) + ($E$5*$B$7*T32),0)</f>
        <v>174338.22843822843</v>
      </c>
      <c r="U20" s="9">
        <f>IF(U13&gt;=$B$10,$B$5*$B$7*U15 + ($C$5*$B$7*U30) + ($D$5*$B$7*U31) + ($E$5*$B$7*U32),0)</f>
        <v>183856.14385614387</v>
      </c>
      <c r="V20" s="9">
        <f>IF(V13&gt;=$B$10,$B$5*$B$7*V15 + ($C$5*$B$7*V30) + ($D$5*$B$7*V31) + ($E$5*$B$7*V32),0)</f>
        <v>193374.05927405923</v>
      </c>
      <c r="W20" s="9">
        <f>IF(W13&gt;=$B$10,$B$5*$B$7*W15 + ($C$5*$B$7*W30) + ($D$5*$B$7*W31) + ($E$5*$B$7*W32),0)</f>
        <v>202891.97469197464</v>
      </c>
      <c r="X20" s="9">
        <f>IF(X13&gt;=$B$10,$B$5*$B$7*X15 + ($C$5*$B$7*X30) + ($D$5*$B$7*X31) + ($E$5*$B$7*X32),0)</f>
        <v>212409.89010989002</v>
      </c>
      <c r="Y20" s="9">
        <f>IF(Y13&gt;=$B$10,$B$5*$B$7*Y15 + ($C$5*$B$7*Y30) + ($D$5*$B$7*Y31) + ($E$5*$B$7*Y32),0)</f>
        <v>227114.28571428565</v>
      </c>
      <c r="Z20" s="9">
        <f>IF(Z13&gt;=$B$10,$B$5*$B$7*Z15 + ($C$5*$B$7*Z30) + ($D$5*$B$7*Z31) + ($E$5*$B$7*Z32),0)</f>
        <v>1764595.2380952381</v>
      </c>
    </row>
    <row r="21" spans="1:26" x14ac:dyDescent="0.2">
      <c r="A21" s="3" t="s">
        <v>28</v>
      </c>
      <c r="B21" s="9">
        <f>'Gastos mensuales'!$D$22</f>
        <v>293267</v>
      </c>
      <c r="C21" s="9">
        <f>'Gastos mensuales'!$D$22</f>
        <v>293267</v>
      </c>
      <c r="D21" s="9">
        <f>'Gastos mensuales'!$D$22</f>
        <v>293267</v>
      </c>
      <c r="E21" s="9">
        <f>'Gastos mensuales'!$D$22</f>
        <v>293267</v>
      </c>
      <c r="F21" s="9">
        <f>'Gastos mensuales'!$D$22</f>
        <v>293267</v>
      </c>
      <c r="G21" s="9">
        <f>'Gastos mensuales'!$D$22</f>
        <v>293267</v>
      </c>
      <c r="H21" s="9">
        <f>'Gastos mensuales'!$D$22</f>
        <v>293267</v>
      </c>
      <c r="I21" s="9">
        <f>'Gastos mensuales'!$D$22</f>
        <v>293267</v>
      </c>
      <c r="J21" s="9">
        <f>'Gastos mensuales'!$D$22</f>
        <v>293267</v>
      </c>
      <c r="K21" s="9">
        <f>'Gastos mensuales'!$D$22</f>
        <v>293267</v>
      </c>
      <c r="L21" s="9">
        <f>'Gastos mensuales'!$D$22</f>
        <v>293267</v>
      </c>
      <c r="M21" s="9">
        <f>'Gastos mensuales'!$D$22</f>
        <v>293267</v>
      </c>
      <c r="N21" s="9">
        <f>'Gastos mensuales'!$D$22</f>
        <v>293267</v>
      </c>
      <c r="O21" s="9">
        <f>'Gastos mensuales'!$D$22</f>
        <v>293267</v>
      </c>
      <c r="P21" s="9">
        <f>'Gastos mensuales'!$D$22</f>
        <v>293267</v>
      </c>
      <c r="Q21" s="9">
        <f>'Gastos mensuales'!$D$22</f>
        <v>293267</v>
      </c>
      <c r="R21" s="9">
        <f>'Gastos mensuales'!$D$22</f>
        <v>293267</v>
      </c>
      <c r="S21" s="9">
        <f>'Gastos mensuales'!$D$22</f>
        <v>293267</v>
      </c>
      <c r="T21" s="9">
        <f>'Gastos mensuales'!$D$22</f>
        <v>293267</v>
      </c>
      <c r="U21" s="9">
        <f>'Gastos mensuales'!$D$22</f>
        <v>293267</v>
      </c>
      <c r="V21" s="9">
        <f>'Gastos mensuales'!$D$22</f>
        <v>293267</v>
      </c>
      <c r="W21" s="9">
        <f>'Gastos mensuales'!$D$22</f>
        <v>293267</v>
      </c>
      <c r="X21" s="9">
        <f>'Gastos mensuales'!$D$22</f>
        <v>293267</v>
      </c>
      <c r="Y21" s="9">
        <f>'Gastos mensuales'!$D$22</f>
        <v>293267</v>
      </c>
      <c r="Z21" s="9">
        <f>SUM(B21:Y21)</f>
        <v>7038408</v>
      </c>
    </row>
    <row r="22" spans="1:26" x14ac:dyDescent="0.2">
      <c r="A22" s="3" t="s">
        <v>29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</row>
    <row r="23" spans="1:26" x14ac:dyDescent="0.2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9"/>
    </row>
    <row r="24" spans="1:26" x14ac:dyDescent="0.2">
      <c r="A24" s="3" t="s">
        <v>30</v>
      </c>
      <c r="B24" s="9">
        <f>B16+B17</f>
        <v>56000</v>
      </c>
      <c r="C24" s="9">
        <f>C16+C17</f>
        <v>132000</v>
      </c>
      <c r="D24" s="9">
        <f>D16+D17</f>
        <v>188000</v>
      </c>
      <c r="E24" s="9">
        <f>E16+E17</f>
        <v>314000</v>
      </c>
      <c r="F24" s="9">
        <f>F16+F17</f>
        <v>370000</v>
      </c>
      <c r="G24" s="9">
        <f>G16+G17</f>
        <v>546000</v>
      </c>
      <c r="H24" s="9">
        <f>H16+H17</f>
        <v>602000</v>
      </c>
      <c r="I24" s="9">
        <f>I16+I17</f>
        <v>722285.7142857142</v>
      </c>
      <c r="J24" s="9">
        <f>J16+J17</f>
        <v>784714.28571428568</v>
      </c>
      <c r="K24" s="9">
        <f>K16+K17</f>
        <v>863809.52380952367</v>
      </c>
      <c r="L24" s="9">
        <f>L16+L17</f>
        <v>942904.76190476166</v>
      </c>
      <c r="M24" s="9">
        <f>M16+M17</f>
        <v>1121999.9999999998</v>
      </c>
      <c r="N24" s="9">
        <f>N16+N17</f>
        <v>1172307.3593073585</v>
      </c>
      <c r="O24" s="9">
        <f>O16+O17</f>
        <v>1267486.5134865132</v>
      </c>
      <c r="P24" s="9">
        <f>P16+P17</f>
        <v>1362665.6676656671</v>
      </c>
      <c r="Q24" s="9">
        <f>Q16+Q17</f>
        <v>1457844.8218448209</v>
      </c>
      <c r="R24" s="9">
        <f>R16+R17</f>
        <v>1553023.9760239751</v>
      </c>
      <c r="S24" s="9">
        <f>S16+S17</f>
        <v>1648203.1302031302</v>
      </c>
      <c r="T24" s="9">
        <f>T16+T17</f>
        <v>1743382.2843822842</v>
      </c>
      <c r="U24" s="9">
        <f>U16+U17</f>
        <v>1838561.4385614386</v>
      </c>
      <c r="V24" s="9">
        <f>V16+V17</f>
        <v>1933740.5927405928</v>
      </c>
      <c r="W24" s="9">
        <f>W16+W17</f>
        <v>2028919.7469197465</v>
      </c>
      <c r="X24" s="9">
        <f>X16+X17</f>
        <v>2124098.9010989005</v>
      </c>
      <c r="Y24" s="9">
        <f>Y16+Y17</f>
        <v>2271142.8571428563</v>
      </c>
      <c r="Z24" s="9">
        <f t="shared" ref="Z24" si="3">SUM(B24:Y24)</f>
        <v>27045091.575091571</v>
      </c>
    </row>
    <row r="25" spans="1:26" x14ac:dyDescent="0.2">
      <c r="A25" s="3" t="s">
        <v>31</v>
      </c>
      <c r="B25" s="9">
        <f>B19+B20+B21+B22</f>
        <v>298867</v>
      </c>
      <c r="C25" s="9">
        <f>C19+C20+C21+C22</f>
        <v>306467</v>
      </c>
      <c r="D25" s="9">
        <f t="shared" ref="D25:Z25" si="4">D19+D20+D21+D22</f>
        <v>312067</v>
      </c>
      <c r="E25" s="9">
        <f t="shared" si="4"/>
        <v>324667</v>
      </c>
      <c r="F25" s="9">
        <f t="shared" si="4"/>
        <v>330267</v>
      </c>
      <c r="G25" s="9">
        <f t="shared" si="4"/>
        <v>347867</v>
      </c>
      <c r="H25" s="9">
        <f t="shared" si="4"/>
        <v>353467</v>
      </c>
      <c r="I25" s="9">
        <f t="shared" si="4"/>
        <v>365495.57142857142</v>
      </c>
      <c r="J25" s="9">
        <f t="shared" si="4"/>
        <v>371738.42857142858</v>
      </c>
      <c r="K25" s="9">
        <f t="shared" si="4"/>
        <v>379647.95238095237</v>
      </c>
      <c r="L25" s="9">
        <f t="shared" si="4"/>
        <v>387557.47619047615</v>
      </c>
      <c r="M25" s="9">
        <f t="shared" si="4"/>
        <v>405467</v>
      </c>
      <c r="N25" s="9">
        <f t="shared" si="4"/>
        <v>410497.73593073589</v>
      </c>
      <c r="O25" s="9">
        <f t="shared" si="4"/>
        <v>420015.65134865133</v>
      </c>
      <c r="P25" s="9">
        <f t="shared" si="4"/>
        <v>429533.56676656671</v>
      </c>
      <c r="Q25" s="9">
        <f t="shared" si="4"/>
        <v>439051.48218448216</v>
      </c>
      <c r="R25" s="9">
        <f t="shared" si="4"/>
        <v>448569.39760239748</v>
      </c>
      <c r="S25" s="9">
        <f t="shared" si="4"/>
        <v>458087.31302031304</v>
      </c>
      <c r="T25" s="9">
        <f t="shared" si="4"/>
        <v>467605.22843822843</v>
      </c>
      <c r="U25" s="9">
        <f t="shared" si="4"/>
        <v>477123.14385614387</v>
      </c>
      <c r="V25" s="9">
        <f t="shared" si="4"/>
        <v>486641.05927405925</v>
      </c>
      <c r="W25" s="9">
        <f t="shared" si="4"/>
        <v>496158.97469197464</v>
      </c>
      <c r="X25" s="9">
        <f t="shared" si="4"/>
        <v>505676.89010989002</v>
      </c>
      <c r="Y25" s="9">
        <f t="shared" si="4"/>
        <v>520381.28571428568</v>
      </c>
      <c r="Z25" s="9">
        <f t="shared" si="4"/>
        <v>8803003.2380952388</v>
      </c>
    </row>
    <row r="26" spans="1:26" x14ac:dyDescent="0.2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9"/>
    </row>
    <row r="27" spans="1:26" x14ac:dyDescent="0.2">
      <c r="A27" s="3" t="s">
        <v>22</v>
      </c>
      <c r="B27" s="9">
        <f>B24-B25</f>
        <v>-242867</v>
      </c>
      <c r="C27" s="9">
        <f>C24-C25</f>
        <v>-174467</v>
      </c>
      <c r="D27" s="9">
        <f>D24-D25</f>
        <v>-124067</v>
      </c>
      <c r="E27" s="9">
        <f t="shared" ref="E27:Y27" si="5">E24-E25</f>
        <v>-10667</v>
      </c>
      <c r="F27" s="9">
        <f t="shared" si="5"/>
        <v>39733</v>
      </c>
      <c r="G27" s="9">
        <f t="shared" si="5"/>
        <v>198133</v>
      </c>
      <c r="H27" s="9">
        <f t="shared" si="5"/>
        <v>248533</v>
      </c>
      <c r="I27" s="9">
        <f t="shared" si="5"/>
        <v>356790.14285714278</v>
      </c>
      <c r="J27" s="9">
        <f t="shared" si="5"/>
        <v>412975.8571428571</v>
      </c>
      <c r="K27" s="9">
        <f t="shared" si="5"/>
        <v>484161.5714285713</v>
      </c>
      <c r="L27" s="9">
        <f t="shared" si="5"/>
        <v>555347.28571428545</v>
      </c>
      <c r="M27" s="9">
        <f t="shared" si="5"/>
        <v>716532.99999999977</v>
      </c>
      <c r="N27" s="9">
        <f t="shared" si="5"/>
        <v>761809.62337662256</v>
      </c>
      <c r="O27" s="9">
        <f t="shared" si="5"/>
        <v>847470.86213786178</v>
      </c>
      <c r="P27" s="9">
        <f t="shared" si="5"/>
        <v>933132.10089910042</v>
      </c>
      <c r="Q27" s="9">
        <f>Q24-Q25</f>
        <v>1018793.3396603387</v>
      </c>
      <c r="R27" s="9">
        <f t="shared" si="5"/>
        <v>1104454.5784215776</v>
      </c>
      <c r="S27" s="9">
        <f t="shared" si="5"/>
        <v>1190115.817182817</v>
      </c>
      <c r="T27" s="9">
        <f t="shared" si="5"/>
        <v>1275777.0559440558</v>
      </c>
      <c r="U27" s="9">
        <f t="shared" si="5"/>
        <v>1361438.2947052948</v>
      </c>
      <c r="V27" s="9">
        <f t="shared" si="5"/>
        <v>1447099.5334665335</v>
      </c>
      <c r="W27" s="9">
        <f t="shared" si="5"/>
        <v>1532760.7722277718</v>
      </c>
      <c r="X27" s="9">
        <f t="shared" si="5"/>
        <v>1618422.0109890103</v>
      </c>
      <c r="Y27" s="9">
        <f t="shared" si="5"/>
        <v>1750761.5714285707</v>
      </c>
      <c r="Z27" s="9">
        <f>SUM(B27:Y27)</f>
        <v>17302174.417582408</v>
      </c>
    </row>
    <row r="30" spans="1:26" x14ac:dyDescent="0.2">
      <c r="A30" s="3" t="s">
        <v>24</v>
      </c>
      <c r="B30" s="76">
        <v>0</v>
      </c>
      <c r="C30" s="76">
        <v>1</v>
      </c>
      <c r="D30" s="76">
        <v>1</v>
      </c>
      <c r="E30" s="76">
        <v>2</v>
      </c>
      <c r="F30" s="76">
        <v>2</v>
      </c>
      <c r="G30" s="76">
        <v>3</v>
      </c>
      <c r="H30" s="76">
        <v>3</v>
      </c>
      <c r="I30" s="76">
        <v>3.71428571428571</v>
      </c>
      <c r="J30" s="76">
        <v>4.21428571428571</v>
      </c>
      <c r="K30" s="76">
        <v>4.71428571428571</v>
      </c>
      <c r="L30" s="76">
        <v>5.21428571428571</v>
      </c>
      <c r="M30" s="76">
        <v>5.71428571428571</v>
      </c>
      <c r="N30" s="76">
        <v>6.21428571428571</v>
      </c>
      <c r="O30" s="76">
        <v>6.71428571428571</v>
      </c>
      <c r="P30" s="76">
        <v>7.21428571428571</v>
      </c>
      <c r="Q30" s="76">
        <v>7.71428571428571</v>
      </c>
      <c r="R30" s="76">
        <v>8.21428571428571</v>
      </c>
      <c r="S30" s="76">
        <v>8.71428571428571</v>
      </c>
      <c r="T30" s="76">
        <v>9.21428571428571</v>
      </c>
      <c r="U30" s="76">
        <v>9.71428571428571</v>
      </c>
      <c r="V30" s="76">
        <v>10.214285714285699</v>
      </c>
      <c r="W30" s="76">
        <v>10.714285714285699</v>
      </c>
      <c r="X30" s="76">
        <v>11.214285714285699</v>
      </c>
      <c r="Y30" s="76">
        <v>11.714285714285699</v>
      </c>
      <c r="Z30" s="76">
        <v>12</v>
      </c>
    </row>
    <row r="31" spans="1:26" x14ac:dyDescent="0.2">
      <c r="A31" s="3" t="s">
        <v>24</v>
      </c>
      <c r="B31" s="76">
        <v>0</v>
      </c>
      <c r="C31" s="76">
        <v>0</v>
      </c>
      <c r="D31" s="76">
        <v>0</v>
      </c>
      <c r="E31" s="76">
        <v>1</v>
      </c>
      <c r="F31" s="76">
        <v>1</v>
      </c>
      <c r="G31" s="76">
        <v>1</v>
      </c>
      <c r="H31" s="76">
        <v>1</v>
      </c>
      <c r="I31" s="76">
        <v>2</v>
      </c>
      <c r="J31" s="76">
        <v>1.9285714285714299</v>
      </c>
      <c r="K31" s="76">
        <v>2.1904761904761898</v>
      </c>
      <c r="L31" s="76">
        <v>2.4523809523809499</v>
      </c>
      <c r="M31" s="76">
        <v>2.71428571428571</v>
      </c>
      <c r="N31" s="76">
        <v>2.9761904761904701</v>
      </c>
      <c r="O31" s="76">
        <v>3.2380952380952399</v>
      </c>
      <c r="P31" s="76">
        <v>3.5</v>
      </c>
      <c r="Q31" s="76">
        <v>3.7619047619047601</v>
      </c>
      <c r="R31" s="76">
        <v>4.0238095238095202</v>
      </c>
      <c r="S31" s="76">
        <v>4.2857142857142803</v>
      </c>
      <c r="T31" s="76">
        <v>4.5476190476190403</v>
      </c>
      <c r="U31" s="76">
        <v>4.8095238095238102</v>
      </c>
      <c r="V31" s="76">
        <v>5.0714285714285703</v>
      </c>
      <c r="W31" s="76">
        <v>5.3333333333333304</v>
      </c>
      <c r="X31" s="76">
        <v>5.5952380952380896</v>
      </c>
      <c r="Y31" s="76">
        <v>5.8571428571428497</v>
      </c>
      <c r="Z31" s="76">
        <v>6.1190476190476204</v>
      </c>
    </row>
    <row r="32" spans="1:26" x14ac:dyDescent="0.2">
      <c r="A32" s="3" t="s">
        <v>24</v>
      </c>
      <c r="B32" s="76">
        <v>0</v>
      </c>
      <c r="C32" s="76">
        <v>0</v>
      </c>
      <c r="D32" s="76">
        <v>0</v>
      </c>
      <c r="E32" s="76">
        <v>0</v>
      </c>
      <c r="F32" s="76">
        <v>0</v>
      </c>
      <c r="G32" s="76">
        <v>1</v>
      </c>
      <c r="H32" s="76">
        <v>1</v>
      </c>
      <c r="I32" s="76">
        <v>1</v>
      </c>
      <c r="J32" s="76">
        <v>1</v>
      </c>
      <c r="K32" s="76">
        <v>1</v>
      </c>
      <c r="L32" s="76">
        <v>1</v>
      </c>
      <c r="M32" s="76">
        <v>2</v>
      </c>
      <c r="N32" s="76">
        <v>1.7121212121212099</v>
      </c>
      <c r="O32" s="76">
        <v>1.8729603729603701</v>
      </c>
      <c r="P32" s="76">
        <v>2.03379953379953</v>
      </c>
      <c r="Q32" s="76">
        <v>2.19463869463869</v>
      </c>
      <c r="R32" s="76">
        <v>2.3554778554778499</v>
      </c>
      <c r="S32" s="76">
        <v>2.5163170163170201</v>
      </c>
      <c r="T32" s="76">
        <v>2.67715617715618</v>
      </c>
      <c r="U32" s="76">
        <v>2.83799533799534</v>
      </c>
      <c r="V32" s="76">
        <v>2.9988344988344999</v>
      </c>
      <c r="W32" s="76">
        <v>3.1596736596736599</v>
      </c>
      <c r="X32" s="76">
        <v>3.3205128205128198</v>
      </c>
      <c r="Y32" s="76">
        <v>4</v>
      </c>
      <c r="Z32" s="76">
        <v>3</v>
      </c>
    </row>
    <row r="33" spans="1:26" x14ac:dyDescent="0.2">
      <c r="A33" s="80"/>
      <c r="R33" s="76" cm="1">
        <f t="array" aca="1" ref="R33" ca="1">+I32:R33</f>
        <v>0</v>
      </c>
    </row>
    <row r="34" spans="1:26" x14ac:dyDescent="0.2">
      <c r="A34" s="81"/>
    </row>
    <row r="35" spans="1:26" x14ac:dyDescent="0.2">
      <c r="A35" s="77"/>
      <c r="B35" s="78"/>
      <c r="C35" s="78"/>
      <c r="D35" s="78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x14ac:dyDescent="0.2">
      <c r="A36" s="77"/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</row>
    <row r="37" spans="1:26" x14ac:dyDescent="0.2">
      <c r="A37" s="77"/>
      <c r="B37" s="78"/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</row>
  </sheetData>
  <mergeCells count="5">
    <mergeCell ref="I3:K3"/>
    <mergeCell ref="I4:J4"/>
    <mergeCell ref="I5:J5"/>
    <mergeCell ref="I6:J6"/>
    <mergeCell ref="A12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Preoperativo</vt:lpstr>
      <vt:lpstr>Gastos mensuales</vt:lpstr>
      <vt:lpstr>ModeloFinanciero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Malváez</cp:lastModifiedBy>
  <dcterms:created xsi:type="dcterms:W3CDTF">2023-04-23T04:23:02Z</dcterms:created>
  <dcterms:modified xsi:type="dcterms:W3CDTF">2023-05-23T03:12:51Z</dcterms:modified>
</cp:coreProperties>
</file>