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E655C2CD-8D25-49FF-97FB-E62E9273956B}" xr6:coauthVersionLast="45" xr6:coauthVersionMax="45" xr10:uidLastSave="{00000000-0000-0000-0000-000000000000}"/>
  <bookViews>
    <workbookView xWindow="-108" yWindow="-108" windowWidth="23256" windowHeight="13176" xr2:uid="{747F4D0D-3210-4C87-A741-A210C5D2A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Z26" i="1" l="1"/>
  <c r="DY26" i="1"/>
  <c r="CY26" i="1"/>
  <c r="CX26" i="1"/>
  <c r="BX26" i="1"/>
  <c r="BX27" i="1"/>
  <c r="BX28" i="1"/>
  <c r="BX29" i="1"/>
  <c r="BX30" i="1"/>
  <c r="BX31" i="1"/>
  <c r="BX32" i="1"/>
  <c r="BX33" i="1"/>
  <c r="BX34" i="1"/>
  <c r="BX35" i="1"/>
  <c r="BX36" i="1"/>
  <c r="BW27" i="1"/>
  <c r="BW28" i="1"/>
  <c r="BW29" i="1"/>
  <c r="BW30" i="1"/>
  <c r="BW31" i="1"/>
  <c r="BW32" i="1"/>
  <c r="BW33" i="1"/>
  <c r="BW34" i="1"/>
  <c r="BW35" i="1"/>
  <c r="BW36" i="1"/>
  <c r="BW26" i="1"/>
  <c r="FA26" i="1"/>
  <c r="DT51" i="1" l="1"/>
  <c r="BR26" i="1" l="1"/>
  <c r="BS26" i="1"/>
  <c r="BT26" i="1"/>
  <c r="BR4" i="1"/>
  <c r="BR15" i="1"/>
  <c r="BV26" i="1"/>
  <c r="BR40" i="1"/>
  <c r="BR51" i="1"/>
  <c r="CS51" i="1"/>
  <c r="EU51" i="1"/>
  <c r="EU40" i="1"/>
  <c r="EY26" i="1"/>
  <c r="EU26" i="1"/>
  <c r="EU15" i="1"/>
  <c r="EU4" i="1"/>
  <c r="DT4" i="1"/>
  <c r="DT15" i="1"/>
  <c r="DX26" i="1"/>
  <c r="DT26" i="1"/>
  <c r="DT4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S52" i="1"/>
  <c r="CS53" i="1"/>
  <c r="CS54" i="1"/>
  <c r="CS55" i="1"/>
  <c r="CS56" i="1"/>
  <c r="CS57" i="1"/>
  <c r="CS58" i="1"/>
  <c r="CS59" i="1"/>
  <c r="CS60" i="1"/>
  <c r="CS61" i="1"/>
  <c r="CV46" i="1"/>
  <c r="CT40" i="1"/>
  <c r="CV40" i="1"/>
  <c r="CT41" i="1"/>
  <c r="CV41" i="1"/>
  <c r="CT42" i="1"/>
  <c r="CV42" i="1"/>
  <c r="CT43" i="1"/>
  <c r="CV43" i="1"/>
  <c r="CT44" i="1"/>
  <c r="CV44" i="1"/>
  <c r="CT45" i="1"/>
  <c r="CV45" i="1"/>
  <c r="CT46" i="1"/>
  <c r="CT47" i="1"/>
  <c r="CV47" i="1"/>
  <c r="CS41" i="1"/>
  <c r="CS42" i="1"/>
  <c r="CS43" i="1"/>
  <c r="CS44" i="1"/>
  <c r="CS45" i="1"/>
  <c r="CS46" i="1"/>
  <c r="CS47" i="1"/>
  <c r="CS40" i="1"/>
  <c r="CW26" i="1"/>
  <c r="CW27" i="1"/>
  <c r="CW28" i="1"/>
  <c r="CW29" i="1"/>
  <c r="CW30" i="1"/>
  <c r="CW31" i="1"/>
  <c r="CW32" i="1"/>
  <c r="CW33" i="1"/>
  <c r="CW34" i="1"/>
  <c r="CW35" i="1"/>
  <c r="CW36" i="1"/>
  <c r="CY27" i="1"/>
  <c r="CY28" i="1"/>
  <c r="CY29" i="1"/>
  <c r="CY30" i="1"/>
  <c r="CY31" i="1"/>
  <c r="CY32" i="1"/>
  <c r="CY33" i="1"/>
  <c r="CY34" i="1"/>
  <c r="CY35" i="1"/>
  <c r="CY36" i="1"/>
  <c r="CU32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T33" i="1"/>
  <c r="CU33" i="1"/>
  <c r="CT34" i="1"/>
  <c r="CU34" i="1"/>
  <c r="CT35" i="1"/>
  <c r="CU35" i="1"/>
  <c r="CT36" i="1"/>
  <c r="CU36" i="1"/>
  <c r="CS27" i="1"/>
  <c r="CS28" i="1"/>
  <c r="CS29" i="1"/>
  <c r="CS30" i="1"/>
  <c r="CS31" i="1"/>
  <c r="CS32" i="1"/>
  <c r="CS33" i="1"/>
  <c r="CS34" i="1"/>
  <c r="CS35" i="1"/>
  <c r="CS36" i="1"/>
  <c r="CS26" i="1"/>
  <c r="CS15" i="1"/>
  <c r="EW61" i="1"/>
  <c r="EX11" i="1"/>
  <c r="EV6" i="1"/>
  <c r="EV61" i="1"/>
  <c r="EU61" i="1"/>
  <c r="EW60" i="1"/>
  <c r="EV60" i="1"/>
  <c r="EU60" i="1"/>
  <c r="EW59" i="1"/>
  <c r="EV59" i="1"/>
  <c r="EU59" i="1"/>
  <c r="EW58" i="1"/>
  <c r="EV58" i="1"/>
  <c r="EU58" i="1"/>
  <c r="EW57" i="1"/>
  <c r="EV57" i="1"/>
  <c r="EU57" i="1"/>
  <c r="EW56" i="1"/>
  <c r="EV56" i="1"/>
  <c r="EU56" i="1"/>
  <c r="EW55" i="1"/>
  <c r="EV55" i="1"/>
  <c r="EU55" i="1"/>
  <c r="EW54" i="1"/>
  <c r="EV54" i="1"/>
  <c r="EU54" i="1"/>
  <c r="EW53" i="1"/>
  <c r="EV53" i="1"/>
  <c r="EU53" i="1"/>
  <c r="EW52" i="1"/>
  <c r="EV52" i="1"/>
  <c r="EU52" i="1"/>
  <c r="EW51" i="1"/>
  <c r="EV51" i="1"/>
  <c r="EX47" i="1"/>
  <c r="EV47" i="1"/>
  <c r="EU47" i="1"/>
  <c r="EX46" i="1"/>
  <c r="EV46" i="1"/>
  <c r="EU46" i="1"/>
  <c r="EX45" i="1"/>
  <c r="EV45" i="1"/>
  <c r="EU45" i="1"/>
  <c r="EX44" i="1"/>
  <c r="EV44" i="1"/>
  <c r="EU44" i="1"/>
  <c r="EX43" i="1"/>
  <c r="EV43" i="1"/>
  <c r="EU43" i="1"/>
  <c r="EX42" i="1"/>
  <c r="EV42" i="1"/>
  <c r="EU42" i="1"/>
  <c r="EX41" i="1"/>
  <c r="EV41" i="1"/>
  <c r="EU41" i="1"/>
  <c r="EX40" i="1"/>
  <c r="EV40" i="1"/>
  <c r="FA36" i="1"/>
  <c r="EY36" i="1"/>
  <c r="EW36" i="1"/>
  <c r="EV36" i="1"/>
  <c r="EU36" i="1"/>
  <c r="FA35" i="1"/>
  <c r="EY35" i="1"/>
  <c r="EW35" i="1"/>
  <c r="EV35" i="1"/>
  <c r="EU35" i="1"/>
  <c r="FA34" i="1"/>
  <c r="EY34" i="1"/>
  <c r="EW34" i="1"/>
  <c r="EV34" i="1"/>
  <c r="EU34" i="1"/>
  <c r="FA33" i="1"/>
  <c r="EY33" i="1"/>
  <c r="EW33" i="1"/>
  <c r="EV33" i="1"/>
  <c r="EU33" i="1"/>
  <c r="FA32" i="1"/>
  <c r="EY32" i="1"/>
  <c r="EW32" i="1"/>
  <c r="EV32" i="1"/>
  <c r="EU32" i="1"/>
  <c r="FA31" i="1"/>
  <c r="EY31" i="1"/>
  <c r="EW31" i="1"/>
  <c r="EV31" i="1"/>
  <c r="EU31" i="1"/>
  <c r="FA30" i="1"/>
  <c r="EY30" i="1"/>
  <c r="EW30" i="1"/>
  <c r="EV30" i="1"/>
  <c r="EU30" i="1"/>
  <c r="FA29" i="1"/>
  <c r="EY29" i="1"/>
  <c r="EW29" i="1"/>
  <c r="EV29" i="1"/>
  <c r="EU29" i="1"/>
  <c r="FA28" i="1"/>
  <c r="EY28" i="1"/>
  <c r="EW28" i="1"/>
  <c r="EV28" i="1"/>
  <c r="EU28" i="1"/>
  <c r="FA27" i="1"/>
  <c r="EY27" i="1"/>
  <c r="EW27" i="1"/>
  <c r="EV27" i="1"/>
  <c r="EU27" i="1"/>
  <c r="EW26" i="1"/>
  <c r="EV26" i="1"/>
  <c r="EX22" i="1"/>
  <c r="EV22" i="1"/>
  <c r="EU22" i="1"/>
  <c r="EX21" i="1"/>
  <c r="EV21" i="1"/>
  <c r="EU21" i="1"/>
  <c r="EX20" i="1"/>
  <c r="EV20" i="1"/>
  <c r="EU20" i="1"/>
  <c r="EX19" i="1"/>
  <c r="EV19" i="1"/>
  <c r="EU19" i="1"/>
  <c r="EX18" i="1"/>
  <c r="EV18" i="1"/>
  <c r="EU18" i="1"/>
  <c r="EX17" i="1"/>
  <c r="EV17" i="1"/>
  <c r="EU17" i="1"/>
  <c r="EX16" i="1"/>
  <c r="EV16" i="1"/>
  <c r="EU16" i="1"/>
  <c r="EX15" i="1"/>
  <c r="EV15" i="1"/>
  <c r="EV11" i="1"/>
  <c r="EU11" i="1"/>
  <c r="EX10" i="1"/>
  <c r="EV10" i="1"/>
  <c r="EU10" i="1"/>
  <c r="EX9" i="1"/>
  <c r="EV9" i="1"/>
  <c r="EU9" i="1"/>
  <c r="EX8" i="1"/>
  <c r="EV8" i="1"/>
  <c r="EU8" i="1"/>
  <c r="EX7" i="1"/>
  <c r="EV7" i="1"/>
  <c r="EU7" i="1"/>
  <c r="EX6" i="1"/>
  <c r="EU6" i="1"/>
  <c r="EX5" i="1"/>
  <c r="EV5" i="1"/>
  <c r="EU5" i="1"/>
  <c r="EX4" i="1"/>
  <c r="EV4" i="1"/>
  <c r="DU6" i="1"/>
  <c r="DV61" i="1"/>
  <c r="DU51" i="1"/>
  <c r="DV51" i="1"/>
  <c r="DU52" i="1"/>
  <c r="DV52" i="1"/>
  <c r="DU53" i="1"/>
  <c r="DV53" i="1"/>
  <c r="DU54" i="1"/>
  <c r="DV54" i="1"/>
  <c r="DU55" i="1"/>
  <c r="DV55" i="1"/>
  <c r="DU56" i="1"/>
  <c r="DV56" i="1"/>
  <c r="DU57" i="1"/>
  <c r="DV57" i="1"/>
  <c r="DU58" i="1"/>
  <c r="DV58" i="1"/>
  <c r="DU59" i="1"/>
  <c r="DV59" i="1"/>
  <c r="DU60" i="1"/>
  <c r="DV60" i="1"/>
  <c r="DU61" i="1"/>
  <c r="DT52" i="1"/>
  <c r="DT53" i="1"/>
  <c r="DT54" i="1"/>
  <c r="DT55" i="1"/>
  <c r="DT56" i="1"/>
  <c r="DT57" i="1"/>
  <c r="DT58" i="1"/>
  <c r="DT59" i="1"/>
  <c r="DT60" i="1"/>
  <c r="DT61" i="1"/>
  <c r="DT41" i="1"/>
  <c r="DU41" i="1"/>
  <c r="DW41" i="1"/>
  <c r="DT42" i="1"/>
  <c r="DU42" i="1"/>
  <c r="DW42" i="1"/>
  <c r="DT43" i="1"/>
  <c r="DU43" i="1"/>
  <c r="DW43" i="1"/>
  <c r="DT44" i="1"/>
  <c r="DU44" i="1"/>
  <c r="DW44" i="1"/>
  <c r="DT45" i="1"/>
  <c r="DU45" i="1"/>
  <c r="DW45" i="1"/>
  <c r="DT46" i="1"/>
  <c r="DU46" i="1"/>
  <c r="DW46" i="1"/>
  <c r="DT47" i="1"/>
  <c r="DU47" i="1"/>
  <c r="DW47" i="1"/>
  <c r="DU40" i="1"/>
  <c r="DW40" i="1"/>
  <c r="DZ36" i="1"/>
  <c r="DX27" i="1"/>
  <c r="DZ27" i="1"/>
  <c r="DX28" i="1"/>
  <c r="DZ28" i="1"/>
  <c r="DX29" i="1"/>
  <c r="DZ29" i="1"/>
  <c r="DX30" i="1"/>
  <c r="DZ30" i="1"/>
  <c r="DX31" i="1"/>
  <c r="DZ31" i="1"/>
  <c r="DX32" i="1"/>
  <c r="DZ32" i="1"/>
  <c r="DX33" i="1"/>
  <c r="DZ33" i="1"/>
  <c r="DX34" i="1"/>
  <c r="DZ34" i="1"/>
  <c r="DX35" i="1"/>
  <c r="DZ35" i="1"/>
  <c r="DX36" i="1"/>
  <c r="DZ26" i="1"/>
  <c r="DV36" i="1"/>
  <c r="DT27" i="1"/>
  <c r="DU27" i="1"/>
  <c r="DV27" i="1"/>
  <c r="DT28" i="1"/>
  <c r="DU28" i="1"/>
  <c r="DV28" i="1"/>
  <c r="DT29" i="1"/>
  <c r="DU29" i="1"/>
  <c r="DV29" i="1"/>
  <c r="DT30" i="1"/>
  <c r="DU30" i="1"/>
  <c r="DV30" i="1"/>
  <c r="DT31" i="1"/>
  <c r="DU31" i="1"/>
  <c r="DV31" i="1"/>
  <c r="DT32" i="1"/>
  <c r="DU32" i="1"/>
  <c r="DV32" i="1"/>
  <c r="DT33" i="1"/>
  <c r="DU33" i="1"/>
  <c r="DV33" i="1"/>
  <c r="DT34" i="1"/>
  <c r="DU34" i="1"/>
  <c r="DV34" i="1"/>
  <c r="DT35" i="1"/>
  <c r="DU35" i="1"/>
  <c r="DV35" i="1"/>
  <c r="DT36" i="1"/>
  <c r="DU36" i="1"/>
  <c r="DU26" i="1"/>
  <c r="DV26" i="1"/>
  <c r="DU20" i="1"/>
  <c r="DW22" i="1"/>
  <c r="DW18" i="1"/>
  <c r="DT16" i="1"/>
  <c r="DU16" i="1"/>
  <c r="DW16" i="1"/>
  <c r="DT17" i="1"/>
  <c r="DU17" i="1"/>
  <c r="DW17" i="1"/>
  <c r="DT18" i="1"/>
  <c r="DU18" i="1"/>
  <c r="DT19" i="1"/>
  <c r="DU19" i="1"/>
  <c r="DW19" i="1"/>
  <c r="DT20" i="1"/>
  <c r="DW20" i="1"/>
  <c r="DT21" i="1"/>
  <c r="DU21" i="1"/>
  <c r="DW21" i="1"/>
  <c r="DT22" i="1"/>
  <c r="DU22" i="1"/>
  <c r="DU15" i="1"/>
  <c r="DW15" i="1"/>
  <c r="DW11" i="1"/>
  <c r="DW5" i="1"/>
  <c r="DW6" i="1"/>
  <c r="DW7" i="1"/>
  <c r="DW8" i="1"/>
  <c r="DW9" i="1"/>
  <c r="DW10" i="1"/>
  <c r="DU5" i="1"/>
  <c r="DU7" i="1"/>
  <c r="DU8" i="1"/>
  <c r="DU9" i="1"/>
  <c r="DU10" i="1"/>
  <c r="DU11" i="1"/>
  <c r="DU4" i="1"/>
  <c r="DW4" i="1"/>
  <c r="DT5" i="1"/>
  <c r="DT6" i="1"/>
  <c r="DT7" i="1"/>
  <c r="DT8" i="1"/>
  <c r="DT9" i="1"/>
  <c r="DT10" i="1"/>
  <c r="DT11" i="1"/>
  <c r="DN4" i="1"/>
  <c r="CS4" i="1"/>
  <c r="EO47" i="1"/>
  <c r="EO46" i="1"/>
  <c r="EO45" i="1"/>
  <c r="EO44" i="1"/>
  <c r="EO43" i="1"/>
  <c r="EO42" i="1"/>
  <c r="EO41" i="1"/>
  <c r="EO40" i="1"/>
  <c r="EQ36" i="1"/>
  <c r="EQ35" i="1"/>
  <c r="EQ34" i="1"/>
  <c r="EQ33" i="1"/>
  <c r="EQ32" i="1"/>
  <c r="EQ31" i="1"/>
  <c r="EQ30" i="1"/>
  <c r="EQ29" i="1"/>
  <c r="EQ28" i="1"/>
  <c r="EQ27" i="1"/>
  <c r="EQ26" i="1"/>
  <c r="EO22" i="1"/>
  <c r="EO21" i="1"/>
  <c r="EO20" i="1"/>
  <c r="EO19" i="1"/>
  <c r="EO18" i="1"/>
  <c r="EO17" i="1"/>
  <c r="EO16" i="1"/>
  <c r="EO15" i="1"/>
  <c r="EO11" i="1"/>
  <c r="EO10" i="1"/>
  <c r="EO9" i="1"/>
  <c r="EO8" i="1"/>
  <c r="EO7" i="1"/>
  <c r="EO6" i="1"/>
  <c r="EO5" i="1"/>
  <c r="EO4" i="1"/>
  <c r="DP36" i="1"/>
  <c r="DP35" i="1"/>
  <c r="DP34" i="1"/>
  <c r="DP33" i="1"/>
  <c r="DP32" i="1"/>
  <c r="DP31" i="1"/>
  <c r="DP30" i="1"/>
  <c r="DP29" i="1"/>
  <c r="DP28" i="1"/>
  <c r="DP27" i="1"/>
  <c r="DP26" i="1"/>
  <c r="DN47" i="1"/>
  <c r="DN46" i="1"/>
  <c r="DN45" i="1"/>
  <c r="DN44" i="1"/>
  <c r="DN43" i="1"/>
  <c r="DN42" i="1"/>
  <c r="DN41" i="1"/>
  <c r="DN40" i="1"/>
  <c r="DN22" i="1"/>
  <c r="DN21" i="1"/>
  <c r="DN20" i="1"/>
  <c r="DN19" i="1"/>
  <c r="DN18" i="1"/>
  <c r="DN17" i="1"/>
  <c r="DN16" i="1"/>
  <c r="DN15" i="1"/>
  <c r="DN11" i="1"/>
  <c r="DN10" i="1"/>
  <c r="DN9" i="1"/>
  <c r="DN8" i="1"/>
  <c r="DN7" i="1"/>
  <c r="DN6" i="1"/>
  <c r="DN5" i="1"/>
  <c r="CM47" i="1"/>
  <c r="CM46" i="1"/>
  <c r="CM45" i="1"/>
  <c r="CM44" i="1"/>
  <c r="CM43" i="1"/>
  <c r="CM42" i="1"/>
  <c r="CM41" i="1"/>
  <c r="CM40" i="1"/>
  <c r="CO36" i="1"/>
  <c r="CO35" i="1"/>
  <c r="CO34" i="1"/>
  <c r="CO33" i="1"/>
  <c r="CO32" i="1"/>
  <c r="CO31" i="1"/>
  <c r="CO30" i="1"/>
  <c r="CO29" i="1"/>
  <c r="CO28" i="1"/>
  <c r="CO27" i="1"/>
  <c r="CO26" i="1"/>
  <c r="CM22" i="1"/>
  <c r="CU22" i="1" s="1"/>
  <c r="CM21" i="1"/>
  <c r="CU21" i="1" s="1"/>
  <c r="CM20" i="1"/>
  <c r="CU20" i="1" s="1"/>
  <c r="CM19" i="1"/>
  <c r="CU19" i="1" s="1"/>
  <c r="CM18" i="1"/>
  <c r="CM17" i="1"/>
  <c r="CU17" i="1" s="1"/>
  <c r="CM16" i="1"/>
  <c r="CU16" i="1" s="1"/>
  <c r="CM15" i="1"/>
  <c r="CM11" i="1"/>
  <c r="CM10" i="1"/>
  <c r="CU10" i="1" s="1"/>
  <c r="CM9" i="1"/>
  <c r="CM8" i="1"/>
  <c r="CU8" i="1" s="1"/>
  <c r="CM7" i="1"/>
  <c r="CU7" i="1" s="1"/>
  <c r="CM6" i="1"/>
  <c r="CM5" i="1"/>
  <c r="CU5" i="1" s="1"/>
  <c r="CM4" i="1"/>
  <c r="CU4" i="1" s="1"/>
  <c r="CV22" i="1"/>
  <c r="CT22" i="1"/>
  <c r="CS22" i="1"/>
  <c r="CV21" i="1"/>
  <c r="CT21" i="1"/>
  <c r="CS21" i="1"/>
  <c r="CV20" i="1"/>
  <c r="CT20" i="1"/>
  <c r="CS20" i="1"/>
  <c r="CV19" i="1"/>
  <c r="CT19" i="1"/>
  <c r="CS19" i="1"/>
  <c r="CV18" i="1"/>
  <c r="CU18" i="1"/>
  <c r="CT18" i="1"/>
  <c r="CS18" i="1"/>
  <c r="CV17" i="1"/>
  <c r="CT17" i="1"/>
  <c r="CS17" i="1"/>
  <c r="CV16" i="1"/>
  <c r="CT16" i="1"/>
  <c r="CS16" i="1"/>
  <c r="CV15" i="1"/>
  <c r="CT15" i="1"/>
  <c r="CU15" i="1"/>
  <c r="CV11" i="1"/>
  <c r="CT11" i="1"/>
  <c r="CS11" i="1"/>
  <c r="CV10" i="1"/>
  <c r="CT10" i="1"/>
  <c r="CS10" i="1"/>
  <c r="CV9" i="1"/>
  <c r="CU9" i="1"/>
  <c r="CT9" i="1"/>
  <c r="CS9" i="1"/>
  <c r="CV8" i="1"/>
  <c r="CT8" i="1"/>
  <c r="CS8" i="1"/>
  <c r="CV7" i="1"/>
  <c r="CT7" i="1"/>
  <c r="CS7" i="1"/>
  <c r="CV6" i="1"/>
  <c r="CT6" i="1"/>
  <c r="CS6" i="1"/>
  <c r="CU6" i="1"/>
  <c r="CV5" i="1"/>
  <c r="CT5" i="1"/>
  <c r="CS5" i="1"/>
  <c r="CV4" i="1"/>
  <c r="CT4" i="1"/>
  <c r="BU11" i="1"/>
  <c r="BT29" i="1"/>
  <c r="BT27" i="1"/>
  <c r="BT28" i="1"/>
  <c r="BT30" i="1"/>
  <c r="BT31" i="1"/>
  <c r="BT32" i="1"/>
  <c r="BT33" i="1"/>
  <c r="BT34" i="1"/>
  <c r="BT35" i="1"/>
  <c r="BT36" i="1"/>
  <c r="BV27" i="1"/>
  <c r="BV28" i="1"/>
  <c r="BV29" i="1"/>
  <c r="BV30" i="1"/>
  <c r="BV31" i="1"/>
  <c r="BV32" i="1"/>
  <c r="BV33" i="1"/>
  <c r="BV34" i="1"/>
  <c r="BV35" i="1"/>
  <c r="BV36" i="1"/>
  <c r="BS27" i="1"/>
  <c r="BS28" i="1"/>
  <c r="BS29" i="1"/>
  <c r="BS30" i="1"/>
  <c r="BS31" i="1"/>
  <c r="BS32" i="1"/>
  <c r="BS33" i="1"/>
  <c r="BS34" i="1"/>
  <c r="BS35" i="1"/>
  <c r="BS36" i="1"/>
  <c r="BR27" i="1"/>
  <c r="BR28" i="1"/>
  <c r="BR29" i="1"/>
  <c r="BR30" i="1"/>
  <c r="BR31" i="1"/>
  <c r="BR32" i="1"/>
  <c r="BR33" i="1"/>
  <c r="BR34" i="1"/>
  <c r="BR35" i="1"/>
  <c r="BR36" i="1"/>
  <c r="Q26" i="1"/>
  <c r="Q27" i="1"/>
  <c r="Q28" i="1"/>
  <c r="Q29" i="1"/>
  <c r="Q30" i="1"/>
  <c r="Q31" i="1"/>
  <c r="Q32" i="1"/>
  <c r="Q33" i="1"/>
  <c r="Q34" i="1"/>
  <c r="Q35" i="1"/>
  <c r="Q36" i="1"/>
  <c r="BS40" i="1"/>
  <c r="BU40" i="1"/>
  <c r="BR41" i="1"/>
  <c r="BS41" i="1"/>
  <c r="BU41" i="1"/>
  <c r="BR42" i="1"/>
  <c r="BS42" i="1"/>
  <c r="BU42" i="1"/>
  <c r="BR43" i="1"/>
  <c r="BS43" i="1"/>
  <c r="BU43" i="1"/>
  <c r="BR44" i="1"/>
  <c r="BS44" i="1"/>
  <c r="BU44" i="1"/>
  <c r="BR45" i="1"/>
  <c r="BS45" i="1"/>
  <c r="BU45" i="1"/>
  <c r="BR46" i="1"/>
  <c r="BS46" i="1"/>
  <c r="BU46" i="1"/>
  <c r="BR47" i="1"/>
  <c r="BS47" i="1"/>
  <c r="BU47" i="1"/>
  <c r="BS18" i="1"/>
  <c r="BS7" i="1"/>
  <c r="BT61" i="1"/>
  <c r="BT52" i="1"/>
  <c r="BT53" i="1"/>
  <c r="BT54" i="1"/>
  <c r="BT55" i="1"/>
  <c r="BT56" i="1"/>
  <c r="BT57" i="1"/>
  <c r="BT58" i="1"/>
  <c r="BT59" i="1"/>
  <c r="BT60" i="1"/>
  <c r="BS52" i="1"/>
  <c r="BS53" i="1"/>
  <c r="BS54" i="1"/>
  <c r="BS55" i="1"/>
  <c r="BS56" i="1"/>
  <c r="BS57" i="1"/>
  <c r="BS58" i="1"/>
  <c r="BS59" i="1"/>
  <c r="BS60" i="1"/>
  <c r="BS61" i="1"/>
  <c r="BS51" i="1"/>
  <c r="BT51" i="1"/>
  <c r="BR52" i="1"/>
  <c r="BR53" i="1"/>
  <c r="BR54" i="1"/>
  <c r="BR55" i="1"/>
  <c r="BR56" i="1"/>
  <c r="BR57" i="1"/>
  <c r="BR58" i="1"/>
  <c r="BR59" i="1"/>
  <c r="BR60" i="1"/>
  <c r="BR61" i="1"/>
  <c r="BR11" i="1"/>
  <c r="BS11" i="1"/>
  <c r="BR22" i="1"/>
  <c r="BS22" i="1"/>
  <c r="BU22" i="1"/>
  <c r="BL47" i="1"/>
  <c r="BL46" i="1"/>
  <c r="BL45" i="1"/>
  <c r="BL44" i="1"/>
  <c r="BL43" i="1"/>
  <c r="BL42" i="1"/>
  <c r="BL41" i="1"/>
  <c r="BL40" i="1"/>
  <c r="BN36" i="1"/>
  <c r="BN35" i="1"/>
  <c r="BN34" i="1"/>
  <c r="BN33" i="1"/>
  <c r="BN32" i="1"/>
  <c r="BN31" i="1"/>
  <c r="BN30" i="1"/>
  <c r="BN29" i="1"/>
  <c r="BN28" i="1"/>
  <c r="BN27" i="1"/>
  <c r="BN26" i="1"/>
  <c r="BL22" i="1"/>
  <c r="BL21" i="1"/>
  <c r="BL20" i="1"/>
  <c r="BL19" i="1"/>
  <c r="BL18" i="1"/>
  <c r="BL17" i="1"/>
  <c r="BL16" i="1"/>
  <c r="BL15" i="1"/>
  <c r="BL11" i="1"/>
  <c r="BL10" i="1"/>
  <c r="BL9" i="1"/>
  <c r="BL8" i="1"/>
  <c r="BL7" i="1"/>
  <c r="BL6" i="1"/>
  <c r="BL5" i="1"/>
  <c r="BL4" i="1"/>
  <c r="BU10" i="1"/>
  <c r="BS10" i="1"/>
  <c r="BR10" i="1"/>
  <c r="BU9" i="1"/>
  <c r="BS9" i="1"/>
  <c r="BR9" i="1"/>
  <c r="BU8" i="1"/>
  <c r="BS8" i="1"/>
  <c r="BR8" i="1"/>
  <c r="BU7" i="1"/>
  <c r="BR7" i="1"/>
  <c r="BU6" i="1"/>
  <c r="BS6" i="1"/>
  <c r="BR6" i="1"/>
  <c r="BU5" i="1"/>
  <c r="BS5" i="1"/>
  <c r="BR5" i="1"/>
  <c r="BU4" i="1"/>
  <c r="BS4" i="1"/>
  <c r="BU21" i="1"/>
  <c r="BS21" i="1"/>
  <c r="BR21" i="1"/>
  <c r="BU20" i="1"/>
  <c r="BS20" i="1"/>
  <c r="BR20" i="1"/>
  <c r="BU19" i="1"/>
  <c r="BS19" i="1"/>
  <c r="BR19" i="1"/>
  <c r="BU18" i="1"/>
  <c r="BR18" i="1"/>
  <c r="BU17" i="1"/>
  <c r="BS17" i="1"/>
  <c r="BR17" i="1"/>
  <c r="BU16" i="1"/>
  <c r="BS16" i="1"/>
  <c r="BR16" i="1"/>
  <c r="BU15" i="1"/>
  <c r="BS15" i="1"/>
  <c r="AR40" i="1"/>
  <c r="AN47" i="1"/>
  <c r="AN46" i="1"/>
  <c r="AN45" i="1"/>
  <c r="AN44" i="1"/>
  <c r="AN43" i="1"/>
  <c r="AN42" i="1"/>
  <c r="AN41" i="1"/>
  <c r="AN40" i="1"/>
  <c r="AN22" i="1"/>
  <c r="AN21" i="1"/>
  <c r="AN20" i="1"/>
  <c r="AN19" i="1"/>
  <c r="AN18" i="1"/>
  <c r="AN17" i="1"/>
  <c r="AN16" i="1"/>
  <c r="AN15" i="1"/>
  <c r="AN11" i="1"/>
  <c r="AN10" i="1"/>
  <c r="AN9" i="1"/>
  <c r="AN8" i="1"/>
  <c r="AN7" i="1"/>
  <c r="AN6" i="1"/>
  <c r="AN5" i="1"/>
  <c r="AN4" i="1"/>
  <c r="AU47" i="1"/>
  <c r="AS47" i="1"/>
  <c r="AR47" i="1"/>
  <c r="AU46" i="1"/>
  <c r="AS46" i="1"/>
  <c r="AR46" i="1"/>
  <c r="AU45" i="1"/>
  <c r="AS45" i="1"/>
  <c r="AR45" i="1"/>
  <c r="AU44" i="1"/>
  <c r="AS44" i="1"/>
  <c r="AR44" i="1"/>
  <c r="AU43" i="1"/>
  <c r="AS43" i="1"/>
  <c r="AR43" i="1"/>
  <c r="AU42" i="1"/>
  <c r="AS42" i="1"/>
  <c r="AR42" i="1"/>
  <c r="AU41" i="1"/>
  <c r="AS41" i="1"/>
  <c r="AR41" i="1"/>
  <c r="AU40" i="1"/>
  <c r="AS40" i="1"/>
  <c r="AR15" i="1"/>
  <c r="AU22" i="1"/>
  <c r="AS22" i="1"/>
  <c r="AR22" i="1"/>
  <c r="AU21" i="1"/>
  <c r="AS21" i="1"/>
  <c r="AR21" i="1"/>
  <c r="AU20" i="1"/>
  <c r="AS20" i="1"/>
  <c r="AR20" i="1"/>
  <c r="AU19" i="1"/>
  <c r="AS19" i="1"/>
  <c r="AR19" i="1"/>
  <c r="AU18" i="1"/>
  <c r="AS18" i="1"/>
  <c r="AR18" i="1"/>
  <c r="AU17" i="1"/>
  <c r="AS17" i="1"/>
  <c r="AR17" i="1"/>
  <c r="AU16" i="1"/>
  <c r="AS16" i="1"/>
  <c r="AR16" i="1"/>
  <c r="AU15" i="1"/>
  <c r="AS15" i="1"/>
  <c r="BT22" i="1" l="1"/>
  <c r="BT47" i="1"/>
  <c r="DV5" i="1"/>
  <c r="BT43" i="1"/>
  <c r="EW4" i="1"/>
  <c r="EW8" i="1"/>
  <c r="DV11" i="1"/>
  <c r="BT8" i="1"/>
  <c r="BT19" i="1"/>
  <c r="BT41" i="1"/>
  <c r="CX28" i="1"/>
  <c r="CX36" i="1"/>
  <c r="CU47" i="1"/>
  <c r="DV15" i="1"/>
  <c r="DV40" i="1"/>
  <c r="DY34" i="1"/>
  <c r="EW9" i="1"/>
  <c r="EW20" i="1"/>
  <c r="EZ31" i="1"/>
  <c r="EW42" i="1"/>
  <c r="BT42" i="1"/>
  <c r="CX29" i="1"/>
  <c r="CU40" i="1"/>
  <c r="DV16" i="1"/>
  <c r="DV41" i="1"/>
  <c r="DY27" i="1"/>
  <c r="DY35" i="1"/>
  <c r="EW10" i="1"/>
  <c r="EW21" i="1"/>
  <c r="EZ32" i="1"/>
  <c r="EW43" i="1"/>
  <c r="CX30" i="1"/>
  <c r="CU41" i="1"/>
  <c r="DV6" i="1"/>
  <c r="DV17" i="1"/>
  <c r="DV42" i="1"/>
  <c r="DY28" i="1"/>
  <c r="DY36" i="1"/>
  <c r="EW11" i="1"/>
  <c r="EW22" i="1"/>
  <c r="EZ33" i="1"/>
  <c r="EW44" i="1"/>
  <c r="BT11" i="1"/>
  <c r="CX31" i="1"/>
  <c r="CU42" i="1"/>
  <c r="DV7" i="1"/>
  <c r="DV18" i="1"/>
  <c r="DV43" i="1"/>
  <c r="DY29" i="1"/>
  <c r="EW15" i="1"/>
  <c r="EZ34" i="1"/>
  <c r="EW45" i="1"/>
  <c r="CX32" i="1"/>
  <c r="CU43" i="1"/>
  <c r="DV19" i="1"/>
  <c r="DV44" i="1"/>
  <c r="DY30" i="1"/>
  <c r="EW5" i="1"/>
  <c r="EW16" i="1"/>
  <c r="EZ27" i="1"/>
  <c r="EZ35" i="1"/>
  <c r="EW46" i="1"/>
  <c r="BT46" i="1"/>
  <c r="CX33" i="1"/>
  <c r="CU44" i="1"/>
  <c r="DV9" i="1"/>
  <c r="DV20" i="1"/>
  <c r="DV45" i="1"/>
  <c r="DY31" i="1"/>
  <c r="EW6" i="1"/>
  <c r="EW17" i="1"/>
  <c r="EZ28" i="1"/>
  <c r="EZ36" i="1"/>
  <c r="EW47" i="1"/>
  <c r="CX34" i="1"/>
  <c r="CU45" i="1"/>
  <c r="DV10" i="1"/>
  <c r="DV21" i="1"/>
  <c r="DV46" i="1"/>
  <c r="DY32" i="1"/>
  <c r="EW7" i="1"/>
  <c r="EW18" i="1"/>
  <c r="EZ29" i="1"/>
  <c r="EW40" i="1"/>
  <c r="BT7" i="1"/>
  <c r="BT18" i="1"/>
  <c r="BT40" i="1"/>
  <c r="CU11" i="1"/>
  <c r="CX27" i="1"/>
  <c r="CX35" i="1"/>
  <c r="CU46" i="1"/>
  <c r="DV22" i="1"/>
  <c r="DV47" i="1"/>
  <c r="EW19" i="1"/>
  <c r="EZ30" i="1"/>
  <c r="EW41" i="1"/>
  <c r="DV4" i="1"/>
  <c r="DY33" i="1"/>
  <c r="BT4" i="1"/>
  <c r="BT16" i="1"/>
  <c r="BT21" i="1"/>
  <c r="BT5" i="1"/>
  <c r="BT44" i="1"/>
  <c r="BT6" i="1"/>
  <c r="BT17" i="1"/>
  <c r="DV8" i="1"/>
  <c r="BT20" i="1"/>
  <c r="BT15" i="1"/>
  <c r="BT9" i="1"/>
  <c r="BT45" i="1"/>
  <c r="BT10" i="1"/>
  <c r="AU11" i="1"/>
  <c r="AR5" i="1"/>
  <c r="AS5" i="1"/>
  <c r="AU5" i="1"/>
  <c r="AR6" i="1"/>
  <c r="AS6" i="1"/>
  <c r="AU6" i="1"/>
  <c r="AR7" i="1"/>
  <c r="AS7" i="1"/>
  <c r="AU7" i="1"/>
  <c r="AR8" i="1"/>
  <c r="AS8" i="1"/>
  <c r="AU8" i="1"/>
  <c r="AR9" i="1"/>
  <c r="AS9" i="1"/>
  <c r="AU9" i="1"/>
  <c r="AR10" i="1"/>
  <c r="AS10" i="1"/>
  <c r="AU10" i="1"/>
  <c r="AR11" i="1"/>
  <c r="AS11" i="1"/>
  <c r="AS4" i="1"/>
  <c r="AU4" i="1"/>
  <c r="AR4" i="1"/>
  <c r="D4" i="1" l="1"/>
  <c r="AT4" i="1" s="1"/>
  <c r="D5" i="1"/>
  <c r="AT5" i="1" s="1"/>
  <c r="D6" i="1"/>
  <c r="AT6" i="1" s="1"/>
  <c r="D7" i="1"/>
  <c r="AT7" i="1" s="1"/>
  <c r="D8" i="1"/>
  <c r="AT8" i="1" s="1"/>
  <c r="D9" i="1"/>
  <c r="AT9" i="1" s="1"/>
  <c r="D10" i="1"/>
  <c r="AT10" i="1" s="1"/>
  <c r="D11" i="1"/>
  <c r="AT11" i="1" s="1"/>
  <c r="D15" i="1"/>
  <c r="AT15" i="1" s="1"/>
  <c r="D16" i="1"/>
  <c r="AT16" i="1" s="1"/>
  <c r="D17" i="1"/>
  <c r="AT17" i="1" s="1"/>
  <c r="D18" i="1"/>
  <c r="AT18" i="1" s="1"/>
  <c r="D19" i="1"/>
  <c r="AT19" i="1" s="1"/>
  <c r="D20" i="1"/>
  <c r="AT20" i="1" s="1"/>
  <c r="D21" i="1"/>
  <c r="AT21" i="1" s="1"/>
  <c r="D22" i="1"/>
  <c r="AT22" i="1" s="1"/>
  <c r="D47" i="1" l="1"/>
  <c r="AT47" i="1" s="1"/>
  <c r="D46" i="1"/>
  <c r="AT46" i="1" s="1"/>
  <c r="D45" i="1"/>
  <c r="AT45" i="1" s="1"/>
  <c r="D44" i="1"/>
  <c r="AT44" i="1" s="1"/>
  <c r="D43" i="1"/>
  <c r="AT43" i="1" s="1"/>
  <c r="D42" i="1"/>
  <c r="AT42" i="1" s="1"/>
  <c r="D41" i="1"/>
  <c r="AT41" i="1" s="1"/>
  <c r="D40" i="1"/>
  <c r="AT40" i="1" s="1"/>
</calcChain>
</file>

<file path=xl/sharedStrings.xml><?xml version="1.0" encoding="utf-8"?>
<sst xmlns="http://schemas.openxmlformats.org/spreadsheetml/2006/main" count="1276" uniqueCount="226">
  <si>
    <t>Accuracy</t>
  </si>
  <si>
    <t>AUC</t>
  </si>
  <si>
    <t>Recall</t>
  </si>
  <si>
    <t>Kappa</t>
  </si>
  <si>
    <t>NB</t>
  </si>
  <si>
    <t>KNN</t>
  </si>
  <si>
    <t>DT</t>
  </si>
  <si>
    <t>RF</t>
  </si>
  <si>
    <t>SVM</t>
  </si>
  <si>
    <t>LR</t>
  </si>
  <si>
    <t>XGB</t>
  </si>
  <si>
    <t>MLP</t>
  </si>
  <si>
    <t>RMSE</t>
  </si>
  <si>
    <t>Linear</t>
  </si>
  <si>
    <t>Ridge</t>
  </si>
  <si>
    <t>LASSO</t>
  </si>
  <si>
    <t>SVR</t>
  </si>
  <si>
    <t>Elastic</t>
  </si>
  <si>
    <t>PLS</t>
  </si>
  <si>
    <t>MLPR</t>
  </si>
  <si>
    <t>MAE</t>
  </si>
  <si>
    <t>Existence,of,Complications</t>
  </si>
  <si>
    <t>Severity,of,Complications</t>
  </si>
  <si>
    <t>Death,Within,1,Year</t>
  </si>
  <si>
    <t>Days,in,Intermediate,Care,Unit</t>
  </si>
  <si>
    <t>R,Squared</t>
  </si>
  <si>
    <t>0.24 ± 0.142</t>
  </si>
  <si>
    <t>0.615 ± 0.068</t>
  </si>
  <si>
    <t>0.71 ± 0.086</t>
  </si>
  <si>
    <t>0.643 ± 0.064</t>
  </si>
  <si>
    <t>0.197 ± 0.129</t>
  </si>
  <si>
    <t>0.5975 ± 0.064</t>
  </si>
  <si>
    <t>0.636 ± 0.078</t>
  </si>
  <si>
    <t>0.605 ± 0.064</t>
  </si>
  <si>
    <t>0.21 ± 0.110</t>
  </si>
  <si>
    <t>0.605 ± 0.055</t>
  </si>
  <si>
    <t>0.609 ± 0.054</t>
  </si>
  <si>
    <t>0.301 ± 0.130</t>
  </si>
  <si>
    <t>0.649 ± 0.065</t>
  </si>
  <si>
    <t>0.73 ± 0.067</t>
  </si>
  <si>
    <t>0.659 ± 0.061</t>
  </si>
  <si>
    <t>0.284 ± 0.089</t>
  </si>
  <si>
    <t>0.637 ± 0.043</t>
  </si>
  <si>
    <t>0.707 ± 0.067</t>
  </si>
  <si>
    <t>0.336 ± 0.128</t>
  </si>
  <si>
    <t>0.666 ± 0.063</t>
  </si>
  <si>
    <t>0.705 ± 0.073</t>
  </si>
  <si>
    <t>0.299 ± 0.137</t>
  </si>
  <si>
    <t>0.6485 ± 0.069</t>
  </si>
  <si>
    <t>0.708 ± 0.059</t>
  </si>
  <si>
    <t>0.221 ± 0.066</t>
  </si>
  <si>
    <t>0.6095 ± 0.032</t>
  </si>
  <si>
    <t>0.672 ± 0.036</t>
  </si>
  <si>
    <t>0.023 ± 0.016</t>
  </si>
  <si>
    <t xml:space="preserve">0.197 ± 0.064  </t>
  </si>
  <si>
    <t>0.587 ± 0.057</t>
  </si>
  <si>
    <t>0.073 ±  0.013</t>
  </si>
  <si>
    <t>0.122 ± 0.054</t>
  </si>
  <si>
    <t>0.167 ± 0.039</t>
  </si>
  <si>
    <t>0.589 ± 0.022</t>
  </si>
  <si>
    <t>0.519 ± 0.033</t>
  </si>
  <si>
    <t>0.094 ± 0.071</t>
  </si>
  <si>
    <t>0.178 ± 0.057</t>
  </si>
  <si>
    <t>0.53 ± 0.032</t>
  </si>
  <si>
    <t>0.402 ± 0.049</t>
  </si>
  <si>
    <t>0.145 ± 0.067</t>
  </si>
  <si>
    <t>0.159 ± 0.022</t>
  </si>
  <si>
    <t>0.627 ± 0.033</t>
  </si>
  <si>
    <t>0.539 ± 0.033</t>
  </si>
  <si>
    <t>0.021 ± 0.011</t>
  </si>
  <si>
    <t>0.112 ± 0.002</t>
  </si>
  <si>
    <t>0.626 ± 0.037</t>
  </si>
  <si>
    <t>0.533 ± 0.008</t>
  </si>
  <si>
    <t>0.152 ± 0.045</t>
  </si>
  <si>
    <t>0.154 ± 0.029</t>
  </si>
  <si>
    <t>0.645 ± 0.046</t>
  </si>
  <si>
    <t>0.521 ± 0.022</t>
  </si>
  <si>
    <t>0.135 ± 0.054</t>
  </si>
  <si>
    <t>0.168 ± 0.034</t>
  </si>
  <si>
    <t>0.634 ± 0.043</t>
  </si>
  <si>
    <t>0.523 ± 0.025</t>
  </si>
  <si>
    <t>0.158 ± 0.058</t>
  </si>
  <si>
    <t>0.179 ± 0.071</t>
  </si>
  <si>
    <t>0.622 ± 0.072</t>
  </si>
  <si>
    <t>0.492 ± 0.04</t>
  </si>
  <si>
    <t>DEFAULT</t>
  </si>
  <si>
    <t>LATEX (DEFAULT)</t>
  </si>
  <si>
    <t>RESAMPLING - IMPROVEMENT</t>
  </si>
  <si>
    <t>0.005 ± 0.062</t>
  </si>
  <si>
    <t>0.4965 ± 0.059</t>
  </si>
  <si>
    <t>0.515 ± 0.091</t>
  </si>
  <si>
    <t>0.255 ± 0.156</t>
  </si>
  <si>
    <t>0.138 ± 0.09</t>
  </si>
  <si>
    <t>0.5535 ± 0.038</t>
  </si>
  <si>
    <t>0.681 ± 0.063</t>
  </si>
  <si>
    <t>0.807 ± 0.028</t>
  </si>
  <si>
    <t>0.173 ± 0.127</t>
  </si>
  <si>
    <t>0.5875 ± 0.064</t>
  </si>
  <si>
    <t>0.587 ± 0.064</t>
  </si>
  <si>
    <t>0.748 ± 0.051</t>
  </si>
  <si>
    <t>0.168 ± 0.16</t>
  </si>
  <si>
    <t>0.561 ± 0.059</t>
  </si>
  <si>
    <t>0.77 ± 0.072</t>
  </si>
  <si>
    <t>0.831 ± 0.028</t>
  </si>
  <si>
    <t>0 ± 0</t>
  </si>
  <si>
    <t>0.5 ± 0</t>
  </si>
  <si>
    <t>0.706 ± 0.127</t>
  </si>
  <si>
    <t>0.819 ± 0.004</t>
  </si>
  <si>
    <t>0.223 ± 0.131</t>
  </si>
  <si>
    <t>0.5955 ± 0.058</t>
  </si>
  <si>
    <t>0.734 ± 0.093</t>
  </si>
  <si>
    <t>0.809 ± 0.031</t>
  </si>
  <si>
    <t>0.242 ± 0.162</t>
  </si>
  <si>
    <t>0.5915 ± 0.063</t>
  </si>
  <si>
    <t>0.729 ± 0.086</t>
  </si>
  <si>
    <t>0.83 ± 0.04</t>
  </si>
  <si>
    <t>0.197 ± 0.107</t>
  </si>
  <si>
    <t>0.5905 ± 0.052</t>
  </si>
  <si>
    <t>0.719 ± 0.091</t>
  </si>
  <si>
    <t>0.792 ± 0.025</t>
  </si>
  <si>
    <t>Difference</t>
  </si>
  <si>
    <t>NORMALIZATION - IMPROVEMENT</t>
  </si>
  <si>
    <t>OPT No_Selection - IMPROVEMENT</t>
  </si>
  <si>
    <t>OPT 0.1 - IMPROVEMENT</t>
  </si>
  <si>
    <t>OPT 0.0001 - IMPROVEMENT</t>
  </si>
  <si>
    <t>1.391 ± 0.156</t>
  </si>
  <si>
    <t>1.363 ± 0.163</t>
  </si>
  <si>
    <t>1.316 ± 0.138</t>
  </si>
  <si>
    <t>1.195 ± 0.193</t>
  </si>
  <si>
    <t>1.311 ± 0.141</t>
  </si>
  <si>
    <t>1.34 ± 0.149</t>
  </si>
  <si>
    <t>1.521 ± 0.155</t>
  </si>
  <si>
    <t>1.29 ± 0.120</t>
  </si>
  <si>
    <t>1.304 ± 0.146</t>
  </si>
  <si>
    <t>1.289 ± 0.134</t>
  </si>
  <si>
    <t>1.353 ± 0.149</t>
  </si>
  <si>
    <t>1.799 ± 0.215</t>
  </si>
  <si>
    <t>1.763 ± 0.228</t>
  </si>
  <si>
    <t>1.66 ± 0.222</t>
  </si>
  <si>
    <t>1.743 ± 0.305</t>
  </si>
  <si>
    <t>1.658 ± 0.229</t>
  </si>
  <si>
    <t>1.776 ± 0.280</t>
  </si>
  <si>
    <t>2.293 ± 0.186</t>
  </si>
  <si>
    <t>1.673 ± 0.180</t>
  </si>
  <si>
    <t>1.697 ± 0.206</t>
  </si>
  <si>
    <t>1.645 ± 0.208</t>
  </si>
  <si>
    <t>1.804 ± 0.235</t>
  </si>
  <si>
    <t>0.085 ± 0.142</t>
  </si>
  <si>
    <t>0.125 ± 0.113</t>
  </si>
  <si>
    <t>0.221 ± 0.133</t>
  </si>
  <si>
    <t>0.138 ± 0.213</t>
  </si>
  <si>
    <t>0.222 ± 0.142</t>
  </si>
  <si>
    <t>0.111 ± 0.165</t>
  </si>
  <si>
    <t>-0.509 ± 0.294</t>
  </si>
  <si>
    <t>0.202 ± 0.154</t>
  </si>
  <si>
    <t>0.185 ± 0.125</t>
  </si>
  <si>
    <t>0.233 ± 0.131</t>
  </si>
  <si>
    <t>0.076 ± 0.171</t>
  </si>
  <si>
    <t>0.325 ± 0.051</t>
  </si>
  <si>
    <t>0.337 ± 0.054</t>
  </si>
  <si>
    <t>0.295 ± 0.041</t>
  </si>
  <si>
    <t>0.472 ± 0.046</t>
  </si>
  <si>
    <t>0.297 ± 0.040</t>
  </si>
  <si>
    <t>0.366 ± 0.047</t>
  </si>
  <si>
    <t>0.432 ± 0.041</t>
  </si>
  <si>
    <t>0.334 ± 0.045</t>
  </si>
  <si>
    <t>0.35 ± 0.043</t>
  </si>
  <si>
    <t>0.342 ± 0.041</t>
  </si>
  <si>
    <t>0.368 ± 0.044</t>
  </si>
  <si>
    <t>0.086 ± 0.040</t>
  </si>
  <si>
    <t>0.101 ± 0.042</t>
  </si>
  <si>
    <t>0.092 ± 0.055</t>
  </si>
  <si>
    <t>0.121 ± 0.057</t>
  </si>
  <si>
    <t>0.089 ± 0.058</t>
  </si>
  <si>
    <t>0.113 ± 0.052</t>
  </si>
  <si>
    <t>0.105 ± 0.069</t>
  </si>
  <si>
    <t>0.113 ± 0.045</t>
  </si>
  <si>
    <t>0.12 ± 0.041</t>
  </si>
  <si>
    <t>0.118 ± 0.051</t>
  </si>
  <si>
    <t>0.118 ± 0.044</t>
  </si>
  <si>
    <t>0.149 ± 0.063</t>
  </si>
  <si>
    <t>0.17 ± 0.078</t>
  </si>
  <si>
    <t>0.120 ± 0.060</t>
  </si>
  <si>
    <t>0.140 ± 0.060</t>
  </si>
  <si>
    <t>0.134 ± 0.087</t>
  </si>
  <si>
    <t>0.169 ± 0.076</t>
  </si>
  <si>
    <t>0.177 ± 0.041</t>
  </si>
  <si>
    <t>0.154 ± 0.080</t>
  </si>
  <si>
    <t>0.151 ± 0.054</t>
  </si>
  <si>
    <t>0.165 ± 0.093</t>
  </si>
  <si>
    <t>0.191 ± 0.068</t>
  </si>
  <si>
    <t>1.279 ± 0.162</t>
  </si>
  <si>
    <t>1.154 ± 0.142</t>
  </si>
  <si>
    <t>1.092 ± 0.171</t>
  </si>
  <si>
    <t>0.947 ± 0.161</t>
  </si>
  <si>
    <t>1.063 ± 0.142</t>
  </si>
  <si>
    <t>1.409 ± 0.161</t>
  </si>
  <si>
    <t>1.09 ± 0.148</t>
  </si>
  <si>
    <t>1.078 ± 0.161</t>
  </si>
  <si>
    <t>1.056 ± 0.141</t>
  </si>
  <si>
    <t>1.259 ± 0.119</t>
  </si>
  <si>
    <t>2.101 ± 0.409</t>
  </si>
  <si>
    <t>1.836 ± 0.322</t>
  </si>
  <si>
    <t>1.785 ± 0.459</t>
  </si>
  <si>
    <t>1.76 ± 0.452</t>
  </si>
  <si>
    <t>1.834 ± 0.375</t>
  </si>
  <si>
    <t>2.617 ± 0.331</t>
  </si>
  <si>
    <t>1.81 ± 0.398</t>
  </si>
  <si>
    <t>1.801 ± 0.411</t>
  </si>
  <si>
    <t>1.742 ± 0.396</t>
  </si>
  <si>
    <t>1.97 ± 0.280</t>
  </si>
  <si>
    <t>-0.611 ± 1.004</t>
  </si>
  <si>
    <t>-0.115 ± 0.199</t>
  </si>
  <si>
    <t>-0.009 ± 0.007</t>
  </si>
  <si>
    <t>0.018 ± 0.050</t>
  </si>
  <si>
    <t>-0.103 ± 0.197</t>
  </si>
  <si>
    <t>-1.415 ± 1.025</t>
  </si>
  <si>
    <t>-0.088 ± 0.294</t>
  </si>
  <si>
    <t>-0.075 ± 0.302</t>
  </si>
  <si>
    <t>0.026 ± 0.068</t>
  </si>
  <si>
    <t>-0.322 ± 0.372</t>
  </si>
  <si>
    <r>
      <t>R</t>
    </r>
    <r>
      <rPr>
        <vertAlign val="superscript"/>
        <sz val="10"/>
        <color theme="1"/>
        <rFont val="Arial"/>
        <family val="2"/>
      </rPr>
      <t>2</t>
    </r>
  </si>
  <si>
    <t>0.616 ± 0.039</t>
  </si>
  <si>
    <t>0.656 ± 0.065</t>
  </si>
  <si>
    <t>0.676 ± 0.063</t>
  </si>
  <si>
    <t>0.657 ± 0.043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</si>
</sst>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wrapText="1"/>
    </xf>
    <xf numFmtId="0" fontId="1" fillId="0" borderId="3" xfId="0" quotePrefix="1" applyFont="1" applyBorder="1" applyAlignment="1">
      <alignment wrapText="1"/>
    </xf>
    <xf numFmtId="0" fontId="0" fillId="0" borderId="0" xfId="0" applyBorder="1"/>
    <xf numFmtId="0" fontId="0" fillId="0" borderId="29" xfId="0" applyBorder="1"/>
    <xf numFmtId="0" fontId="1" fillId="2" borderId="30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 wrapText="1"/>
    </xf>
    <xf numFmtId="0" fontId="0" fillId="0" borderId="33" xfId="0" applyBorder="1"/>
    <xf numFmtId="0" fontId="0" fillId="0" borderId="35" xfId="0" applyBorder="1"/>
    <xf numFmtId="0" fontId="1" fillId="0" borderId="6" xfId="0" quotePrefix="1" applyFont="1" applyBorder="1" applyAlignment="1">
      <alignment wrapText="1"/>
    </xf>
    <xf numFmtId="0" fontId="1" fillId="2" borderId="37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 wrapText="1"/>
    </xf>
    <xf numFmtId="0" fontId="1" fillId="3" borderId="44" xfId="0" applyFont="1" applyFill="1" applyBorder="1" applyAlignment="1">
      <alignment horizontal="center" wrapText="1"/>
    </xf>
    <xf numFmtId="0" fontId="0" fillId="0" borderId="45" xfId="0" applyBorder="1"/>
    <xf numFmtId="0" fontId="0" fillId="0" borderId="46" xfId="0" applyBorder="1"/>
    <xf numFmtId="0" fontId="1" fillId="8" borderId="11" xfId="0" applyFont="1" applyFill="1" applyBorder="1" applyAlignment="1">
      <alignment wrapText="1"/>
    </xf>
    <xf numFmtId="0" fontId="1" fillId="8" borderId="12" xfId="0" applyFont="1" applyFill="1" applyBorder="1" applyAlignment="1">
      <alignment wrapText="1"/>
    </xf>
    <xf numFmtId="0" fontId="1" fillId="8" borderId="13" xfId="0" applyFont="1" applyFill="1" applyBorder="1" applyAlignment="1">
      <alignment wrapText="1"/>
    </xf>
    <xf numFmtId="0" fontId="1" fillId="8" borderId="14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3" xfId="0" quotePrefix="1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8" borderId="6" xfId="0" quotePrefix="1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0" fillId="0" borderId="0" xfId="0" applyFill="1" applyBorder="1"/>
    <xf numFmtId="0" fontId="0" fillId="0" borderId="29" xfId="0" applyFill="1" applyBorder="1"/>
    <xf numFmtId="0" fontId="1" fillId="0" borderId="12" xfId="0" applyFont="1" applyBorder="1" applyAlignment="1">
      <alignment vertical="center"/>
    </xf>
    <xf numFmtId="0" fontId="1" fillId="2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33" xfId="0" applyFill="1" applyBorder="1"/>
    <xf numFmtId="0" fontId="0" fillId="0" borderId="0" xfId="0" applyFill="1"/>
    <xf numFmtId="0" fontId="1" fillId="11" borderId="11" xfId="0" applyFont="1" applyFill="1" applyBorder="1" applyAlignment="1">
      <alignment wrapText="1"/>
    </xf>
    <xf numFmtId="0" fontId="1" fillId="11" borderId="14" xfId="0" applyFont="1" applyFill="1" applyBorder="1" applyAlignment="1">
      <alignment wrapText="1"/>
    </xf>
    <xf numFmtId="0" fontId="4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Existence of Complications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0.71</c:v>
                </c:pt>
                <c:pt idx="2">
                  <c:v>0.61499999999999999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E6F-A8A7-AE7FFFB6070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0.63600000000000001</c:v>
                </c:pt>
                <c:pt idx="2">
                  <c:v>0.59750000000000003</c:v>
                </c:pt>
                <c:pt idx="3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4E6F-A8A7-AE7FFFB6070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0.60499999999999998</c:v>
                </c:pt>
                <c:pt idx="2">
                  <c:v>0.60499999999999998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4E6F-A8A7-AE7FFFB6070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0.65900000000000003</c:v>
                </c:pt>
                <c:pt idx="1">
                  <c:v>0.73</c:v>
                </c:pt>
                <c:pt idx="2">
                  <c:v>0.64900000000000002</c:v>
                </c:pt>
                <c:pt idx="3">
                  <c:v>0.30099999999999999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3-4E6F-A8A7-AE7FFFB60708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0.65700000000000003</c:v>
                </c:pt>
                <c:pt idx="1">
                  <c:v>0.70699999999999996</c:v>
                </c:pt>
                <c:pt idx="2">
                  <c:v>0.63700000000000001</c:v>
                </c:pt>
                <c:pt idx="3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3-4E6F-A8A7-AE7FFFB60708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0.67600000000000005</c:v>
                </c:pt>
                <c:pt idx="1">
                  <c:v>0.70499999999999996</c:v>
                </c:pt>
                <c:pt idx="2">
                  <c:v>0.66599999999999993</c:v>
                </c:pt>
                <c:pt idx="3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3-4E6F-A8A7-AE7FFFB60708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0.65600000000000003</c:v>
                </c:pt>
                <c:pt idx="1">
                  <c:v>0.70799999999999996</c:v>
                </c:pt>
                <c:pt idx="2">
                  <c:v>0.64849999999999997</c:v>
                </c:pt>
                <c:pt idx="3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83-4E6F-A8A7-AE7FFFB60708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0.67200000000000004</c:v>
                </c:pt>
                <c:pt idx="2">
                  <c:v>0.60950000000000004</c:v>
                </c:pt>
                <c:pt idx="3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83-4E6F-A8A7-AE7FFFB6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83631"/>
        <c:axId val="522706319"/>
      </c:barChart>
      <c:catAx>
        <c:axId val="8286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6319"/>
        <c:crosses val="autoZero"/>
        <c:auto val="1"/>
        <c:lblAlgn val="ctr"/>
        <c:lblOffset val="100"/>
        <c:noMultiLvlLbl val="0"/>
      </c:catAx>
      <c:valAx>
        <c:axId val="5227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Sheet1!$BR$50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Sheet1!$BQ$51:$BQ$61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Sheet1!$BR$51:$BR$61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-4.9999999999998934E-3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CBE-B773-82C3F60B8B37}"/>
            </c:ext>
          </c:extLst>
        </c:ser>
        <c:ser>
          <c:idx val="1"/>
          <c:order val="1"/>
          <c:tx>
            <c:strRef>
              <c:f>Sheet1!$BS$50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Sheet1!$BQ$51:$BQ$61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Sheet1!$BS$51:$BS$61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-2.4999999999999911E-2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CBE-B773-82C3F60B8B37}"/>
            </c:ext>
          </c:extLst>
        </c:ser>
        <c:ser>
          <c:idx val="2"/>
          <c:order val="2"/>
          <c:tx>
            <c:strRef>
              <c:f>Sheet1!$BT$50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Sheet1!$BQ$51:$BQ$61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Sheet1!$BT$51:$BT$61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1.7939999999999998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4-4CBE-B773-82C3F60B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618687"/>
        <c:axId val="1590027135"/>
      </c:barChart>
      <c:catAx>
        <c:axId val="16936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7135"/>
        <c:crosses val="autoZero"/>
        <c:auto val="1"/>
        <c:lblAlgn val="ctr"/>
        <c:lblOffset val="100"/>
        <c:noMultiLvlLbl val="0"/>
      </c:catAx>
      <c:valAx>
        <c:axId val="1590027135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Sheet1!$BR$25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Sheet1!$BQ$26:$BQ$36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Sheet1!$BR$26:$BR$36</c:f>
              <c:numCache>
                <c:formatCode>General</c:formatCode>
                <c:ptCount val="11"/>
                <c:pt idx="0">
                  <c:v>171453068238.72202</c:v>
                </c:pt>
                <c:pt idx="1">
                  <c:v>-2.4000000000000021E-2</c:v>
                </c:pt>
                <c:pt idx="2">
                  <c:v>0.25299999999999989</c:v>
                </c:pt>
                <c:pt idx="3">
                  <c:v>-1.5000000000000124E-2</c:v>
                </c:pt>
                <c:pt idx="4">
                  <c:v>0.25800000000000001</c:v>
                </c:pt>
                <c:pt idx="5">
                  <c:v>-3.0000000000000027E-2</c:v>
                </c:pt>
                <c:pt idx="6">
                  <c:v>0</c:v>
                </c:pt>
                <c:pt idx="7">
                  <c:v>0</c:v>
                </c:pt>
                <c:pt idx="8">
                  <c:v>9.9999999999988987E-4</c:v>
                </c:pt>
                <c:pt idx="9">
                  <c:v>0</c:v>
                </c:pt>
                <c:pt idx="10">
                  <c:v>0.10400000000000009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8-456D-A32B-0D6C5D862642}"/>
            </c:ext>
          </c:extLst>
        </c:ser>
        <c:ser>
          <c:idx val="1"/>
          <c:order val="1"/>
          <c:tx>
            <c:strRef>
              <c:f>Sheet1!$BS$25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Sheet1!$BQ$26:$BQ$36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Sheet1!$BS$26:$BS$36</c:f>
              <c:numCache>
                <c:formatCode>General</c:formatCode>
                <c:ptCount val="11"/>
                <c:pt idx="0">
                  <c:v>1356669348567.6008</c:v>
                </c:pt>
                <c:pt idx="1">
                  <c:v>-3.499999999999992E-2</c:v>
                </c:pt>
                <c:pt idx="2">
                  <c:v>0.24900000000000011</c:v>
                </c:pt>
                <c:pt idx="3">
                  <c:v>-6.1000000000000165E-2</c:v>
                </c:pt>
                <c:pt idx="4">
                  <c:v>0.25100000000000011</c:v>
                </c:pt>
                <c:pt idx="5">
                  <c:v>-1.7000000000000126E-2</c:v>
                </c:pt>
                <c:pt idx="6">
                  <c:v>-3.0000000000001137E-3</c:v>
                </c:pt>
                <c:pt idx="7">
                  <c:v>0</c:v>
                </c:pt>
                <c:pt idx="8">
                  <c:v>9.9999999999988987E-4</c:v>
                </c:pt>
                <c:pt idx="9">
                  <c:v>0</c:v>
                </c:pt>
                <c:pt idx="10">
                  <c:v>8.9999999999999858E-2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8-456D-A32B-0D6C5D862642}"/>
            </c:ext>
          </c:extLst>
        </c:ser>
        <c:ser>
          <c:idx val="2"/>
          <c:order val="2"/>
          <c:tx>
            <c:strRef>
              <c:f>Sheet1!$BT$25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Sheet1!$BQ$26:$BQ$36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Sheet1!$BT$26:$BT$36</c:f>
              <c:numCache>
                <c:formatCode>General</c:formatCode>
                <c:ptCount val="11"/>
                <c:pt idx="0">
                  <c:v>-2.8640438780803798E+24</c:v>
                </c:pt>
                <c:pt idx="1">
                  <c:v>3.3000000000000002E-2</c:v>
                </c:pt>
                <c:pt idx="2">
                  <c:v>-0.24199999999999999</c:v>
                </c:pt>
                <c:pt idx="3">
                  <c:v>5.7999999999999996E-2</c:v>
                </c:pt>
                <c:pt idx="4">
                  <c:v>-0.24299999999999999</c:v>
                </c:pt>
                <c:pt idx="5">
                  <c:v>1.4999999999999999E-2</c:v>
                </c:pt>
                <c:pt idx="6">
                  <c:v>3.0000000000000027E-3</c:v>
                </c:pt>
                <c:pt idx="7">
                  <c:v>0</c:v>
                </c:pt>
                <c:pt idx="8">
                  <c:v>-1.0000000000000009E-3</c:v>
                </c:pt>
                <c:pt idx="9">
                  <c:v>0</c:v>
                </c:pt>
                <c:pt idx="10">
                  <c:v>-0.104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8-456D-A32B-0D6C5D86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576303"/>
        <c:axId val="1833867951"/>
      </c:barChart>
      <c:catAx>
        <c:axId val="1806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7951"/>
        <c:crosses val="autoZero"/>
        <c:auto val="1"/>
        <c:lblAlgn val="ctr"/>
        <c:lblOffset val="100"/>
        <c:noMultiLvlLbl val="0"/>
      </c:catAx>
      <c:valAx>
        <c:axId val="1833867951"/>
        <c:scaling>
          <c:orientation val="minMax"/>
          <c:max val="0.70000000000000007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Sheet1!$BV$25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Sheet1!$BU$26:$BU$36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Sheet1!$BV$26:$BV$36</c:f>
              <c:numCache>
                <c:formatCode>General</c:formatCode>
                <c:ptCount val="11"/>
                <c:pt idx="0">
                  <c:v>1.3000000000000012E-2</c:v>
                </c:pt>
                <c:pt idx="1">
                  <c:v>2.0999999999999963E-2</c:v>
                </c:pt>
                <c:pt idx="2">
                  <c:v>-0.255</c:v>
                </c:pt>
                <c:pt idx="3">
                  <c:v>-3.999999999999948E-3</c:v>
                </c:pt>
                <c:pt idx="4">
                  <c:v>-0.25700000000000001</c:v>
                </c:pt>
                <c:pt idx="5">
                  <c:v>6.0000000000000053E-3</c:v>
                </c:pt>
                <c:pt idx="6">
                  <c:v>-1.0000000000000009E-3</c:v>
                </c:pt>
                <c:pt idx="7">
                  <c:v>3.0000000000000027E-3</c:v>
                </c:pt>
                <c:pt idx="8">
                  <c:v>0</c:v>
                </c:pt>
                <c:pt idx="9">
                  <c:v>0</c:v>
                </c:pt>
                <c:pt idx="10">
                  <c:v>-7.0000000000000062E-3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4-466D-9844-2E843565F553}"/>
            </c:ext>
          </c:extLst>
        </c:ser>
        <c:ser>
          <c:idx val="1"/>
          <c:order val="1"/>
          <c:tx>
            <c:strRef>
              <c:f>Sheet1!$BW$25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Sheet1!$BU$26:$BU$36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Sheet1!$BW$26:$BW$36</c:f>
              <c:numCache>
                <c:formatCode>General</c:formatCode>
                <c:ptCount val="11"/>
                <c:pt idx="0">
                  <c:v>2.8305555555555556E-2</c:v>
                </c:pt>
                <c:pt idx="1">
                  <c:v>3.562499999999999E-2</c:v>
                </c:pt>
                <c:pt idx="2">
                  <c:v>-7.1666666666666545E-3</c:v>
                </c:pt>
                <c:pt idx="3">
                  <c:v>5.0138888888889011E-3</c:v>
                </c:pt>
                <c:pt idx="4">
                  <c:v>-2.1944444444444447E-2</c:v>
                </c:pt>
                <c:pt idx="5">
                  <c:v>-1.9347222222222266E-2</c:v>
                </c:pt>
                <c:pt idx="6">
                  <c:v>-2.5000000000000022E-4</c:v>
                </c:pt>
                <c:pt idx="7">
                  <c:v>2.008333333333337E-2</c:v>
                </c:pt>
                <c:pt idx="8">
                  <c:v>1.8888888888888899E-2</c:v>
                </c:pt>
                <c:pt idx="9">
                  <c:v>2.0666666666666667E-2</c:v>
                </c:pt>
                <c:pt idx="10">
                  <c:v>-1.3333333333333808E-3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4-466D-9844-2E843565F553}"/>
            </c:ext>
          </c:extLst>
        </c:ser>
        <c:ser>
          <c:idx val="2"/>
          <c:order val="2"/>
          <c:tx>
            <c:strRef>
              <c:f>Sheet1!$BX$25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Sheet1!$BU$26:$BU$36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Sheet1!$BX$26:$BX$36</c:f>
              <c:numCache>
                <c:formatCode>General</c:formatCode>
                <c:ptCount val="11"/>
                <c:pt idx="0">
                  <c:v>8.0000000000000071E-3</c:v>
                </c:pt>
                <c:pt idx="1">
                  <c:v>1.999999999999999E-2</c:v>
                </c:pt>
                <c:pt idx="2">
                  <c:v>-9.1999999999999998E-2</c:v>
                </c:pt>
                <c:pt idx="3">
                  <c:v>3.3000000000000002E-2</c:v>
                </c:pt>
                <c:pt idx="4">
                  <c:v>-8.8999999999999996E-2</c:v>
                </c:pt>
                <c:pt idx="5">
                  <c:v>-4.5999999999999999E-2</c:v>
                </c:pt>
                <c:pt idx="6">
                  <c:v>0</c:v>
                </c:pt>
                <c:pt idx="7">
                  <c:v>2.0000000000000018E-3</c:v>
                </c:pt>
                <c:pt idx="8">
                  <c:v>0</c:v>
                </c:pt>
                <c:pt idx="9">
                  <c:v>0</c:v>
                </c:pt>
                <c:pt idx="10">
                  <c:v>-5.9999999999999915E-3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4-466D-9844-2E843565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385839"/>
        <c:axId val="1794440047"/>
      </c:barChart>
      <c:catAx>
        <c:axId val="18343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0047"/>
        <c:crosses val="autoZero"/>
        <c:auto val="1"/>
        <c:lblAlgn val="ctr"/>
        <c:lblOffset val="100"/>
        <c:noMultiLvlLbl val="0"/>
      </c:catAx>
      <c:valAx>
        <c:axId val="17944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Sheet1!$BR$39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Sheet1!$BQ$40:$BQ$47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Sheet1!$BR$40:$BR$47</c:f>
              <c:numCache>
                <c:formatCode>General</c:formatCode>
                <c:ptCount val="8"/>
                <c:pt idx="0">
                  <c:v>-4.0999999999999925E-2</c:v>
                </c:pt>
                <c:pt idx="1">
                  <c:v>-6.4000000000000001E-2</c:v>
                </c:pt>
                <c:pt idx="2">
                  <c:v>1.2999999999999901E-2</c:v>
                </c:pt>
                <c:pt idx="3">
                  <c:v>-3.0000000000000027E-3</c:v>
                </c:pt>
                <c:pt idx="4">
                  <c:v>0.21200000000000002</c:v>
                </c:pt>
                <c:pt idx="5">
                  <c:v>9.000000000000008E-3</c:v>
                </c:pt>
                <c:pt idx="6">
                  <c:v>0</c:v>
                </c:pt>
                <c:pt idx="7">
                  <c:v>4.0000000000000036E-3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4BB0-BA77-7783CE8DFA3F}"/>
            </c:ext>
          </c:extLst>
        </c:ser>
        <c:ser>
          <c:idx val="1"/>
          <c:order val="1"/>
          <c:tx>
            <c:strRef>
              <c:f>Sheet1!$BS$39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Sheet1!$BQ$40:$BQ$47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Sheet1!$BS$40:$BS$47</c:f>
              <c:numCache>
                <c:formatCode>General</c:formatCode>
                <c:ptCount val="8"/>
                <c:pt idx="0">
                  <c:v>-1.0000000000000009E-3</c:v>
                </c:pt>
                <c:pt idx="1">
                  <c:v>1.0000000000000009E-3</c:v>
                </c:pt>
                <c:pt idx="2">
                  <c:v>1.6000000000000014E-2</c:v>
                </c:pt>
                <c:pt idx="3">
                  <c:v>-5.0000000000000044E-3</c:v>
                </c:pt>
                <c:pt idx="4">
                  <c:v>2.300000000000002E-2</c:v>
                </c:pt>
                <c:pt idx="5">
                  <c:v>-8.0000000000000071E-3</c:v>
                </c:pt>
                <c:pt idx="6">
                  <c:v>0</c:v>
                </c:pt>
                <c:pt idx="7">
                  <c:v>-2.5000000000000022E-2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BB0-BA77-7783CE8DFA3F}"/>
            </c:ext>
          </c:extLst>
        </c:ser>
        <c:ser>
          <c:idx val="2"/>
          <c:order val="2"/>
          <c:tx>
            <c:strRef>
              <c:f>Sheet1!$BT$39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Sheet1!$BQ$40:$BQ$47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Sheet1!$BT$40:$BT$47</c:f>
              <c:numCache>
                <c:formatCode>General</c:formatCode>
                <c:ptCount val="8"/>
                <c:pt idx="0">
                  <c:v>-2.7000000000000135E-2</c:v>
                </c:pt>
                <c:pt idx="1">
                  <c:v>-2.3499999999999965E-2</c:v>
                </c:pt>
                <c:pt idx="2">
                  <c:v>1.5999999999999903E-2</c:v>
                </c:pt>
                <c:pt idx="3">
                  <c:v>-5.0000000000000044E-3</c:v>
                </c:pt>
                <c:pt idx="4">
                  <c:v>4.1499999999999981E-2</c:v>
                </c:pt>
                <c:pt idx="5">
                  <c:v>-1.9999999999999907E-2</c:v>
                </c:pt>
                <c:pt idx="6">
                  <c:v>0</c:v>
                </c:pt>
                <c:pt idx="7">
                  <c:v>-2.8999999999999915E-2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BB0-BA77-7783CE8DFA3F}"/>
            </c:ext>
          </c:extLst>
        </c:ser>
        <c:ser>
          <c:idx val="3"/>
          <c:order val="3"/>
          <c:tx>
            <c:strRef>
              <c:f>Sheet1!$BU$39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Sheet1!$BQ$40:$BQ$47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Sheet1!$BU$40:$BU$47</c:f>
              <c:numCache>
                <c:formatCode>General</c:formatCode>
                <c:ptCount val="8"/>
                <c:pt idx="0">
                  <c:v>-5.4000000000000006E-2</c:v>
                </c:pt>
                <c:pt idx="1">
                  <c:v>-3.5000000000000003E-2</c:v>
                </c:pt>
                <c:pt idx="2">
                  <c:v>3.3000000000000002E-2</c:v>
                </c:pt>
                <c:pt idx="3">
                  <c:v>-7.0000000000000062E-3</c:v>
                </c:pt>
                <c:pt idx="4">
                  <c:v>0.11199999999999999</c:v>
                </c:pt>
                <c:pt idx="5">
                  <c:v>-1.5999999999999986E-2</c:v>
                </c:pt>
                <c:pt idx="6">
                  <c:v>0</c:v>
                </c:pt>
                <c:pt idx="7">
                  <c:v>-3.5000000000000003E-2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BB0-BA77-7783CE8D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81487"/>
        <c:axId val="1797603135"/>
      </c:barChart>
      <c:catAx>
        <c:axId val="20588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3135"/>
        <c:crosses val="autoZero"/>
        <c:auto val="1"/>
        <c:lblAlgn val="ctr"/>
        <c:lblOffset val="100"/>
        <c:noMultiLvlLbl val="0"/>
      </c:catAx>
      <c:valAx>
        <c:axId val="17976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Sheet1!$BR$14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Sheet1!$BQ$15:$BQ$22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Sheet1!$BR$15:$BR$22</c:f>
              <c:numCache>
                <c:formatCode>General</c:formatCode>
                <c:ptCount val="8"/>
                <c:pt idx="0">
                  <c:v>-9.5221518987341769E-3</c:v>
                </c:pt>
                <c:pt idx="1">
                  <c:v>-6.1107594936708892E-3</c:v>
                </c:pt>
                <c:pt idx="2">
                  <c:v>5.0284810126582091E-3</c:v>
                </c:pt>
                <c:pt idx="3">
                  <c:v>-9.7848101265822773E-3</c:v>
                </c:pt>
                <c:pt idx="4">
                  <c:v>8.8857594936708847E-2</c:v>
                </c:pt>
                <c:pt idx="5">
                  <c:v>4.6591772151898733E-2</c:v>
                </c:pt>
                <c:pt idx="6">
                  <c:v>-4.8164556962025096E-3</c:v>
                </c:pt>
                <c:pt idx="7">
                  <c:v>-2.6268987341772132E-2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7F0-91F5-33724922A8E7}"/>
            </c:ext>
          </c:extLst>
        </c:ser>
        <c:ser>
          <c:idx val="1"/>
          <c:order val="1"/>
          <c:tx>
            <c:strRef>
              <c:f>Sheet1!$BS$14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Sheet1!$BQ$15:$BQ$22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Sheet1!$BS$15:$BS$22</c:f>
              <c:numCache>
                <c:formatCode>General</c:formatCode>
                <c:ptCount val="8"/>
                <c:pt idx="0">
                  <c:v>-3.9263608959640983E-3</c:v>
                </c:pt>
                <c:pt idx="1">
                  <c:v>-6.5551370626693028E-3</c:v>
                </c:pt>
                <c:pt idx="2">
                  <c:v>8.673236736556067E-5</c:v>
                </c:pt>
                <c:pt idx="3">
                  <c:v>4.6403543121752433E-3</c:v>
                </c:pt>
                <c:pt idx="4">
                  <c:v>-1.7267447238216049E-2</c:v>
                </c:pt>
                <c:pt idx="5">
                  <c:v>-1.5266966882729438E-2</c:v>
                </c:pt>
                <c:pt idx="6">
                  <c:v>2.3271362808685581E-4</c:v>
                </c:pt>
                <c:pt idx="7">
                  <c:v>-1.0510892992302123E-2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4-47F0-91F5-33724922A8E7}"/>
            </c:ext>
          </c:extLst>
        </c:ser>
        <c:ser>
          <c:idx val="2"/>
          <c:order val="2"/>
          <c:tx>
            <c:strRef>
              <c:f>Sheet1!$BT$14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Sheet1!$BQ$15:$BQ$22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Sheet1!$BT$15:$BT$22</c:f>
              <c:numCache>
                <c:formatCode>General</c:formatCode>
                <c:ptCount val="8"/>
                <c:pt idx="0">
                  <c:v>-5.1250000000000184E-3</c:v>
                </c:pt>
                <c:pt idx="1">
                  <c:v>-9.8749999999999949E-3</c:v>
                </c:pt>
                <c:pt idx="2">
                  <c:v>3.749999999999587E-4</c:v>
                </c:pt>
                <c:pt idx="3">
                  <c:v>4.2500000000000038E-3</c:v>
                </c:pt>
                <c:pt idx="4">
                  <c:v>-2.6749999999999968E-2</c:v>
                </c:pt>
                <c:pt idx="5">
                  <c:v>-0.06</c:v>
                </c:pt>
                <c:pt idx="6">
                  <c:v>-8.74999999999998E-3</c:v>
                </c:pt>
                <c:pt idx="7">
                  <c:v>-6.0124999999999984E-2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4-47F0-91F5-33724922A8E7}"/>
            </c:ext>
          </c:extLst>
        </c:ser>
        <c:ser>
          <c:idx val="3"/>
          <c:order val="3"/>
          <c:tx>
            <c:strRef>
              <c:f>Sheet1!$BU$14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Sheet1!$BQ$15:$BQ$22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Sheet1!$BU$15:$BU$22</c:f>
              <c:numCache>
                <c:formatCode>General</c:formatCode>
                <c:ptCount val="8"/>
                <c:pt idx="0">
                  <c:v>-8.2125721508955751E-3</c:v>
                </c:pt>
                <c:pt idx="1">
                  <c:v>-1.98696277651653E-3</c:v>
                </c:pt>
                <c:pt idx="2">
                  <c:v>1.098476686792936E-3</c:v>
                </c:pt>
                <c:pt idx="3">
                  <c:v>-4.7523099136378422E-3</c:v>
                </c:pt>
                <c:pt idx="4">
                  <c:v>1.2249461176688403E-2</c:v>
                </c:pt>
                <c:pt idx="5">
                  <c:v>-1.3849719321552476E-3</c:v>
                </c:pt>
                <c:pt idx="6">
                  <c:v>-4.4710607344841391E-3</c:v>
                </c:pt>
                <c:pt idx="7">
                  <c:v>-3.7727373028370537E-2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4-47F0-91F5-33724922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486431"/>
        <c:axId val="1842436639"/>
      </c:barChart>
      <c:catAx>
        <c:axId val="15434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36639"/>
        <c:crosses val="autoZero"/>
        <c:auto val="1"/>
        <c:lblAlgn val="ctr"/>
        <c:lblOffset val="100"/>
        <c:noMultiLvlLbl val="0"/>
      </c:catAx>
      <c:valAx>
        <c:axId val="18424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Sheet1!$BR$3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Sheet1!$BQ$4:$BQ$11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Sheet1!$BR$4:$BR$11</c:f>
              <c:numCache>
                <c:formatCode>General</c:formatCode>
                <c:ptCount val="8"/>
                <c:pt idx="0">
                  <c:v>-1.6000000000000014E-2</c:v>
                </c:pt>
                <c:pt idx="1">
                  <c:v>2.7000000000000024E-2</c:v>
                </c:pt>
                <c:pt idx="2">
                  <c:v>5.0000000000000044E-3</c:v>
                </c:pt>
                <c:pt idx="3">
                  <c:v>-8.0000000000000071E-3</c:v>
                </c:pt>
                <c:pt idx="4">
                  <c:v>1.6000000000000014E-2</c:v>
                </c:pt>
                <c:pt idx="5">
                  <c:v>3.0000000000000027E-3</c:v>
                </c:pt>
                <c:pt idx="6">
                  <c:v>0</c:v>
                </c:pt>
                <c:pt idx="7">
                  <c:v>1.4000000000000012E-2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6FD-93F6-9AD4D324E5F5}"/>
            </c:ext>
          </c:extLst>
        </c:ser>
        <c:ser>
          <c:idx val="1"/>
          <c:order val="1"/>
          <c:tx>
            <c:strRef>
              <c:f>Sheet1!$BS$3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Sheet1!$BQ$4:$BQ$11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Sheet1!$BS$4:$BS$11</c:f>
              <c:numCache>
                <c:formatCode>General</c:formatCode>
                <c:ptCount val="8"/>
                <c:pt idx="0">
                  <c:v>-4.0000000000000036E-3</c:v>
                </c:pt>
                <c:pt idx="1">
                  <c:v>4.0999999999999925E-2</c:v>
                </c:pt>
                <c:pt idx="2">
                  <c:v>6.0000000000000053E-3</c:v>
                </c:pt>
                <c:pt idx="3">
                  <c:v>3.0000000000000027E-3</c:v>
                </c:pt>
                <c:pt idx="4">
                  <c:v>2.5000000000000022E-2</c:v>
                </c:pt>
                <c:pt idx="5">
                  <c:v>2.2999999999999909E-2</c:v>
                </c:pt>
                <c:pt idx="6">
                  <c:v>0</c:v>
                </c:pt>
                <c:pt idx="7">
                  <c:v>9.000000000000008E-3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6FD-93F6-9AD4D324E5F5}"/>
            </c:ext>
          </c:extLst>
        </c:ser>
        <c:ser>
          <c:idx val="2"/>
          <c:order val="2"/>
          <c:tx>
            <c:strRef>
              <c:f>Sheet1!$BT$3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Sheet1!$BQ$4:$BQ$11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Sheet1!$BT$4:$BT$11</c:f>
              <c:numCache>
                <c:formatCode>General</c:formatCode>
                <c:ptCount val="8"/>
                <c:pt idx="0">
                  <c:v>-1.9499999999999962E-2</c:v>
                </c:pt>
                <c:pt idx="1">
                  <c:v>3.2000000000000028E-2</c:v>
                </c:pt>
                <c:pt idx="2">
                  <c:v>6.5000000000000613E-3</c:v>
                </c:pt>
                <c:pt idx="3">
                  <c:v>-8.5000000000000631E-3</c:v>
                </c:pt>
                <c:pt idx="4">
                  <c:v>1.8000000000000016E-2</c:v>
                </c:pt>
                <c:pt idx="5">
                  <c:v>1.4999999999999458E-3</c:v>
                </c:pt>
                <c:pt idx="6">
                  <c:v>0</c:v>
                </c:pt>
                <c:pt idx="7">
                  <c:v>1.3000000000000123E-2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6FD-93F6-9AD4D324E5F5}"/>
            </c:ext>
          </c:extLst>
        </c:ser>
        <c:ser>
          <c:idx val="3"/>
          <c:order val="3"/>
          <c:tx>
            <c:strRef>
              <c:f>Sheet1!$BU$3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Sheet1!$BQ$4:$BQ$11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Sheet1!$BU$4:$BU$11</c:f>
              <c:numCache>
                <c:formatCode>General</c:formatCode>
                <c:ptCount val="8"/>
                <c:pt idx="0">
                  <c:v>-3.8999999999999979E-2</c:v>
                </c:pt>
                <c:pt idx="1">
                  <c:v>6.0000000000000026E-2</c:v>
                </c:pt>
                <c:pt idx="2">
                  <c:v>1.100000000000001E-2</c:v>
                </c:pt>
                <c:pt idx="3">
                  <c:v>-1.699999999999996E-2</c:v>
                </c:pt>
                <c:pt idx="4">
                  <c:v>3.5000000000000031E-2</c:v>
                </c:pt>
                <c:pt idx="5">
                  <c:v>4.0000000000000036E-3</c:v>
                </c:pt>
                <c:pt idx="6">
                  <c:v>0</c:v>
                </c:pt>
                <c:pt idx="7">
                  <c:v>2.6000000000000023E-2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6FD-93F6-9AD4D324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557743"/>
        <c:axId val="1688590815"/>
      </c:barChart>
      <c:catAx>
        <c:axId val="1543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0815"/>
        <c:crosses val="autoZero"/>
        <c:auto val="1"/>
        <c:lblAlgn val="ctr"/>
        <c:lblOffset val="100"/>
        <c:noMultiLvlLbl val="0"/>
      </c:catAx>
      <c:valAx>
        <c:axId val="16885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Existence of Complications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Sheet1!$CS$3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Sheet1!$CR$4:$CR$11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Sheet1!$CS$4:$CS$11</c:f>
              <c:numCache>
                <c:formatCode>General</c:formatCode>
                <c:ptCount val="8"/>
                <c:pt idx="0">
                  <c:v>0.39400000000000002</c:v>
                </c:pt>
                <c:pt idx="1">
                  <c:v>0.379</c:v>
                </c:pt>
                <c:pt idx="2">
                  <c:v>0.40800000000000003</c:v>
                </c:pt>
                <c:pt idx="3">
                  <c:v>0.374</c:v>
                </c:pt>
                <c:pt idx="4">
                  <c:v>0.36200000000000004</c:v>
                </c:pt>
                <c:pt idx="5">
                  <c:v>0.36600000000000005</c:v>
                </c:pt>
                <c:pt idx="6">
                  <c:v>0.36200000000000004</c:v>
                </c:pt>
                <c:pt idx="7">
                  <c:v>0.34400000000000003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FBA-9C8D-87F7A2D3876C}"/>
            </c:ext>
          </c:extLst>
        </c:ser>
        <c:ser>
          <c:idx val="1"/>
          <c:order val="1"/>
          <c:tx>
            <c:strRef>
              <c:f>Sheet1!$CT$3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Sheet1!$CR$4:$CR$11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Sheet1!$CT$4:$CT$11</c:f>
              <c:numCache>
                <c:formatCode>General</c:formatCode>
                <c:ptCount val="8"/>
                <c:pt idx="0">
                  <c:v>0.70699999999999996</c:v>
                </c:pt>
                <c:pt idx="1">
                  <c:v>0.68600000000000005</c:v>
                </c:pt>
                <c:pt idx="2">
                  <c:v>0.68799999999999994</c:v>
                </c:pt>
                <c:pt idx="3">
                  <c:v>0.69599999999999995</c:v>
                </c:pt>
                <c:pt idx="4">
                  <c:v>0.71599999999999997</c:v>
                </c:pt>
                <c:pt idx="5">
                  <c:v>0.72199999999999998</c:v>
                </c:pt>
                <c:pt idx="6">
                  <c:v>0.70399999999999996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FBA-9C8D-87F7A2D3876C}"/>
            </c:ext>
          </c:extLst>
        </c:ser>
        <c:ser>
          <c:idx val="2"/>
          <c:order val="2"/>
          <c:tx>
            <c:strRef>
              <c:f>Sheet1!$CU$3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Sheet1!$CR$4:$CR$11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Sheet1!$CU$4:$CU$11</c:f>
              <c:numCache>
                <c:formatCode>General</c:formatCode>
                <c:ptCount val="8"/>
                <c:pt idx="0">
                  <c:v>0.62150000000000005</c:v>
                </c:pt>
                <c:pt idx="1">
                  <c:v>0.64450000000000007</c:v>
                </c:pt>
                <c:pt idx="2">
                  <c:v>0.65749999999999997</c:v>
                </c:pt>
                <c:pt idx="3">
                  <c:v>0.65349999999999997</c:v>
                </c:pt>
                <c:pt idx="4">
                  <c:v>0.67700000000000005</c:v>
                </c:pt>
                <c:pt idx="5">
                  <c:v>0.66700000000000004</c:v>
                </c:pt>
                <c:pt idx="6">
                  <c:v>0.65300000000000002</c:v>
                </c:pt>
                <c:pt idx="7">
                  <c:v>0.66399999999999992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0-4FBA-9C8D-87F7A2D3876C}"/>
            </c:ext>
          </c:extLst>
        </c:ser>
        <c:ser>
          <c:idx val="3"/>
          <c:order val="3"/>
          <c:tx>
            <c:strRef>
              <c:f>Sheet1!$CV$3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Sheet1!$CR$4:$CR$11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Sheet1!$CV$4:$CV$11</c:f>
              <c:numCache>
                <c:formatCode>General</c:formatCode>
                <c:ptCount val="8"/>
                <c:pt idx="0">
                  <c:v>0.254</c:v>
                </c:pt>
                <c:pt idx="1">
                  <c:v>0.28699999999999998</c:v>
                </c:pt>
                <c:pt idx="2">
                  <c:v>0.313</c:v>
                </c:pt>
                <c:pt idx="3">
                  <c:v>0.30199999999999999</c:v>
                </c:pt>
                <c:pt idx="4">
                  <c:v>0.35399999999999998</c:v>
                </c:pt>
                <c:pt idx="5">
                  <c:v>0.33400000000000002</c:v>
                </c:pt>
                <c:pt idx="6">
                  <c:v>0.30199999999999999</c:v>
                </c:pt>
                <c:pt idx="7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0-4FBA-9C8D-87F7A2D3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408239"/>
        <c:axId val="1797605631"/>
      </c:barChart>
      <c:catAx>
        <c:axId val="17874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5631"/>
        <c:crosses val="autoZero"/>
        <c:auto val="1"/>
        <c:lblAlgn val="ctr"/>
        <c:lblOffset val="100"/>
        <c:noMultiLvlLbl val="0"/>
      </c:catAx>
      <c:valAx>
        <c:axId val="17976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Sheet1!$CS$14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Sheet1!$CR$15:$CR$22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Sheet1!$CS$15:$CS$22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6.1999999999999993E-2</c:v>
                </c:pt>
                <c:pt idx="2">
                  <c:v>7.2000000000000008E-2</c:v>
                </c:pt>
                <c:pt idx="3">
                  <c:v>8.0999999999999989E-2</c:v>
                </c:pt>
                <c:pt idx="4">
                  <c:v>3.8999999999999993E-2</c:v>
                </c:pt>
                <c:pt idx="5">
                  <c:v>0.10300000000000001</c:v>
                </c:pt>
                <c:pt idx="6">
                  <c:v>0.17799999999999999</c:v>
                </c:pt>
                <c:pt idx="7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BEE-A2B6-A873B1354A59}"/>
            </c:ext>
          </c:extLst>
        </c:ser>
        <c:ser>
          <c:idx val="1"/>
          <c:order val="1"/>
          <c:tx>
            <c:strRef>
              <c:f>Sheet1!$CT$14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Sheet1!$CR$15:$CR$22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Sheet1!$CT$15:$CT$22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0.6</c:v>
                </c:pt>
                <c:pt idx="2">
                  <c:v>0.63300000000000001</c:v>
                </c:pt>
                <c:pt idx="3">
                  <c:v>0.64600000000000002</c:v>
                </c:pt>
                <c:pt idx="4">
                  <c:v>0.63700000000000001</c:v>
                </c:pt>
                <c:pt idx="5">
                  <c:v>0.63500000000000001</c:v>
                </c:pt>
                <c:pt idx="6">
                  <c:v>0.61399999999999999</c:v>
                </c:pt>
                <c:pt idx="7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BEE-A2B6-A873B1354A59}"/>
            </c:ext>
          </c:extLst>
        </c:ser>
        <c:ser>
          <c:idx val="2"/>
          <c:order val="2"/>
          <c:tx>
            <c:strRef>
              <c:f>Sheet1!$CU$14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Sheet1!$CR$15:$CR$22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Sheet1!$CU$15:$CU$22</c:f>
              <c:numCache>
                <c:formatCode>General</c:formatCode>
                <c:ptCount val="8"/>
                <c:pt idx="0">
                  <c:v>0.19187500000000002</c:v>
                </c:pt>
                <c:pt idx="1">
                  <c:v>0.21962499999999999</c:v>
                </c:pt>
                <c:pt idx="2">
                  <c:v>0.268125</c:v>
                </c:pt>
                <c:pt idx="3">
                  <c:v>0.22075</c:v>
                </c:pt>
                <c:pt idx="4">
                  <c:v>0.21625</c:v>
                </c:pt>
                <c:pt idx="5">
                  <c:v>0.202125</c:v>
                </c:pt>
                <c:pt idx="6">
                  <c:v>0.23800000000000002</c:v>
                </c:pt>
                <c:pt idx="7">
                  <c:v>0.20174999999999998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8-4BEE-A2B6-A873B1354A59}"/>
            </c:ext>
          </c:extLst>
        </c:ser>
        <c:ser>
          <c:idx val="3"/>
          <c:order val="3"/>
          <c:tx>
            <c:strRef>
              <c:f>Sheet1!$CV$14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Sheet1!$CR$15:$CR$22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Sheet1!$CV$15:$CV$22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2.9000000000000001E-2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2.5000000000000001E-2</c:v>
                </c:pt>
                <c:pt idx="5">
                  <c:v>4.1000000000000002E-2</c:v>
                </c:pt>
                <c:pt idx="6">
                  <c:v>9.0999999999999998E-2</c:v>
                </c:pt>
                <c:pt idx="7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8-4BEE-A2B6-A873B135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78639"/>
        <c:axId val="1797608543"/>
      </c:barChart>
      <c:catAx>
        <c:axId val="1787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8543"/>
        <c:crosses val="autoZero"/>
        <c:auto val="1"/>
        <c:lblAlgn val="ctr"/>
        <c:lblOffset val="100"/>
        <c:noMultiLvlLbl val="0"/>
      </c:catAx>
      <c:valAx>
        <c:axId val="17976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Sheet1!$CS$25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Sheet1!$CR$26:$CR$36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Sheet1!$CS$26:$CS$36</c:f>
              <c:numCache>
                <c:formatCode>General</c:formatCode>
                <c:ptCount val="11"/>
                <c:pt idx="0">
                  <c:v>-170392568799.745</c:v>
                </c:pt>
                <c:pt idx="1">
                  <c:v>-5.600000000000005E-2</c:v>
                </c:pt>
                <c:pt idx="2">
                  <c:v>-0.12999999999999989</c:v>
                </c:pt>
                <c:pt idx="3">
                  <c:v>-2.0000000000000018E-3</c:v>
                </c:pt>
                <c:pt idx="4">
                  <c:v>-0.12999999999999989</c:v>
                </c:pt>
                <c:pt idx="5">
                  <c:v>-1.9000000000000128E-2</c:v>
                </c:pt>
                <c:pt idx="6">
                  <c:v>-0.35099999999999998</c:v>
                </c:pt>
                <c:pt idx="7">
                  <c:v>-0.12400000000000011</c:v>
                </c:pt>
                <c:pt idx="8">
                  <c:v>-2.6000000000000023E-2</c:v>
                </c:pt>
                <c:pt idx="9">
                  <c:v>-1.4999999999999902E-2</c:v>
                </c:pt>
                <c:pt idx="10">
                  <c:v>-0.16800000000000015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C-484F-93C5-214D99CD4691}"/>
            </c:ext>
          </c:extLst>
        </c:ser>
        <c:ser>
          <c:idx val="1"/>
          <c:order val="1"/>
          <c:tx>
            <c:strRef>
              <c:f>Sheet1!$CT$25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Sheet1!$CR$26:$CR$36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Sheet1!$CT$26:$CT$36</c:f>
              <c:numCache>
                <c:formatCode>General</c:formatCode>
                <c:ptCount val="11"/>
                <c:pt idx="0">
                  <c:v>-1347353029202.156</c:v>
                </c:pt>
                <c:pt idx="1">
                  <c:v>-9.6999999999999975E-2</c:v>
                </c:pt>
                <c:pt idx="2">
                  <c:v>0.46900000000000008</c:v>
                </c:pt>
                <c:pt idx="3">
                  <c:v>-1.0999999999999899E-2</c:v>
                </c:pt>
                <c:pt idx="4">
                  <c:v>0.46900000000000008</c:v>
                </c:pt>
                <c:pt idx="5">
                  <c:v>-5.1999999999999824E-2</c:v>
                </c:pt>
                <c:pt idx="6">
                  <c:v>-0.40500000000000003</c:v>
                </c:pt>
                <c:pt idx="7">
                  <c:v>6.800000000000006E-2</c:v>
                </c:pt>
                <c:pt idx="8">
                  <c:v>2.0000000000000018E-3</c:v>
                </c:pt>
                <c:pt idx="9">
                  <c:v>-1.6000000000000014E-2</c:v>
                </c:pt>
                <c:pt idx="10">
                  <c:v>-0.24299999999999988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C-484F-93C5-214D99CD4691}"/>
            </c:ext>
          </c:extLst>
        </c:ser>
        <c:ser>
          <c:idx val="2"/>
          <c:order val="2"/>
          <c:tx>
            <c:strRef>
              <c:f>Sheet1!$CU$25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Sheet1!$CR$26:$CR$36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Sheet1!$CU$26:$CU$36</c:f>
              <c:numCache>
                <c:formatCode>General</c:formatCode>
                <c:ptCount val="11"/>
                <c:pt idx="0">
                  <c:v>2.8637876400015176E+24</c:v>
                </c:pt>
                <c:pt idx="1">
                  <c:v>0.09</c:v>
                </c:pt>
                <c:pt idx="2">
                  <c:v>-0.56299999999999994</c:v>
                </c:pt>
                <c:pt idx="3">
                  <c:v>7.9999999999999793E-3</c:v>
                </c:pt>
                <c:pt idx="4">
                  <c:v>-0.56299999999999994</c:v>
                </c:pt>
                <c:pt idx="5">
                  <c:v>5.1999999999999991E-2</c:v>
                </c:pt>
                <c:pt idx="6">
                  <c:v>0.501</c:v>
                </c:pt>
                <c:pt idx="7">
                  <c:v>-6.3E-2</c:v>
                </c:pt>
                <c:pt idx="8">
                  <c:v>-1.0000000000000009E-3</c:v>
                </c:pt>
                <c:pt idx="9">
                  <c:v>1.4999999999999986E-2</c:v>
                </c:pt>
                <c:pt idx="10">
                  <c:v>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C-484F-93C5-214D99CD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799551"/>
        <c:axId val="1592922911"/>
      </c:barChart>
      <c:catAx>
        <c:axId val="18027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2911"/>
        <c:crosses val="autoZero"/>
        <c:auto val="1"/>
        <c:lblAlgn val="ctr"/>
        <c:lblOffset val="100"/>
        <c:noMultiLvlLbl val="0"/>
      </c:catAx>
      <c:valAx>
        <c:axId val="159292291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995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Sheet1!$CW$25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Sheet1!$CV$26:$CV$36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Sheet1!$CW$26:$CW$36</c:f>
              <c:numCache>
                <c:formatCode>General</c:formatCode>
                <c:ptCount val="11"/>
                <c:pt idx="0">
                  <c:v>-2.0000000000000018E-2</c:v>
                </c:pt>
                <c:pt idx="1">
                  <c:v>-3.3999999999999975E-2</c:v>
                </c:pt>
                <c:pt idx="2">
                  <c:v>0.49200000000000005</c:v>
                </c:pt>
                <c:pt idx="3">
                  <c:v>-2.0000000000000018E-3</c:v>
                </c:pt>
                <c:pt idx="4">
                  <c:v>0.49200000000000005</c:v>
                </c:pt>
                <c:pt idx="5">
                  <c:v>2.0000000000000018E-3</c:v>
                </c:pt>
                <c:pt idx="6">
                  <c:v>8.6000000000000021E-2</c:v>
                </c:pt>
                <c:pt idx="7">
                  <c:v>0.14999999999999997</c:v>
                </c:pt>
                <c:pt idx="8">
                  <c:v>5.1000000000000045E-2</c:v>
                </c:pt>
                <c:pt idx="9">
                  <c:v>0</c:v>
                </c:pt>
                <c:pt idx="10">
                  <c:v>-2.5999999999999968E-2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B1C-A859-C87D12E0968D}"/>
            </c:ext>
          </c:extLst>
        </c:ser>
        <c:ser>
          <c:idx val="1"/>
          <c:order val="1"/>
          <c:tx>
            <c:strRef>
              <c:f>Sheet1!$CX$25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Sheet1!$CV$26:$CV$36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Sheet1!$CX$26:$CX$36</c:f>
              <c:numCache>
                <c:formatCode>General</c:formatCode>
                <c:ptCount val="11"/>
                <c:pt idx="0">
                  <c:v>-5.6249999999999911E-3</c:v>
                </c:pt>
                <c:pt idx="1">
                  <c:v>-2.1250000000000019E-2</c:v>
                </c:pt>
                <c:pt idx="2">
                  <c:v>1.2499999999999997E-2</c:v>
                </c:pt>
                <c:pt idx="3">
                  <c:v>1.0124999999999995E-2</c:v>
                </c:pt>
                <c:pt idx="4">
                  <c:v>1.2499999999999997E-2</c:v>
                </c:pt>
                <c:pt idx="5">
                  <c:v>-7.7499999999999791E-3</c:v>
                </c:pt>
                <c:pt idx="6">
                  <c:v>-3.5000000000000309E-3</c:v>
                </c:pt>
                <c:pt idx="7">
                  <c:v>-3.7250000000000033E-2</c:v>
                </c:pt>
                <c:pt idx="8">
                  <c:v>6.7500000000000338E-3</c:v>
                </c:pt>
                <c:pt idx="9">
                  <c:v>5.0000000000000044E-4</c:v>
                </c:pt>
                <c:pt idx="10">
                  <c:v>-4.4874999999999998E-2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F-4B1C-A859-C87D12E0968D}"/>
            </c:ext>
          </c:extLst>
        </c:ser>
        <c:ser>
          <c:idx val="2"/>
          <c:order val="2"/>
          <c:tx>
            <c:strRef>
              <c:f>Sheet1!$CY$25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Sheet1!$CV$26:$CV$36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Sheet1!$CY$26:$CY$36</c:f>
              <c:numCache>
                <c:formatCode>General</c:formatCode>
                <c:ptCount val="11"/>
                <c:pt idx="0">
                  <c:v>-6.0000000000000053E-3</c:v>
                </c:pt>
                <c:pt idx="1">
                  <c:v>-8.9999999999999941E-3</c:v>
                </c:pt>
                <c:pt idx="2">
                  <c:v>0</c:v>
                </c:pt>
                <c:pt idx="3">
                  <c:v>7.0000000000000062E-3</c:v>
                </c:pt>
                <c:pt idx="4">
                  <c:v>0</c:v>
                </c:pt>
                <c:pt idx="5">
                  <c:v>3.599999999999999E-2</c:v>
                </c:pt>
                <c:pt idx="6">
                  <c:v>8.6000000000000007E-2</c:v>
                </c:pt>
                <c:pt idx="7">
                  <c:v>2.6999999999999982E-2</c:v>
                </c:pt>
                <c:pt idx="8">
                  <c:v>1.100000000000001E-2</c:v>
                </c:pt>
                <c:pt idx="9">
                  <c:v>8.0000000000000071E-3</c:v>
                </c:pt>
                <c:pt idx="10">
                  <c:v>7.9999999999999932E-3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F-4B1C-A859-C87D12E0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010735"/>
        <c:axId val="1839399439"/>
      </c:barChart>
      <c:catAx>
        <c:axId val="18060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99439"/>
        <c:crosses val="autoZero"/>
        <c:auto val="1"/>
        <c:lblAlgn val="ctr"/>
        <c:lblOffset val="100"/>
        <c:noMultiLvlLbl val="0"/>
      </c:catAx>
      <c:valAx>
        <c:axId val="18393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0.58699999999999997</c:v>
                </c:pt>
                <c:pt idx="2">
                  <c:v>0.19675000000000001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581-BB7B-42856E3F6F5F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0.58899999999999997</c:v>
                </c:pt>
                <c:pt idx="2">
                  <c:v>0.16674999999999998</c:v>
                </c:pt>
                <c:pt idx="3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581-BB7B-42856E3F6F5F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0.53</c:v>
                </c:pt>
                <c:pt idx="2">
                  <c:v>0.17787499999999998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B-4581-BB7B-42856E3F6F5F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0.627</c:v>
                </c:pt>
                <c:pt idx="2">
                  <c:v>0.1585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B-4581-BB7B-42856E3F6F5F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0.626</c:v>
                </c:pt>
                <c:pt idx="2">
                  <c:v>0.11177777777777778</c:v>
                </c:pt>
                <c:pt idx="3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B-4581-BB7B-42856E3F6F5F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0.64500000000000002</c:v>
                </c:pt>
                <c:pt idx="2">
                  <c:v>0.15422222222222218</c:v>
                </c:pt>
                <c:pt idx="3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B-4581-BB7B-42856E3F6F5F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0.52300000000000002</c:v>
                </c:pt>
                <c:pt idx="1">
                  <c:v>0.63400000000000001</c:v>
                </c:pt>
                <c:pt idx="2">
                  <c:v>0.167625</c:v>
                </c:pt>
                <c:pt idx="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B-4581-BB7B-42856E3F6F5F}"/>
            </c:ext>
          </c:extLst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0.49199999999999999</c:v>
                </c:pt>
                <c:pt idx="1">
                  <c:v>0.622</c:v>
                </c:pt>
                <c:pt idx="2">
                  <c:v>0.17899999999999999</c:v>
                </c:pt>
                <c:pt idx="3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DB-4581-BB7B-42856E3F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22031"/>
        <c:axId val="770307599"/>
      </c:barChart>
      <c:catAx>
        <c:axId val="8286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7599"/>
        <c:crosses val="autoZero"/>
        <c:auto val="1"/>
        <c:lblAlgn val="ctr"/>
        <c:lblOffset val="100"/>
        <c:noMultiLvlLbl val="0"/>
      </c:catAx>
      <c:valAx>
        <c:axId val="7703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Sheet1!$CS$39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Sheet1!$CR$40:$CR$47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Sheet1!$CS$40:$CS$47</c:f>
              <c:numCache>
                <c:formatCode>General</c:formatCode>
                <c:ptCount val="8"/>
                <c:pt idx="0">
                  <c:v>0</c:v>
                </c:pt>
                <c:pt idx="1">
                  <c:v>9.7000000000000031E-2</c:v>
                </c:pt>
                <c:pt idx="2">
                  <c:v>-2.7999999999999914E-2</c:v>
                </c:pt>
                <c:pt idx="3">
                  <c:v>-3.9000000000000035E-2</c:v>
                </c:pt>
                <c:pt idx="4">
                  <c:v>2.8999999999999915E-2</c:v>
                </c:pt>
                <c:pt idx="5">
                  <c:v>-1.4000000000000012E-2</c:v>
                </c:pt>
                <c:pt idx="6">
                  <c:v>-9.000000000000008E-3</c:v>
                </c:pt>
                <c:pt idx="7">
                  <c:v>-9.3999999999999972E-2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770-9712-95DEE9E6C10A}"/>
            </c:ext>
          </c:extLst>
        </c:ser>
        <c:ser>
          <c:idx val="1"/>
          <c:order val="1"/>
          <c:tx>
            <c:strRef>
              <c:f>Sheet1!$CT$39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Sheet1!$CR$40:$CR$47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Sheet1!$CT$40:$CT$47</c:f>
              <c:numCache>
                <c:formatCode>General</c:formatCode>
                <c:ptCount val="8"/>
                <c:pt idx="0">
                  <c:v>0</c:v>
                </c:pt>
                <c:pt idx="1">
                  <c:v>-4.0000000000000036E-3</c:v>
                </c:pt>
                <c:pt idx="2">
                  <c:v>2.200000000000002E-2</c:v>
                </c:pt>
                <c:pt idx="3">
                  <c:v>2.0000000000000018E-3</c:v>
                </c:pt>
                <c:pt idx="4">
                  <c:v>3.0000000000000027E-3</c:v>
                </c:pt>
                <c:pt idx="5">
                  <c:v>2.300000000000002E-2</c:v>
                </c:pt>
                <c:pt idx="6">
                  <c:v>7.0000000000000062E-3</c:v>
                </c:pt>
                <c:pt idx="7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5-4770-9712-95DEE9E6C10A}"/>
            </c:ext>
          </c:extLst>
        </c:ser>
        <c:ser>
          <c:idx val="2"/>
          <c:order val="2"/>
          <c:tx>
            <c:strRef>
              <c:f>Sheet1!$CU$39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Sheet1!$CR$40:$CR$47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Sheet1!$CU$40:$CU$47</c:f>
              <c:numCache>
                <c:formatCode>General</c:formatCode>
                <c:ptCount val="8"/>
                <c:pt idx="0">
                  <c:v>0</c:v>
                </c:pt>
                <c:pt idx="1">
                  <c:v>4.0999999999999925E-2</c:v>
                </c:pt>
                <c:pt idx="2">
                  <c:v>2.2000000000000131E-2</c:v>
                </c:pt>
                <c:pt idx="3">
                  <c:v>1.9999999999999907E-2</c:v>
                </c:pt>
                <c:pt idx="4">
                  <c:v>3.0000000000000027E-3</c:v>
                </c:pt>
                <c:pt idx="5">
                  <c:v>2.1000000000000019E-2</c:v>
                </c:pt>
                <c:pt idx="6">
                  <c:v>7.0000000000000062E-3</c:v>
                </c:pt>
                <c:pt idx="7">
                  <c:v>-8.5000000000000631E-3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5-4770-9712-95DEE9E6C10A}"/>
            </c:ext>
          </c:extLst>
        </c:ser>
        <c:ser>
          <c:idx val="3"/>
          <c:order val="3"/>
          <c:tx>
            <c:strRef>
              <c:f>Sheet1!$CV$39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Sheet1!$CR$40:$CR$47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Sheet1!$CV$40:$CV$47</c:f>
              <c:numCache>
                <c:formatCode>General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2.0000000000000018E-3</c:v>
                </c:pt>
                <c:pt idx="3">
                  <c:v>-4.0000000000000036E-3</c:v>
                </c:pt>
                <c:pt idx="4">
                  <c:v>1.5000000000000013E-2</c:v>
                </c:pt>
                <c:pt idx="5">
                  <c:v>1.4999999999999986E-2</c:v>
                </c:pt>
                <c:pt idx="6">
                  <c:v>2.0000000000000018E-3</c:v>
                </c:pt>
                <c:pt idx="7">
                  <c:v>-4.8000000000000015E-2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5-4770-9712-95DEE9E6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67887"/>
        <c:axId val="1794431727"/>
      </c:barChart>
      <c:catAx>
        <c:axId val="2058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1727"/>
        <c:crosses val="autoZero"/>
        <c:auto val="1"/>
        <c:lblAlgn val="ctr"/>
        <c:lblOffset val="100"/>
        <c:noMultiLvlLbl val="0"/>
      </c:catAx>
      <c:valAx>
        <c:axId val="17944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Sheet1!$CS$50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Sheet1!$CR$51:$CR$61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Sheet1!$CS$51:$CS$61</c:f>
              <c:numCache>
                <c:formatCode>General</c:formatCode>
                <c:ptCount val="11"/>
                <c:pt idx="0">
                  <c:v>-1.8000000000000016E-2</c:v>
                </c:pt>
                <c:pt idx="1">
                  <c:v>-0.11799999999999988</c:v>
                </c:pt>
                <c:pt idx="2">
                  <c:v>0</c:v>
                </c:pt>
                <c:pt idx="3">
                  <c:v>-5.0000000000000044E-3</c:v>
                </c:pt>
                <c:pt idx="4">
                  <c:v>-4.6000000000000041E-2</c:v>
                </c:pt>
                <c:pt idx="5">
                  <c:v>-5.0999999999999934E-2</c:v>
                </c:pt>
                <c:pt idx="6">
                  <c:v>-0.496</c:v>
                </c:pt>
                <c:pt idx="7">
                  <c:v>-0.16400000000000003</c:v>
                </c:pt>
                <c:pt idx="8">
                  <c:v>-0.10100000000000009</c:v>
                </c:pt>
                <c:pt idx="9">
                  <c:v>0</c:v>
                </c:pt>
                <c:pt idx="10">
                  <c:v>-0.19799999999999995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4-4FA9-B9DF-F468208B0076}"/>
            </c:ext>
          </c:extLst>
        </c:ser>
        <c:ser>
          <c:idx val="1"/>
          <c:order val="1"/>
          <c:tx>
            <c:strRef>
              <c:f>Sheet1!$CT$50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Sheet1!$CR$51:$CR$61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Sheet1!$CT$51:$CT$61</c:f>
              <c:numCache>
                <c:formatCode>General</c:formatCode>
                <c:ptCount val="11"/>
                <c:pt idx="0">
                  <c:v>-6.1999999999999833E-2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-1.4999999999999902E-2</c:v>
                </c:pt>
                <c:pt idx="4">
                  <c:v>-1.0999999999999899E-2</c:v>
                </c:pt>
                <c:pt idx="5">
                  <c:v>-9.6000000000000085E-2</c:v>
                </c:pt>
                <c:pt idx="6">
                  <c:v>-0.80400000000000005</c:v>
                </c:pt>
                <c:pt idx="7">
                  <c:v>-5.0000000000000044E-2</c:v>
                </c:pt>
                <c:pt idx="8">
                  <c:v>2.0000000000000018E-3</c:v>
                </c:pt>
                <c:pt idx="9">
                  <c:v>0</c:v>
                </c:pt>
                <c:pt idx="10">
                  <c:v>-0.20100000000000007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4-4FA9-B9DF-F468208B0076}"/>
            </c:ext>
          </c:extLst>
        </c:ser>
        <c:ser>
          <c:idx val="2"/>
          <c:order val="2"/>
          <c:tx>
            <c:strRef>
              <c:f>Sheet1!$CU$50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Sheet1!$CR$51:$CR$61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Sheet1!$CU$51:$CU$61</c:f>
              <c:numCache>
                <c:formatCode>General</c:formatCode>
                <c:ptCount val="11"/>
                <c:pt idx="0">
                  <c:v>0.127</c:v>
                </c:pt>
                <c:pt idx="1">
                  <c:v>0.17499999999999999</c:v>
                </c:pt>
                <c:pt idx="2">
                  <c:v>-1.7939999999999998</c:v>
                </c:pt>
                <c:pt idx="3">
                  <c:v>1.4000000000000002E-2</c:v>
                </c:pt>
                <c:pt idx="4">
                  <c:v>1.2999999999999999E-2</c:v>
                </c:pt>
                <c:pt idx="5">
                  <c:v>0.13899999999999998</c:v>
                </c:pt>
                <c:pt idx="6">
                  <c:v>1.3640000000000001</c:v>
                </c:pt>
                <c:pt idx="7">
                  <c:v>0.108</c:v>
                </c:pt>
                <c:pt idx="8">
                  <c:v>4.2999999999999997E-2</c:v>
                </c:pt>
                <c:pt idx="9">
                  <c:v>0</c:v>
                </c:pt>
                <c:pt idx="1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4-4FA9-B9DF-F468208B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312255"/>
        <c:axId val="1801916767"/>
      </c:barChart>
      <c:catAx>
        <c:axId val="21143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16767"/>
        <c:crosses val="autoZero"/>
        <c:auto val="1"/>
        <c:lblAlgn val="ctr"/>
        <c:lblOffset val="100"/>
        <c:noMultiLvlLbl val="0"/>
      </c:catAx>
      <c:valAx>
        <c:axId val="18019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Days in the ICU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Sheet1!$DT$50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Sheet1!$DS$51:$DS$61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Sheet1!$DT$51:$DT$61</c:f>
              <c:numCache>
                <c:formatCode>General</c:formatCode>
                <c:ptCount val="11"/>
                <c:pt idx="0">
                  <c:v>85271797.662999988</c:v>
                </c:pt>
                <c:pt idx="1">
                  <c:v>6.9999999999998952E-3</c:v>
                </c:pt>
                <c:pt idx="2">
                  <c:v>0</c:v>
                </c:pt>
                <c:pt idx="3">
                  <c:v>-1.0000000000000009E-3</c:v>
                </c:pt>
                <c:pt idx="4">
                  <c:v>-7.0000000000001172E-3</c:v>
                </c:pt>
                <c:pt idx="5">
                  <c:v>-1.0000000000000009E-2</c:v>
                </c:pt>
                <c:pt idx="6">
                  <c:v>-1.5000000000000013E-2</c:v>
                </c:pt>
                <c:pt idx="7">
                  <c:v>2.0000000000000018E-3</c:v>
                </c:pt>
                <c:pt idx="8">
                  <c:v>-4.0000000000000036E-3</c:v>
                </c:pt>
                <c:pt idx="9">
                  <c:v>1.2000000000000011E-2</c:v>
                </c:pt>
                <c:pt idx="10">
                  <c:v>-1.0390000000000001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EEA-B320-B83CBCA461EF}"/>
            </c:ext>
          </c:extLst>
        </c:ser>
        <c:ser>
          <c:idx val="1"/>
          <c:order val="1"/>
          <c:tx>
            <c:strRef>
              <c:f>Sheet1!$DU$50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Sheet1!$DS$51:$DS$61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Sheet1!$DU$51:$DU$61</c:f>
              <c:numCache>
                <c:formatCode>General</c:formatCode>
                <c:ptCount val="11"/>
                <c:pt idx="0">
                  <c:v>781528935.37699997</c:v>
                </c:pt>
                <c:pt idx="1">
                  <c:v>6.0000000000000053E-3</c:v>
                </c:pt>
                <c:pt idx="2">
                  <c:v>0</c:v>
                </c:pt>
                <c:pt idx="3">
                  <c:v>2.2999999999999909E-2</c:v>
                </c:pt>
                <c:pt idx="4">
                  <c:v>4.9999999999998934E-3</c:v>
                </c:pt>
                <c:pt idx="5">
                  <c:v>-8.0000000000000071E-3</c:v>
                </c:pt>
                <c:pt idx="6">
                  <c:v>-3.0999999999999917E-2</c:v>
                </c:pt>
                <c:pt idx="7">
                  <c:v>1.8000000000000016E-2</c:v>
                </c:pt>
                <c:pt idx="8">
                  <c:v>1.0000000000001119E-3</c:v>
                </c:pt>
                <c:pt idx="9">
                  <c:v>3.0000000000001137E-3</c:v>
                </c:pt>
                <c:pt idx="10">
                  <c:v>6.6000000000000059E-2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7-4EEA-B320-B83CBCA461EF}"/>
            </c:ext>
          </c:extLst>
        </c:ser>
        <c:ser>
          <c:idx val="2"/>
          <c:order val="2"/>
          <c:tx>
            <c:strRef>
              <c:f>Sheet1!$DV$50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Sheet1!$DS$51:$DS$61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Sheet1!$DV$51:$DV$61</c:f>
              <c:numCache>
                <c:formatCode>General</c:formatCode>
                <c:ptCount val="11"/>
                <c:pt idx="0">
                  <c:v>-2.28951403005789E+18</c:v>
                </c:pt>
                <c:pt idx="1">
                  <c:v>-1.2999999999999998E-2</c:v>
                </c:pt>
                <c:pt idx="2">
                  <c:v>0</c:v>
                </c:pt>
                <c:pt idx="3">
                  <c:v>-2.5000000000000001E-2</c:v>
                </c:pt>
                <c:pt idx="4">
                  <c:v>-5.0000000000000001E-3</c:v>
                </c:pt>
                <c:pt idx="5">
                  <c:v>1.0000000000000002E-2</c:v>
                </c:pt>
                <c:pt idx="6">
                  <c:v>3.8999999999999993E-2</c:v>
                </c:pt>
                <c:pt idx="7">
                  <c:v>-0.02</c:v>
                </c:pt>
                <c:pt idx="8">
                  <c:v>0</c:v>
                </c:pt>
                <c:pt idx="9">
                  <c:v>-8.9999999999999976E-3</c:v>
                </c:pt>
                <c:pt idx="10">
                  <c:v>-6.4000000000000001E-2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7-4EEA-B320-B83CBCA4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334607"/>
        <c:axId val="1592921247"/>
      </c:barChart>
      <c:catAx>
        <c:axId val="18423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1247"/>
        <c:crosses val="autoZero"/>
        <c:auto val="1"/>
        <c:lblAlgn val="ctr"/>
        <c:lblOffset val="100"/>
        <c:noMultiLvlLbl val="0"/>
      </c:catAx>
      <c:valAx>
        <c:axId val="1592921247"/>
        <c:scaling>
          <c:orientation val="minMax"/>
          <c:max val="0.70000000000000007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Death Within 1 Year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Sheet1!$DT$39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Sheet1!$DS$40:$DS$47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Sheet1!$DT$40:$DT$47</c:f>
              <c:numCache>
                <c:formatCode>General</c:formatCode>
                <c:ptCount val="8"/>
                <c:pt idx="0">
                  <c:v>6.0999999999999943E-2</c:v>
                </c:pt>
                <c:pt idx="1">
                  <c:v>9.7999999999999976E-2</c:v>
                </c:pt>
                <c:pt idx="2">
                  <c:v>-4.9000000000000044E-2</c:v>
                </c:pt>
                <c:pt idx="3">
                  <c:v>-3.0999999999999917E-2</c:v>
                </c:pt>
                <c:pt idx="4">
                  <c:v>-9.8999999999999977E-2</c:v>
                </c:pt>
                <c:pt idx="5">
                  <c:v>-2.0000000000000018E-3</c:v>
                </c:pt>
                <c:pt idx="6">
                  <c:v>-1.6000000000000014E-2</c:v>
                </c:pt>
                <c:pt idx="7">
                  <c:v>-1.4000000000000012E-2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A43-89A0-BD1B735586ED}"/>
            </c:ext>
          </c:extLst>
        </c:ser>
        <c:ser>
          <c:idx val="1"/>
          <c:order val="1"/>
          <c:tx>
            <c:strRef>
              <c:f>Sheet1!$DU$39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Sheet1!$DS$40:$DS$47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Sheet1!$DU$40:$DU$47</c:f>
              <c:numCache>
                <c:formatCode>General</c:formatCode>
                <c:ptCount val="8"/>
                <c:pt idx="0">
                  <c:v>4.8999999999999932E-2</c:v>
                </c:pt>
                <c:pt idx="1">
                  <c:v>3.8999999999999924E-2</c:v>
                </c:pt>
                <c:pt idx="2">
                  <c:v>1.3000000000000012E-2</c:v>
                </c:pt>
                <c:pt idx="3">
                  <c:v>1.0000000000000009E-2</c:v>
                </c:pt>
                <c:pt idx="4">
                  <c:v>8.0000000000000071E-3</c:v>
                </c:pt>
                <c:pt idx="5">
                  <c:v>0</c:v>
                </c:pt>
                <c:pt idx="6">
                  <c:v>-1.5000000000000013E-2</c:v>
                </c:pt>
                <c:pt idx="7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0-4A43-89A0-BD1B735586ED}"/>
            </c:ext>
          </c:extLst>
        </c:ser>
        <c:ser>
          <c:idx val="2"/>
          <c:order val="2"/>
          <c:tx>
            <c:strRef>
              <c:f>Sheet1!$DV$39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Sheet1!$DS$40:$DS$47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Sheet1!$DV$40:$DV$47</c:f>
              <c:numCache>
                <c:formatCode>General</c:formatCode>
                <c:ptCount val="8"/>
                <c:pt idx="0">
                  <c:v>3.7000000000000033E-2</c:v>
                </c:pt>
                <c:pt idx="1">
                  <c:v>2.7000000000000024E-2</c:v>
                </c:pt>
                <c:pt idx="2">
                  <c:v>-4.6500000000000097E-2</c:v>
                </c:pt>
                <c:pt idx="3">
                  <c:v>1.0000000000000009E-2</c:v>
                </c:pt>
                <c:pt idx="4">
                  <c:v>8.0000000000001181E-3</c:v>
                </c:pt>
                <c:pt idx="5">
                  <c:v>2.399999999999991E-2</c:v>
                </c:pt>
                <c:pt idx="6">
                  <c:v>1.0999999999999899E-2</c:v>
                </c:pt>
                <c:pt idx="7">
                  <c:v>1.2000000000000122E-2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0-4A43-89A0-BD1B735586ED}"/>
            </c:ext>
          </c:extLst>
        </c:ser>
        <c:ser>
          <c:idx val="3"/>
          <c:order val="3"/>
          <c:tx>
            <c:strRef>
              <c:f>Sheet1!$DW$39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Sheet1!$DS$40:$DS$47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Sheet1!$DW$40:$DW$47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6.7000000000000004E-2</c:v>
                </c:pt>
                <c:pt idx="2">
                  <c:v>-6.7000000000000004E-2</c:v>
                </c:pt>
                <c:pt idx="3">
                  <c:v>-6.0000000000000053E-3</c:v>
                </c:pt>
                <c:pt idx="4">
                  <c:v>-4.0000000000000008E-2</c:v>
                </c:pt>
                <c:pt idx="5">
                  <c:v>2.3999999999999994E-2</c:v>
                </c:pt>
                <c:pt idx="6">
                  <c:v>0</c:v>
                </c:pt>
                <c:pt idx="7">
                  <c:v>-1.0000000000000009E-3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0-4A43-89A0-BD1B7355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179903"/>
        <c:axId val="1688592479"/>
      </c:barChart>
      <c:catAx>
        <c:axId val="20601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2479"/>
        <c:crosses val="autoZero"/>
        <c:auto val="1"/>
        <c:lblAlgn val="ctr"/>
        <c:lblOffset val="100"/>
        <c:noMultiLvlLbl val="0"/>
      </c:catAx>
      <c:valAx>
        <c:axId val="16885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Sheet1!$DT$25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Sheet1!$DS$26:$DS$36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Sheet1!$DT$26:$DT$36</c:f>
              <c:numCache>
                <c:formatCode>General</c:formatCode>
                <c:ptCount val="11"/>
                <c:pt idx="0">
                  <c:v>-1060499439.069</c:v>
                </c:pt>
                <c:pt idx="1">
                  <c:v>-1.4999999999999902E-2</c:v>
                </c:pt>
                <c:pt idx="2">
                  <c:v>0</c:v>
                </c:pt>
                <c:pt idx="3">
                  <c:v>-2.0000000000000018E-2</c:v>
                </c:pt>
                <c:pt idx="4">
                  <c:v>-4.8000000000000043E-2</c:v>
                </c:pt>
                <c:pt idx="5">
                  <c:v>-6.9999999999998952E-3</c:v>
                </c:pt>
                <c:pt idx="6">
                  <c:v>-1.4000000000000012E-2</c:v>
                </c:pt>
                <c:pt idx="7">
                  <c:v>-4.0000000000000036E-3</c:v>
                </c:pt>
                <c:pt idx="8">
                  <c:v>5.0000000000001155E-3</c:v>
                </c:pt>
                <c:pt idx="9">
                  <c:v>-6.0000000000000053E-3</c:v>
                </c:pt>
                <c:pt idx="10">
                  <c:v>-3.400000000000003E-2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CA5-98C3-E216273D20A0}"/>
            </c:ext>
          </c:extLst>
        </c:ser>
        <c:ser>
          <c:idx val="1"/>
          <c:order val="1"/>
          <c:tx>
            <c:strRef>
              <c:f>Sheet1!$DU$25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Sheet1!$DS$26:$DS$36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Sheet1!$DU$26:$DU$36</c:f>
              <c:numCache>
                <c:formatCode>General</c:formatCode>
                <c:ptCount val="11"/>
                <c:pt idx="0">
                  <c:v>-9316319365.5709991</c:v>
                </c:pt>
                <c:pt idx="1">
                  <c:v>-8.0000000000000071E-3</c:v>
                </c:pt>
                <c:pt idx="2">
                  <c:v>0</c:v>
                </c:pt>
                <c:pt idx="3">
                  <c:v>3.6000000000000032E-2</c:v>
                </c:pt>
                <c:pt idx="4">
                  <c:v>-0.61500000000000021</c:v>
                </c:pt>
                <c:pt idx="5">
                  <c:v>-3.0000000000000027E-2</c:v>
                </c:pt>
                <c:pt idx="6">
                  <c:v>-2.4999999999999911E-2</c:v>
                </c:pt>
                <c:pt idx="7">
                  <c:v>5.8999999999999941E-2</c:v>
                </c:pt>
                <c:pt idx="8">
                  <c:v>7.6000000000000068E-2</c:v>
                </c:pt>
                <c:pt idx="9">
                  <c:v>4.0000000000000036E-3</c:v>
                </c:pt>
                <c:pt idx="10">
                  <c:v>-3.400000000000003E-2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6-4CA5-98C3-E216273D20A0}"/>
            </c:ext>
          </c:extLst>
        </c:ser>
        <c:ser>
          <c:idx val="2"/>
          <c:order val="2"/>
          <c:tx>
            <c:strRef>
              <c:f>Sheet1!$DV$25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Sheet1!$DS$26:$DS$36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Sheet1!$DV$26:$DV$36</c:f>
              <c:numCache>
                <c:formatCode>General</c:formatCode>
                <c:ptCount val="11"/>
                <c:pt idx="0">
                  <c:v>2.5623807886219602E+20</c:v>
                </c:pt>
                <c:pt idx="1">
                  <c:v>5.0000000000000044E-3</c:v>
                </c:pt>
                <c:pt idx="2">
                  <c:v>0</c:v>
                </c:pt>
                <c:pt idx="3">
                  <c:v>-3.2000000000000001E-2</c:v>
                </c:pt>
                <c:pt idx="4">
                  <c:v>0.71399999999999997</c:v>
                </c:pt>
                <c:pt idx="5">
                  <c:v>0.03</c:v>
                </c:pt>
                <c:pt idx="6">
                  <c:v>2.2000000000000002E-2</c:v>
                </c:pt>
                <c:pt idx="7">
                  <c:v>-5.7000000000000009E-2</c:v>
                </c:pt>
                <c:pt idx="8">
                  <c:v>-7.4999999999999997E-2</c:v>
                </c:pt>
                <c:pt idx="9">
                  <c:v>-4.0000000000000036E-3</c:v>
                </c:pt>
                <c:pt idx="10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6-4CA5-98C3-E216273D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193871"/>
        <c:axId val="1795945023"/>
      </c:barChart>
      <c:catAx>
        <c:axId val="15431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45023"/>
        <c:crosses val="autoZero"/>
        <c:auto val="1"/>
        <c:lblAlgn val="ctr"/>
        <c:lblOffset val="100"/>
        <c:noMultiLvlLbl val="0"/>
      </c:catAx>
      <c:valAx>
        <c:axId val="179594502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938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Sheet1!$DX$25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Sheet1!$DW$26:$DW$36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Sheet1!$DX$26:$DX$36</c:f>
              <c:numCache>
                <c:formatCode>General</c:formatCode>
                <c:ptCount val="11"/>
                <c:pt idx="0">
                  <c:v>2.899999999999997E-2</c:v>
                </c:pt>
                <c:pt idx="1">
                  <c:v>1.8000000000000016E-2</c:v>
                </c:pt>
                <c:pt idx="2">
                  <c:v>0</c:v>
                </c:pt>
                <c:pt idx="3">
                  <c:v>2.0000000000000018E-3</c:v>
                </c:pt>
                <c:pt idx="4">
                  <c:v>-0.28400000000000003</c:v>
                </c:pt>
                <c:pt idx="5">
                  <c:v>-2.5000000000000022E-2</c:v>
                </c:pt>
                <c:pt idx="6">
                  <c:v>-1.5000000000000013E-2</c:v>
                </c:pt>
                <c:pt idx="7">
                  <c:v>9.000000000000008E-3</c:v>
                </c:pt>
                <c:pt idx="8">
                  <c:v>1.5999999999999959E-2</c:v>
                </c:pt>
                <c:pt idx="9">
                  <c:v>1.4999999999999958E-2</c:v>
                </c:pt>
                <c:pt idx="10">
                  <c:v>1.3999999999999957E-2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D71-9605-907ACF29D33B}"/>
            </c:ext>
          </c:extLst>
        </c:ser>
        <c:ser>
          <c:idx val="1"/>
          <c:order val="1"/>
          <c:tx>
            <c:strRef>
              <c:f>Sheet1!$DY$25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Sheet1!$DW$26:$DW$36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Sheet1!$DY$26:$DY$36</c:f>
              <c:numCache>
                <c:formatCode>General</c:formatCode>
                <c:ptCount val="11"/>
                <c:pt idx="0">
                  <c:v>-3.5000000000000031E-3</c:v>
                </c:pt>
                <c:pt idx="1">
                  <c:v>-6.7500000000000338E-3</c:v>
                </c:pt>
                <c:pt idx="2">
                  <c:v>0</c:v>
                </c:pt>
                <c:pt idx="3">
                  <c:v>1.6375000000000028E-2</c:v>
                </c:pt>
                <c:pt idx="4">
                  <c:v>-1.1874999999999997E-2</c:v>
                </c:pt>
                <c:pt idx="5">
                  <c:v>-8.8750000000000218E-3</c:v>
                </c:pt>
                <c:pt idx="6">
                  <c:v>3.3875000000000016E-2</c:v>
                </c:pt>
                <c:pt idx="7">
                  <c:v>1.7375000000000029E-2</c:v>
                </c:pt>
                <c:pt idx="8">
                  <c:v>-3.7625000000000047E-2</c:v>
                </c:pt>
                <c:pt idx="9">
                  <c:v>-1.7000000000000015E-2</c:v>
                </c:pt>
                <c:pt idx="10">
                  <c:v>8.2500000000000351E-3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D71-9605-907ACF29D33B}"/>
            </c:ext>
          </c:extLst>
        </c:ser>
        <c:ser>
          <c:idx val="2"/>
          <c:order val="2"/>
          <c:tx>
            <c:strRef>
              <c:f>Sheet1!$DZ$25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Sheet1!$DW$26:$DW$36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Sheet1!$DZ$26:$DZ$36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5.9999999999999915E-3</c:v>
                </c:pt>
                <c:pt idx="2">
                  <c:v>0</c:v>
                </c:pt>
                <c:pt idx="3">
                  <c:v>-2.0999999999999991E-2</c:v>
                </c:pt>
                <c:pt idx="4">
                  <c:v>0.06</c:v>
                </c:pt>
                <c:pt idx="5">
                  <c:v>-3.9999999999999897E-3</c:v>
                </c:pt>
                <c:pt idx="6">
                  <c:v>6.0000000000000053E-3</c:v>
                </c:pt>
                <c:pt idx="7">
                  <c:v>-2.0999999999999991E-2</c:v>
                </c:pt>
                <c:pt idx="8">
                  <c:v>-8.0000000000000071E-3</c:v>
                </c:pt>
                <c:pt idx="9">
                  <c:v>-7.0000000000000062E-3</c:v>
                </c:pt>
                <c:pt idx="10">
                  <c:v>-1.4999999999999999E-2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4D71-9605-907ACF29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047007"/>
        <c:axId val="1592922079"/>
      </c:barChart>
      <c:catAx>
        <c:axId val="13020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2079"/>
        <c:crosses val="autoZero"/>
        <c:auto val="1"/>
        <c:lblAlgn val="ctr"/>
        <c:lblOffset val="100"/>
        <c:noMultiLvlLbl val="0"/>
      </c:catAx>
      <c:valAx>
        <c:axId val="15929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Sheet1!$DT$14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Sheet1!$DS$15:$DS$22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Sheet1!$DT$15:$DT$22</c:f>
              <c:numCache>
                <c:formatCode>General</c:formatCode>
                <c:ptCount val="8"/>
                <c:pt idx="0">
                  <c:v>9.099999999999997E-2</c:v>
                </c:pt>
                <c:pt idx="1">
                  <c:v>2.0000000000000004E-2</c:v>
                </c:pt>
                <c:pt idx="2">
                  <c:v>-3.9999999999999994E-2</c:v>
                </c:pt>
                <c:pt idx="3">
                  <c:v>-8.299999999999999E-2</c:v>
                </c:pt>
                <c:pt idx="4">
                  <c:v>4.4000000000000011E-2</c:v>
                </c:pt>
                <c:pt idx="5">
                  <c:v>-3.9000000000000007E-2</c:v>
                </c:pt>
                <c:pt idx="6">
                  <c:v>-0.155</c:v>
                </c:pt>
                <c:pt idx="7">
                  <c:v>-9.6000000000000002E-2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D-4937-AA30-F1FF03B0A1E0}"/>
            </c:ext>
          </c:extLst>
        </c:ser>
        <c:ser>
          <c:idx val="1"/>
          <c:order val="1"/>
          <c:tx>
            <c:strRef>
              <c:f>Sheet1!$DU$14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Sheet1!$DS$15:$DS$22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Sheet1!$DU$15:$DU$22</c:f>
              <c:numCache>
                <c:formatCode>General</c:formatCode>
                <c:ptCount val="8"/>
                <c:pt idx="0">
                  <c:v>4.500000000000004E-2</c:v>
                </c:pt>
                <c:pt idx="1">
                  <c:v>-1.9000000000000017E-2</c:v>
                </c:pt>
                <c:pt idx="2">
                  <c:v>5.0000000000000044E-3</c:v>
                </c:pt>
                <c:pt idx="3">
                  <c:v>6.0000000000000053E-3</c:v>
                </c:pt>
                <c:pt idx="4">
                  <c:v>-2.5000000000000022E-2</c:v>
                </c:pt>
                <c:pt idx="5">
                  <c:v>2.6000000000000023E-2</c:v>
                </c:pt>
                <c:pt idx="6">
                  <c:v>4.3000000000000038E-2</c:v>
                </c:pt>
                <c:pt idx="7">
                  <c:v>3.7000000000000033E-2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D-4937-AA30-F1FF03B0A1E0}"/>
            </c:ext>
          </c:extLst>
        </c:ser>
        <c:ser>
          <c:idx val="2"/>
          <c:order val="2"/>
          <c:tx>
            <c:strRef>
              <c:f>Sheet1!$DV$14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Sheet1!$DS$15:$DS$22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Sheet1!$DV$15:$DV$22</c:f>
              <c:numCache>
                <c:formatCode>General</c:formatCode>
                <c:ptCount val="8"/>
                <c:pt idx="0">
                  <c:v>-1.4750000000000013E-2</c:v>
                </c:pt>
                <c:pt idx="1">
                  <c:v>-1.362499999999997E-2</c:v>
                </c:pt>
                <c:pt idx="2">
                  <c:v>-2.1624999999999978E-2</c:v>
                </c:pt>
                <c:pt idx="3">
                  <c:v>-2.0000000000000018E-3</c:v>
                </c:pt>
                <c:pt idx="4">
                  <c:v>2.2749999999999992E-2</c:v>
                </c:pt>
                <c:pt idx="5">
                  <c:v>4.5750000000000013E-2</c:v>
                </c:pt>
                <c:pt idx="6">
                  <c:v>2.3999999999999994E-2</c:v>
                </c:pt>
                <c:pt idx="7">
                  <c:v>-1.4999999999999736E-3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D-4937-AA30-F1FF03B0A1E0}"/>
            </c:ext>
          </c:extLst>
        </c:ser>
        <c:ser>
          <c:idx val="3"/>
          <c:order val="3"/>
          <c:tx>
            <c:strRef>
              <c:f>Sheet1!$DW$14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Sheet1!$DS$15:$DS$22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Sheet1!$DW$15:$DW$22</c:f>
              <c:numCache>
                <c:formatCode>General</c:formatCode>
                <c:ptCount val="8"/>
                <c:pt idx="0">
                  <c:v>2.4000000000000007E-2</c:v>
                </c:pt>
                <c:pt idx="1">
                  <c:v>5.000000000000001E-3</c:v>
                </c:pt>
                <c:pt idx="2">
                  <c:v>-1.2999999999999998E-2</c:v>
                </c:pt>
                <c:pt idx="3">
                  <c:v>-2.2999999999999996E-2</c:v>
                </c:pt>
                <c:pt idx="4">
                  <c:v>2.5000000000000001E-2</c:v>
                </c:pt>
                <c:pt idx="5">
                  <c:v>-1.0000000000000009E-3</c:v>
                </c:pt>
                <c:pt idx="6">
                  <c:v>-5.0999999999999997E-2</c:v>
                </c:pt>
                <c:pt idx="7">
                  <c:v>-3.1E-2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D-4937-AA30-F1FF03B0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556703"/>
        <c:axId val="1794432559"/>
      </c:barChart>
      <c:catAx>
        <c:axId val="18065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2559"/>
        <c:crosses val="autoZero"/>
        <c:auto val="1"/>
        <c:lblAlgn val="ctr"/>
        <c:lblOffset val="100"/>
        <c:noMultiLvlLbl val="0"/>
      </c:catAx>
      <c:valAx>
        <c:axId val="17944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Existence of Complications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Sheet1!$DT$3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Sheet1!$DS$4:$DS$11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Sheet1!$DT$4:$DT$11</c:f>
              <c:numCache>
                <c:formatCode>General</c:formatCode>
                <c:ptCount val="8"/>
                <c:pt idx="0">
                  <c:v>7.0000000000000062E-3</c:v>
                </c:pt>
                <c:pt idx="1">
                  <c:v>2.200000000000002E-2</c:v>
                </c:pt>
                <c:pt idx="2">
                  <c:v>-8.0000000000000071E-3</c:v>
                </c:pt>
                <c:pt idx="3">
                  <c:v>-2.0000000000000018E-3</c:v>
                </c:pt>
                <c:pt idx="4">
                  <c:v>7.9999999999998961E-3</c:v>
                </c:pt>
                <c:pt idx="5">
                  <c:v>1.7000000000000015E-2</c:v>
                </c:pt>
                <c:pt idx="6">
                  <c:v>1.7000000000000015E-2</c:v>
                </c:pt>
                <c:pt idx="7">
                  <c:v>1.7000000000000015E-2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AB9-BEBC-741CC9F05703}"/>
            </c:ext>
          </c:extLst>
        </c:ser>
        <c:ser>
          <c:idx val="1"/>
          <c:order val="1"/>
          <c:tx>
            <c:strRef>
              <c:f>Sheet1!$DU$3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Sheet1!$DS$4:$DS$11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Sheet1!$DU$4:$DU$11</c:f>
              <c:numCache>
                <c:formatCode>General</c:formatCode>
                <c:ptCount val="8"/>
                <c:pt idx="0">
                  <c:v>3.0000000000000027E-3</c:v>
                </c:pt>
                <c:pt idx="1">
                  <c:v>1.5999999999999903E-2</c:v>
                </c:pt>
                <c:pt idx="2">
                  <c:v>8.0000000000000071E-3</c:v>
                </c:pt>
                <c:pt idx="3">
                  <c:v>1.8000000000000016E-2</c:v>
                </c:pt>
                <c:pt idx="4">
                  <c:v>1.6000000000000014E-2</c:v>
                </c:pt>
                <c:pt idx="5">
                  <c:v>7.0000000000000062E-3</c:v>
                </c:pt>
                <c:pt idx="6">
                  <c:v>7.0000000000000062E-3</c:v>
                </c:pt>
                <c:pt idx="7">
                  <c:v>-1.100000000000001E-2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AB9-BEBC-741CC9F05703}"/>
            </c:ext>
          </c:extLst>
        </c:ser>
        <c:ser>
          <c:idx val="2"/>
          <c:order val="2"/>
          <c:tx>
            <c:strRef>
              <c:f>Sheet1!$DV$3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Sheet1!$DS$4:$DS$11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Sheet1!$DV$4:$DV$11</c:f>
              <c:numCache>
                <c:formatCode>General</c:formatCode>
                <c:ptCount val="8"/>
                <c:pt idx="0">
                  <c:v>6.0000000000000053E-3</c:v>
                </c:pt>
                <c:pt idx="1">
                  <c:v>4.4999999999999485E-3</c:v>
                </c:pt>
                <c:pt idx="2">
                  <c:v>-1.2499999999999956E-2</c:v>
                </c:pt>
                <c:pt idx="3">
                  <c:v>-6.4999999999999503E-3</c:v>
                </c:pt>
                <c:pt idx="4">
                  <c:v>4.9999999999998934E-3</c:v>
                </c:pt>
                <c:pt idx="5">
                  <c:v>1.4499999999999957E-2</c:v>
                </c:pt>
                <c:pt idx="6">
                  <c:v>1.2000000000000011E-2</c:v>
                </c:pt>
                <c:pt idx="7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AB9-BEBC-741CC9F05703}"/>
            </c:ext>
          </c:extLst>
        </c:ser>
        <c:ser>
          <c:idx val="3"/>
          <c:order val="3"/>
          <c:tx>
            <c:strRef>
              <c:f>Sheet1!$DW$3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Sheet1!$DS$4:$DS$11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Sheet1!$DW$4:$DW$11</c:f>
              <c:numCache>
                <c:formatCode>General</c:formatCode>
                <c:ptCount val="8"/>
                <c:pt idx="0">
                  <c:v>1.3000000000000012E-2</c:v>
                </c:pt>
                <c:pt idx="1">
                  <c:v>1.9000000000000017E-2</c:v>
                </c:pt>
                <c:pt idx="2">
                  <c:v>-2.4000000000000021E-2</c:v>
                </c:pt>
                <c:pt idx="3">
                  <c:v>-1.100000000000001E-2</c:v>
                </c:pt>
                <c:pt idx="4">
                  <c:v>1.2000000000000011E-2</c:v>
                </c:pt>
                <c:pt idx="5">
                  <c:v>2.9999999999999971E-2</c:v>
                </c:pt>
                <c:pt idx="6">
                  <c:v>2.8000000000000025E-2</c:v>
                </c:pt>
                <c:pt idx="7">
                  <c:v>2.4999999999999967E-2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AB9-BEBC-741CC9F0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88287"/>
        <c:axId val="1302765935"/>
      </c:barChart>
      <c:catAx>
        <c:axId val="16935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65935"/>
        <c:crosses val="autoZero"/>
        <c:auto val="1"/>
        <c:lblAlgn val="ctr"/>
        <c:lblOffset val="100"/>
        <c:noMultiLvlLbl val="0"/>
      </c:catAx>
      <c:valAx>
        <c:axId val="13027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Sheet1!$EU$4:$EU$11</c:f>
              <c:numCache>
                <c:formatCode>General</c:formatCode>
                <c:ptCount val="8"/>
                <c:pt idx="0">
                  <c:v>7.0000000000000062E-3</c:v>
                </c:pt>
                <c:pt idx="1">
                  <c:v>-2.0000000000000018E-2</c:v>
                </c:pt>
                <c:pt idx="2">
                  <c:v>5.0000000000000044E-3</c:v>
                </c:pt>
                <c:pt idx="3">
                  <c:v>-6.0000000000000053E-3</c:v>
                </c:pt>
                <c:pt idx="4">
                  <c:v>-2.6999999999999913E-2</c:v>
                </c:pt>
                <c:pt idx="5">
                  <c:v>-3.1000000000000028E-2</c:v>
                </c:pt>
                <c:pt idx="6">
                  <c:v>-2.300000000000002E-2</c:v>
                </c:pt>
                <c:pt idx="7">
                  <c:v>-3.2000000000000028E-2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FA-BD90-A6507C955A71}"/>
            </c:ext>
          </c:extLst>
        </c:ser>
        <c:ser>
          <c:idx val="1"/>
          <c:order val="1"/>
          <c:tx>
            <c:strRef>
              <c:f>Sheet1!$EV$3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Sheet1!$EV$4:$EV$11</c:f>
              <c:numCache>
                <c:formatCode>General</c:formatCode>
                <c:ptCount val="8"/>
                <c:pt idx="0">
                  <c:v>-7.0000000000000062E-3</c:v>
                </c:pt>
                <c:pt idx="1">
                  <c:v>-8.0000000000000071E-3</c:v>
                </c:pt>
                <c:pt idx="2">
                  <c:v>0</c:v>
                </c:pt>
                <c:pt idx="3">
                  <c:v>-1.7000000000000015E-2</c:v>
                </c:pt>
                <c:pt idx="4">
                  <c:v>-3.0000000000000027E-2</c:v>
                </c:pt>
                <c:pt idx="5">
                  <c:v>-2.4000000000000021E-2</c:v>
                </c:pt>
                <c:pt idx="6">
                  <c:v>-1.6000000000000014E-2</c:v>
                </c:pt>
                <c:pt idx="7">
                  <c:v>-2.0000000000000018E-3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FA-BD90-A6507C955A71}"/>
            </c:ext>
          </c:extLst>
        </c:ser>
        <c:ser>
          <c:idx val="2"/>
          <c:order val="2"/>
          <c:tx>
            <c:strRef>
              <c:f>Sheet1!$EW$3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Sheet1!$EW$4:$EW$11</c:f>
              <c:numCache>
                <c:formatCode>General</c:formatCode>
                <c:ptCount val="8"/>
                <c:pt idx="0">
                  <c:v>2.3499999999999965E-2</c:v>
                </c:pt>
                <c:pt idx="1">
                  <c:v>-1.100000000000001E-2</c:v>
                </c:pt>
                <c:pt idx="2">
                  <c:v>1.2000000000000011E-2</c:v>
                </c:pt>
                <c:pt idx="3">
                  <c:v>-3.5000000000000586E-3</c:v>
                </c:pt>
                <c:pt idx="4">
                  <c:v>-2.8000000000000025E-2</c:v>
                </c:pt>
                <c:pt idx="5">
                  <c:v>-2.8000000000000025E-2</c:v>
                </c:pt>
                <c:pt idx="6">
                  <c:v>-2.3500000000000076E-2</c:v>
                </c:pt>
                <c:pt idx="7">
                  <c:v>-2.3499999999999965E-2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FA-BD90-A6507C955A71}"/>
            </c:ext>
          </c:extLst>
        </c:ser>
        <c:ser>
          <c:idx val="3"/>
          <c:order val="3"/>
          <c:tx>
            <c:strRef>
              <c:f>Sheet1!$EX$3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Sheet1!$EX$4:$EX$11</c:f>
              <c:numCache>
                <c:formatCode>General</c:formatCode>
                <c:ptCount val="8"/>
                <c:pt idx="0">
                  <c:v>3.8999999999999979E-2</c:v>
                </c:pt>
                <c:pt idx="1">
                  <c:v>-2.6999999999999968E-2</c:v>
                </c:pt>
                <c:pt idx="2">
                  <c:v>2.1000000000000019E-2</c:v>
                </c:pt>
                <c:pt idx="3">
                  <c:v>-8.0000000000000071E-3</c:v>
                </c:pt>
                <c:pt idx="4">
                  <c:v>-5.5999999999999994E-2</c:v>
                </c:pt>
                <c:pt idx="5">
                  <c:v>-5.7999999999999996E-2</c:v>
                </c:pt>
                <c:pt idx="6">
                  <c:v>-4.8000000000000043E-2</c:v>
                </c:pt>
                <c:pt idx="7">
                  <c:v>-5.099999999999999E-2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B-4BFA-BD90-A6507C95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786319"/>
        <c:axId val="1795947103"/>
      </c:barChart>
      <c:catAx>
        <c:axId val="20647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47103"/>
        <c:crosses val="autoZero"/>
        <c:auto val="1"/>
        <c:lblAlgn val="ctr"/>
        <c:lblOffset val="100"/>
        <c:noMultiLvlLbl val="0"/>
      </c:catAx>
      <c:valAx>
        <c:axId val="17959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Sheet1!$EU$15:$EU$22</c:f>
              <c:numCache>
                <c:formatCode>General</c:formatCode>
                <c:ptCount val="8"/>
                <c:pt idx="0">
                  <c:v>-1.1999999999999955E-2</c:v>
                </c:pt>
                <c:pt idx="1">
                  <c:v>1.7000000000000001E-2</c:v>
                </c:pt>
                <c:pt idx="2">
                  <c:v>-3.7000000000000005E-2</c:v>
                </c:pt>
                <c:pt idx="3">
                  <c:v>-1.3000000000000005E-2</c:v>
                </c:pt>
                <c:pt idx="4">
                  <c:v>-4.0000000000000008E-2</c:v>
                </c:pt>
                <c:pt idx="5">
                  <c:v>4.9999999999999989E-2</c:v>
                </c:pt>
                <c:pt idx="6">
                  <c:v>0.122</c:v>
                </c:pt>
                <c:pt idx="7">
                  <c:v>4.5000000000000012E-2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7-4B9B-83BF-EC8F07F67E87}"/>
            </c:ext>
          </c:extLst>
        </c:ser>
        <c:ser>
          <c:idx val="1"/>
          <c:order val="1"/>
          <c:tx>
            <c:strRef>
              <c:f>Sheet1!$EV$14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Sheet1!$EV$15:$EV$22</c:f>
              <c:numCache>
                <c:formatCode>General</c:formatCode>
                <c:ptCount val="8"/>
                <c:pt idx="0">
                  <c:v>2.0000000000000018E-2</c:v>
                </c:pt>
                <c:pt idx="1">
                  <c:v>1.100000000000001E-2</c:v>
                </c:pt>
                <c:pt idx="2">
                  <c:v>-3.400000000000003E-2</c:v>
                </c:pt>
                <c:pt idx="3">
                  <c:v>-1.2000000000000011E-2</c:v>
                </c:pt>
                <c:pt idx="4">
                  <c:v>-7.0000000000000062E-3</c:v>
                </c:pt>
                <c:pt idx="5">
                  <c:v>-4.9000000000000044E-2</c:v>
                </c:pt>
                <c:pt idx="6">
                  <c:v>-4.2000000000000037E-2</c:v>
                </c:pt>
                <c:pt idx="7">
                  <c:v>-3.2000000000000028E-2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7-4B9B-83BF-EC8F07F67E87}"/>
            </c:ext>
          </c:extLst>
        </c:ser>
        <c:ser>
          <c:idx val="2"/>
          <c:order val="2"/>
          <c:tx>
            <c:strRef>
              <c:f>Sheet1!$EW$14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Sheet1!$EW$15:$EW$22</c:f>
              <c:numCache>
                <c:formatCode>General</c:formatCode>
                <c:ptCount val="8"/>
                <c:pt idx="0">
                  <c:v>5.4749999999999993E-2</c:v>
                </c:pt>
                <c:pt idx="1">
                  <c:v>2.4249999999999994E-2</c:v>
                </c:pt>
                <c:pt idx="2">
                  <c:v>-8.6000000000000021E-2</c:v>
                </c:pt>
                <c:pt idx="3">
                  <c:v>-3.5375000000000018E-2</c:v>
                </c:pt>
                <c:pt idx="4">
                  <c:v>-1.2499999999999734E-3</c:v>
                </c:pt>
                <c:pt idx="5">
                  <c:v>-2.8125000000000011E-2</c:v>
                </c:pt>
                <c:pt idx="6">
                  <c:v>-2.9875000000000013E-2</c:v>
                </c:pt>
                <c:pt idx="7">
                  <c:v>-1.1124999999999996E-2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7-4B9B-83BF-EC8F07F67E87}"/>
            </c:ext>
          </c:extLst>
        </c:ser>
        <c:ser>
          <c:idx val="3"/>
          <c:order val="3"/>
          <c:tx>
            <c:strRef>
              <c:f>Sheet1!$EX$14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Sheet1!$EX$15:$EX$22</c:f>
              <c:numCache>
                <c:formatCode>General</c:formatCode>
                <c:ptCount val="8"/>
                <c:pt idx="0">
                  <c:v>3.599999999999999E-2</c:v>
                </c:pt>
                <c:pt idx="1">
                  <c:v>1.0999999999999996E-2</c:v>
                </c:pt>
                <c:pt idx="2">
                  <c:v>-2.7999999999999997E-2</c:v>
                </c:pt>
                <c:pt idx="3">
                  <c:v>-1.4000000000000002E-2</c:v>
                </c:pt>
                <c:pt idx="4">
                  <c:v>-1.0000000000000002E-2</c:v>
                </c:pt>
                <c:pt idx="5">
                  <c:v>1.1999999999999997E-2</c:v>
                </c:pt>
                <c:pt idx="6">
                  <c:v>4.2000000000000003E-2</c:v>
                </c:pt>
                <c:pt idx="7">
                  <c:v>5.9999999999999984E-3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7-4B9B-83BF-EC8F07F6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702783"/>
        <c:axId val="1801914687"/>
      </c:barChart>
      <c:catAx>
        <c:axId val="21097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14687"/>
        <c:crosses val="autoZero"/>
        <c:auto val="1"/>
        <c:lblAlgn val="ctr"/>
        <c:lblOffset val="100"/>
        <c:noMultiLvlLbl val="0"/>
      </c:catAx>
      <c:valAx>
        <c:axId val="18019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</a:t>
            </a:r>
            <a:r>
              <a:rPr lang="en-US" b="1" baseline="0"/>
              <a:t> 1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0.255</c:v>
                </c:pt>
                <c:pt idx="1">
                  <c:v>0.51500000000000001</c:v>
                </c:pt>
                <c:pt idx="2">
                  <c:v>0.4965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8D5-9440-2E8F749C5D80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0.80700000000000005</c:v>
                </c:pt>
                <c:pt idx="1">
                  <c:v>0.68100000000000005</c:v>
                </c:pt>
                <c:pt idx="2">
                  <c:v>0.55349999999999999</c:v>
                </c:pt>
                <c:pt idx="3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4-48D5-9440-2E8F749C5D80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0.748</c:v>
                </c:pt>
                <c:pt idx="1">
                  <c:v>0.58699999999999997</c:v>
                </c:pt>
                <c:pt idx="2">
                  <c:v>0.58750000000000002</c:v>
                </c:pt>
                <c:pt idx="3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4-48D5-9440-2E8F749C5D80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0.77</c:v>
                </c:pt>
                <c:pt idx="2">
                  <c:v>0.56099999999999994</c:v>
                </c:pt>
                <c:pt idx="3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4-48D5-9440-2E8F749C5D80}"/>
            </c:ext>
          </c:extLst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0.70599999999999996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F4-48D5-9440-2E8F749C5D80}"/>
            </c:ext>
          </c:extLst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0.73399999999999999</c:v>
                </c:pt>
                <c:pt idx="2">
                  <c:v>0.59550000000000003</c:v>
                </c:pt>
                <c:pt idx="3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F4-48D5-9440-2E8F749C5D80}"/>
            </c:ext>
          </c:extLst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0.83</c:v>
                </c:pt>
                <c:pt idx="1">
                  <c:v>0.72899999999999998</c:v>
                </c:pt>
                <c:pt idx="2">
                  <c:v>0.59150000000000003</c:v>
                </c:pt>
                <c:pt idx="3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F4-48D5-9440-2E8F749C5D80}"/>
            </c:ext>
          </c:extLst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0.79200000000000004</c:v>
                </c:pt>
                <c:pt idx="1">
                  <c:v>0.71899999999999997</c:v>
                </c:pt>
                <c:pt idx="2">
                  <c:v>0.59050000000000002</c:v>
                </c:pt>
                <c:pt idx="3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F4-48D5-9440-2E8F749C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4511"/>
        <c:axId val="679256607"/>
      </c:barChart>
      <c:catAx>
        <c:axId val="6739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6607"/>
        <c:crosses val="autoZero"/>
        <c:auto val="1"/>
        <c:lblAlgn val="ctr"/>
        <c:lblOffset val="100"/>
        <c:noMultiLvlLbl val="0"/>
      </c:catAx>
      <c:valAx>
        <c:axId val="679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Sheet1!$EU$26:$EU$36</c:f>
              <c:numCache>
                <c:formatCode>General</c:formatCode>
                <c:ptCount val="11"/>
                <c:pt idx="0">
                  <c:v>-6.9999999999998952E-3</c:v>
                </c:pt>
                <c:pt idx="1">
                  <c:v>1.6000000000000014E-2</c:v>
                </c:pt>
                <c:pt idx="2">
                  <c:v>0</c:v>
                </c:pt>
                <c:pt idx="3">
                  <c:v>2.9000000000000137E-2</c:v>
                </c:pt>
                <c:pt idx="4">
                  <c:v>-4.0000000000000036E-2</c:v>
                </c:pt>
                <c:pt idx="5">
                  <c:v>4.9999999999998934E-3</c:v>
                </c:pt>
                <c:pt idx="6">
                  <c:v>1.1000000000000121E-2</c:v>
                </c:pt>
                <c:pt idx="7">
                  <c:v>2.8000000000000025E-2</c:v>
                </c:pt>
                <c:pt idx="8">
                  <c:v>1.6000000000000014E-2</c:v>
                </c:pt>
                <c:pt idx="9">
                  <c:v>1.2999999999999901E-2</c:v>
                </c:pt>
                <c:pt idx="10">
                  <c:v>2.3000000000000131E-2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1-4D02-8425-B1A1042CF9B8}"/>
            </c:ext>
          </c:extLst>
        </c:ser>
        <c:ser>
          <c:idx val="1"/>
          <c:order val="1"/>
          <c:tx>
            <c:strRef>
              <c:f>Sheet1!$EV$25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Sheet1!$EV$26:$EV$36</c:f>
              <c:numCache>
                <c:formatCode>General</c:formatCode>
                <c:ptCount val="11"/>
                <c:pt idx="0">
                  <c:v>-1.1000000000000121E-2</c:v>
                </c:pt>
                <c:pt idx="1">
                  <c:v>2.2999999999999909E-2</c:v>
                </c:pt>
                <c:pt idx="2">
                  <c:v>0</c:v>
                </c:pt>
                <c:pt idx="3">
                  <c:v>4.0000000000000036E-2</c:v>
                </c:pt>
                <c:pt idx="4">
                  <c:v>4.0000000000000036E-2</c:v>
                </c:pt>
                <c:pt idx="5">
                  <c:v>-2.0000000000000018E-3</c:v>
                </c:pt>
                <c:pt idx="6">
                  <c:v>4.9999999999998934E-3</c:v>
                </c:pt>
                <c:pt idx="7">
                  <c:v>4.2999999999999927E-2</c:v>
                </c:pt>
                <c:pt idx="8">
                  <c:v>-2.100000000000013E-2</c:v>
                </c:pt>
                <c:pt idx="9">
                  <c:v>1.2000000000000011E-2</c:v>
                </c:pt>
                <c:pt idx="10">
                  <c:v>2.8000000000000025E-2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1-4D02-8425-B1A1042CF9B8}"/>
            </c:ext>
          </c:extLst>
        </c:ser>
        <c:ser>
          <c:idx val="2"/>
          <c:order val="2"/>
          <c:tx>
            <c:strRef>
              <c:f>Sheet1!$EW$25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Sheet1!$EW$26:$EW$36</c:f>
              <c:numCache>
                <c:formatCode>General</c:formatCode>
                <c:ptCount val="11"/>
                <c:pt idx="0">
                  <c:v>1.0000000000000009E-2</c:v>
                </c:pt>
                <c:pt idx="1">
                  <c:v>-1.8999999999999989E-2</c:v>
                </c:pt>
                <c:pt idx="2">
                  <c:v>0</c:v>
                </c:pt>
                <c:pt idx="3">
                  <c:v>-3.4999999999999976E-2</c:v>
                </c:pt>
                <c:pt idx="4">
                  <c:v>-3.9000000000000007E-2</c:v>
                </c:pt>
                <c:pt idx="5">
                  <c:v>1.0000000000000009E-3</c:v>
                </c:pt>
                <c:pt idx="6">
                  <c:v>-7.000000000000001E-3</c:v>
                </c:pt>
                <c:pt idx="7">
                  <c:v>-4.3000000000000003E-2</c:v>
                </c:pt>
                <c:pt idx="8">
                  <c:v>2.1000000000000005E-2</c:v>
                </c:pt>
                <c:pt idx="9">
                  <c:v>-9.000000000000008E-3</c:v>
                </c:pt>
                <c:pt idx="10">
                  <c:v>-2.3999999999999994E-2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1-4D02-8425-B1A1042C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291023"/>
        <c:axId val="1302766351"/>
      </c:barChart>
      <c:catAx>
        <c:axId val="16972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66351"/>
        <c:crosses val="autoZero"/>
        <c:auto val="1"/>
        <c:lblAlgn val="ctr"/>
        <c:lblOffset val="100"/>
        <c:noMultiLvlLbl val="0"/>
      </c:catAx>
      <c:valAx>
        <c:axId val="13027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Sheet1!$EY$25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Sheet1!$EY$26:$EY$36</c:f>
              <c:numCache>
                <c:formatCode>General</c:formatCode>
                <c:ptCount val="11"/>
                <c:pt idx="0">
                  <c:v>1.0000000000000009E-3</c:v>
                </c:pt>
                <c:pt idx="1">
                  <c:v>-1.8000000000000016E-2</c:v>
                </c:pt>
                <c:pt idx="2">
                  <c:v>0</c:v>
                </c:pt>
                <c:pt idx="3">
                  <c:v>-4.0000000000000036E-3</c:v>
                </c:pt>
                <c:pt idx="4">
                  <c:v>0.16099999999999998</c:v>
                </c:pt>
                <c:pt idx="5">
                  <c:v>1.9000000000000017E-2</c:v>
                </c:pt>
                <c:pt idx="6">
                  <c:v>1.6000000000000014E-2</c:v>
                </c:pt>
                <c:pt idx="7">
                  <c:v>2.7000000000000024E-2</c:v>
                </c:pt>
                <c:pt idx="8">
                  <c:v>-8.0000000000000071E-3</c:v>
                </c:pt>
                <c:pt idx="9">
                  <c:v>-2.6999999999999968E-2</c:v>
                </c:pt>
                <c:pt idx="10">
                  <c:v>-2.0000000000000018E-3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9-48C1-BFB5-7E7A756DCAD1}"/>
            </c:ext>
          </c:extLst>
        </c:ser>
        <c:ser>
          <c:idx val="1"/>
          <c:order val="1"/>
          <c:tx>
            <c:strRef>
              <c:f>Sheet1!$EZ$25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Sheet1!$EZ$26:$EZ$36</c:f>
              <c:numCache>
                <c:formatCode>General</c:formatCode>
                <c:ptCount val="11"/>
                <c:pt idx="0">
                  <c:v>2.5000000000000022E-3</c:v>
                </c:pt>
                <c:pt idx="1">
                  <c:v>-2.3499999999999965E-2</c:v>
                </c:pt>
                <c:pt idx="2">
                  <c:v>0</c:v>
                </c:pt>
                <c:pt idx="3">
                  <c:v>-1.4250000000000013E-2</c:v>
                </c:pt>
                <c:pt idx="4">
                  <c:v>1.6999999999999987E-2</c:v>
                </c:pt>
                <c:pt idx="5">
                  <c:v>2.5374999999999981E-2</c:v>
                </c:pt>
                <c:pt idx="6">
                  <c:v>-4.937500000000003E-2</c:v>
                </c:pt>
                <c:pt idx="7">
                  <c:v>-1.0000000000000009E-2</c:v>
                </c:pt>
                <c:pt idx="8">
                  <c:v>1.3625000000000026E-2</c:v>
                </c:pt>
                <c:pt idx="9">
                  <c:v>-7.2499999999999787E-3</c:v>
                </c:pt>
                <c:pt idx="10">
                  <c:v>2.9749999999999971E-2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9-48C1-BFB5-7E7A756DCAD1}"/>
            </c:ext>
          </c:extLst>
        </c:ser>
        <c:ser>
          <c:idx val="2"/>
          <c:order val="2"/>
          <c:tx>
            <c:strRef>
              <c:f>Sheet1!$FA$25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Sheet1!$FA$26:$FA$36</c:f>
              <c:numCache>
                <c:formatCode>General</c:formatCode>
                <c:ptCount val="11"/>
                <c:pt idx="0">
                  <c:v>-2.9999999999999888E-3</c:v>
                </c:pt>
                <c:pt idx="1">
                  <c:v>-1.999999999999999E-2</c:v>
                </c:pt>
                <c:pt idx="2">
                  <c:v>0</c:v>
                </c:pt>
                <c:pt idx="3">
                  <c:v>-1.0000000000000009E-3</c:v>
                </c:pt>
                <c:pt idx="4">
                  <c:v>5.3000000000000005E-2</c:v>
                </c:pt>
                <c:pt idx="5">
                  <c:v>2.3999999999999994E-2</c:v>
                </c:pt>
                <c:pt idx="6">
                  <c:v>-1.9000000000000017E-2</c:v>
                </c:pt>
                <c:pt idx="7">
                  <c:v>5.0000000000000044E-3</c:v>
                </c:pt>
                <c:pt idx="8">
                  <c:v>-8.9999999999999941E-3</c:v>
                </c:pt>
                <c:pt idx="9">
                  <c:v>-1.0999999999999996E-2</c:v>
                </c:pt>
                <c:pt idx="10">
                  <c:v>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9-48C1-BFB5-7E7A756D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884143"/>
        <c:axId val="1688593311"/>
      </c:barChart>
      <c:catAx>
        <c:axId val="1801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3311"/>
        <c:crosses val="autoZero"/>
        <c:auto val="1"/>
        <c:lblAlgn val="ctr"/>
        <c:lblOffset val="100"/>
        <c:noMultiLvlLbl val="0"/>
      </c:catAx>
      <c:valAx>
        <c:axId val="16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Death Within 1 Year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Sheet1!$EU$40:$EU$47</c:f>
              <c:numCache>
                <c:formatCode>General</c:formatCode>
                <c:ptCount val="8"/>
                <c:pt idx="0">
                  <c:v>-1.0000000000000009E-3</c:v>
                </c:pt>
                <c:pt idx="1">
                  <c:v>-2.9000000000000026E-2</c:v>
                </c:pt>
                <c:pt idx="2">
                  <c:v>3.400000000000003E-2</c:v>
                </c:pt>
                <c:pt idx="3">
                  <c:v>-3.9000000000000035E-2</c:v>
                </c:pt>
                <c:pt idx="4">
                  <c:v>-2.5000000000000022E-2</c:v>
                </c:pt>
                <c:pt idx="5">
                  <c:v>-4.1000000000000036E-2</c:v>
                </c:pt>
                <c:pt idx="6">
                  <c:v>-2.200000000000002E-2</c:v>
                </c:pt>
                <c:pt idx="7">
                  <c:v>-1.8000000000000016E-2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7-4D0B-B72A-F58719658645}"/>
            </c:ext>
          </c:extLst>
        </c:ser>
        <c:ser>
          <c:idx val="1"/>
          <c:order val="1"/>
          <c:tx>
            <c:strRef>
              <c:f>Sheet1!$EV$39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Sheet1!$EV$40:$EV$47</c:f>
              <c:numCache>
                <c:formatCode>General</c:formatCode>
                <c:ptCount val="8"/>
                <c:pt idx="0">
                  <c:v>8.0000000000000071E-3</c:v>
                </c:pt>
                <c:pt idx="1">
                  <c:v>-3.499999999999992E-2</c:v>
                </c:pt>
                <c:pt idx="2">
                  <c:v>1.8999999999999906E-2</c:v>
                </c:pt>
                <c:pt idx="3">
                  <c:v>-4.1000000000000036E-2</c:v>
                </c:pt>
                <c:pt idx="4">
                  <c:v>-3.1000000000000028E-2</c:v>
                </c:pt>
                <c:pt idx="5">
                  <c:v>-3.400000000000003E-2</c:v>
                </c:pt>
                <c:pt idx="6">
                  <c:v>-4.4000000000000039E-2</c:v>
                </c:pt>
                <c:pt idx="7">
                  <c:v>-2.1000000000000019E-2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7-4D0B-B72A-F58719658645}"/>
            </c:ext>
          </c:extLst>
        </c:ser>
        <c:ser>
          <c:idx val="2"/>
          <c:order val="2"/>
          <c:tx>
            <c:strRef>
              <c:f>Sheet1!$EW$39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Sheet1!$EW$40:$EW$47</c:f>
              <c:numCache>
                <c:formatCode>General</c:formatCode>
                <c:ptCount val="8"/>
                <c:pt idx="0">
                  <c:v>0.10150000000000003</c:v>
                </c:pt>
                <c:pt idx="1">
                  <c:v>-2.0499999999999963E-2</c:v>
                </c:pt>
                <c:pt idx="2">
                  <c:v>5.9500000000000108E-2</c:v>
                </c:pt>
                <c:pt idx="3">
                  <c:v>-2.9499999999999971E-2</c:v>
                </c:pt>
                <c:pt idx="4">
                  <c:v>-2.0000000000000018E-2</c:v>
                </c:pt>
                <c:pt idx="5">
                  <c:v>-4.7499999999999987E-2</c:v>
                </c:pt>
                <c:pt idx="6">
                  <c:v>-5.4999999999999494E-3</c:v>
                </c:pt>
                <c:pt idx="7">
                  <c:v>-9.000000000000119E-3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7-4D0B-B72A-F58719658645}"/>
            </c:ext>
          </c:extLst>
        </c:ser>
        <c:ser>
          <c:idx val="3"/>
          <c:order val="3"/>
          <c:tx>
            <c:strRef>
              <c:f>Sheet1!$EX$39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Sheet1!$EX$40:$EX$47</c:f>
              <c:numCache>
                <c:formatCode>General</c:formatCode>
                <c:ptCount val="8"/>
                <c:pt idx="0">
                  <c:v>0.152</c:v>
                </c:pt>
                <c:pt idx="1">
                  <c:v>0.5</c:v>
                </c:pt>
                <c:pt idx="2">
                  <c:v>7.6999999999999985E-2</c:v>
                </c:pt>
                <c:pt idx="3">
                  <c:v>-5.2000000000000018E-2</c:v>
                </c:pt>
                <c:pt idx="4">
                  <c:v>-2.5999999999999995E-2</c:v>
                </c:pt>
                <c:pt idx="5">
                  <c:v>-6.2E-2</c:v>
                </c:pt>
                <c:pt idx="6">
                  <c:v>-2.300000000000002E-2</c:v>
                </c:pt>
                <c:pt idx="7">
                  <c:v>-1.2000000000000011E-2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7-4D0B-B72A-F5871965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28911"/>
        <c:axId val="1842436223"/>
      </c:barChart>
      <c:catAx>
        <c:axId val="1804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36223"/>
        <c:crosses val="autoZero"/>
        <c:auto val="1"/>
        <c:lblAlgn val="ctr"/>
        <c:lblOffset val="100"/>
        <c:noMultiLvlLbl val="0"/>
      </c:catAx>
      <c:valAx>
        <c:axId val="18424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Days in the ICU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Sheet1!$EU$51:$EU$61</c:f>
              <c:numCache>
                <c:formatCode>General</c:formatCode>
                <c:ptCount val="11"/>
                <c:pt idx="0">
                  <c:v>2033311975.8369999</c:v>
                </c:pt>
                <c:pt idx="1">
                  <c:v>0</c:v>
                </c:pt>
                <c:pt idx="2">
                  <c:v>0</c:v>
                </c:pt>
                <c:pt idx="3">
                  <c:v>1.0000000000000009E-3</c:v>
                </c:pt>
                <c:pt idx="4">
                  <c:v>-2.6999999999999913E-2</c:v>
                </c:pt>
                <c:pt idx="5">
                  <c:v>1.0999999999999899E-2</c:v>
                </c:pt>
                <c:pt idx="6">
                  <c:v>1.100000000000001E-2</c:v>
                </c:pt>
                <c:pt idx="7">
                  <c:v>1.7999999999999905E-2</c:v>
                </c:pt>
                <c:pt idx="8">
                  <c:v>0</c:v>
                </c:pt>
                <c:pt idx="9">
                  <c:v>-1.2000000000000011E-2</c:v>
                </c:pt>
                <c:pt idx="10">
                  <c:v>1.032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2CD-A227-5710F4F19D5E}"/>
            </c:ext>
          </c:extLst>
        </c:ser>
        <c:ser>
          <c:idx val="1"/>
          <c:order val="1"/>
          <c:tx>
            <c:strRef>
              <c:f>Sheet1!$EV$50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Sheet1!$EV$51:$EV$61</c:f>
              <c:numCache>
                <c:formatCode>General</c:formatCode>
                <c:ptCount val="11"/>
                <c:pt idx="0">
                  <c:v>18750848352.025002</c:v>
                </c:pt>
                <c:pt idx="1">
                  <c:v>-1.0000000000000009E-2</c:v>
                </c:pt>
                <c:pt idx="2">
                  <c:v>0</c:v>
                </c:pt>
                <c:pt idx="3">
                  <c:v>-1.8000000000000016E-2</c:v>
                </c:pt>
                <c:pt idx="4">
                  <c:v>1.8000000000000016E-2</c:v>
                </c:pt>
                <c:pt idx="5">
                  <c:v>-8.0000000000000071E-3</c:v>
                </c:pt>
                <c:pt idx="6">
                  <c:v>2.0000000000000018E-3</c:v>
                </c:pt>
                <c:pt idx="7">
                  <c:v>-8.0000000000000071E-3</c:v>
                </c:pt>
                <c:pt idx="8">
                  <c:v>-1.7000000000000126E-2</c:v>
                </c:pt>
                <c:pt idx="9">
                  <c:v>-1.5000000000000124E-2</c:v>
                </c:pt>
                <c:pt idx="10">
                  <c:v>-8.2000000000000073E-2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2CD-A227-5710F4F19D5E}"/>
            </c:ext>
          </c:extLst>
        </c:ser>
        <c:ser>
          <c:idx val="2"/>
          <c:order val="2"/>
          <c:tx>
            <c:strRef>
              <c:f>Sheet1!$EW$50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Sheet1!$EW$51:$EW$61</c:f>
              <c:numCache>
                <c:formatCode>General</c:formatCode>
                <c:ptCount val="11"/>
                <c:pt idx="0">
                  <c:v>-1.020010750677562E+21</c:v>
                </c:pt>
                <c:pt idx="1">
                  <c:v>1.1000000000000003E-2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-2.1999999999999999E-2</c:v>
                </c:pt>
                <c:pt idx="5">
                  <c:v>1.0000000000000002E-2</c:v>
                </c:pt>
                <c:pt idx="6">
                  <c:v>-9.9999999999999915E-4</c:v>
                </c:pt>
                <c:pt idx="7">
                  <c:v>6.0000000000000001E-3</c:v>
                </c:pt>
                <c:pt idx="8">
                  <c:v>0.02</c:v>
                </c:pt>
                <c:pt idx="9">
                  <c:v>1.8999999999999996E-2</c:v>
                </c:pt>
                <c:pt idx="10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2CD-A227-5710F4F1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329983"/>
        <c:axId val="1974107631"/>
      </c:barChart>
      <c:catAx>
        <c:axId val="2112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7631"/>
        <c:crosses val="autoZero"/>
        <c:auto val="1"/>
        <c:lblAlgn val="ctr"/>
        <c:lblOffset val="100"/>
        <c:noMultiLvlLbl val="0"/>
      </c:catAx>
      <c:valAx>
        <c:axId val="1974107631"/>
        <c:scaling>
          <c:orientation val="minMax"/>
          <c:max val="1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 - Existence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Sheet1!$FL$4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Sheet1!$FM$4:$FR$4</c:f>
              <c:numCache>
                <c:formatCode>General</c:formatCode>
                <c:ptCount val="6"/>
                <c:pt idx="0">
                  <c:v>0.64300000000000002</c:v>
                </c:pt>
                <c:pt idx="1">
                  <c:v>0.66400000000000003</c:v>
                </c:pt>
                <c:pt idx="2">
                  <c:v>0.64800000000000002</c:v>
                </c:pt>
                <c:pt idx="3">
                  <c:v>0.64800000000000002</c:v>
                </c:pt>
                <c:pt idx="4">
                  <c:v>0.65500000000000003</c:v>
                </c:pt>
                <c:pt idx="5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B-4F1D-8FE8-DE0FE376090D}"/>
            </c:ext>
          </c:extLst>
        </c:ser>
        <c:ser>
          <c:idx val="1"/>
          <c:order val="1"/>
          <c:tx>
            <c:strRef>
              <c:f>Sheet1!$FL$5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Sheet1!$FM$5:$FR$5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0.60099999999999998</c:v>
                </c:pt>
                <c:pt idx="2">
                  <c:v>0.628</c:v>
                </c:pt>
                <c:pt idx="3">
                  <c:v>0.64400000000000002</c:v>
                </c:pt>
                <c:pt idx="4">
                  <c:v>0.66600000000000004</c:v>
                </c:pt>
                <c:pt idx="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B-4F1D-8FE8-DE0FE376090D}"/>
            </c:ext>
          </c:extLst>
        </c:ser>
        <c:ser>
          <c:idx val="2"/>
          <c:order val="2"/>
          <c:tx>
            <c:strRef>
              <c:f>Sheet1!$FL$6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Sheet1!$FM$6:$FR$6</c:f>
              <c:numCache>
                <c:formatCode>General</c:formatCode>
                <c:ptCount val="6"/>
                <c:pt idx="0">
                  <c:v>0.60899999999999999</c:v>
                </c:pt>
                <c:pt idx="1">
                  <c:v>0.62</c:v>
                </c:pt>
                <c:pt idx="2">
                  <c:v>0.625</c:v>
                </c:pt>
                <c:pt idx="3">
                  <c:v>0.65700000000000003</c:v>
                </c:pt>
                <c:pt idx="4">
                  <c:v>0.64900000000000002</c:v>
                </c:pt>
                <c:pt idx="5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B-4F1D-8FE8-DE0FE376090D}"/>
            </c:ext>
          </c:extLst>
        </c:ser>
        <c:ser>
          <c:idx val="3"/>
          <c:order val="3"/>
          <c:tx>
            <c:strRef>
              <c:f>Sheet1!$FL$7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Sheet1!$FM$7:$FR$7</c:f>
              <c:numCache>
                <c:formatCode>General</c:formatCode>
                <c:ptCount val="6"/>
                <c:pt idx="0">
                  <c:v>0.65900000000000003</c:v>
                </c:pt>
                <c:pt idx="1">
                  <c:v>0.64600000000000002</c:v>
                </c:pt>
                <c:pt idx="2">
                  <c:v>0.63800000000000001</c:v>
                </c:pt>
                <c:pt idx="3">
                  <c:v>0.65</c:v>
                </c:pt>
                <c:pt idx="4">
                  <c:v>0.64800000000000002</c:v>
                </c:pt>
                <c:pt idx="5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B-4F1D-8FE8-DE0FE376090D}"/>
            </c:ext>
          </c:extLst>
        </c:ser>
        <c:ser>
          <c:idx val="4"/>
          <c:order val="4"/>
          <c:tx>
            <c:strRef>
              <c:f>Sheet1!$FL$8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Sheet1!$FM$8:$FR$8</c:f>
              <c:numCache>
                <c:formatCode>General</c:formatCode>
                <c:ptCount val="6"/>
                <c:pt idx="0">
                  <c:v>0.65700000000000003</c:v>
                </c:pt>
                <c:pt idx="1">
                  <c:v>0.64600000000000002</c:v>
                </c:pt>
                <c:pt idx="2">
                  <c:v>0.66200000000000003</c:v>
                </c:pt>
                <c:pt idx="3">
                  <c:v>0.68</c:v>
                </c:pt>
                <c:pt idx="4">
                  <c:v>0.68799999999999994</c:v>
                </c:pt>
                <c:pt idx="5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B-4F1D-8FE8-DE0FE376090D}"/>
            </c:ext>
          </c:extLst>
        </c:ser>
        <c:ser>
          <c:idx val="5"/>
          <c:order val="5"/>
          <c:tx>
            <c:strRef>
              <c:f>Sheet1!$FL$9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Sheet1!$FM$9:$FR$9</c:f>
              <c:numCache>
                <c:formatCode>General</c:formatCode>
                <c:ptCount val="6"/>
                <c:pt idx="0">
                  <c:v>0.67600000000000005</c:v>
                </c:pt>
                <c:pt idx="1">
                  <c:v>0.65200000000000002</c:v>
                </c:pt>
                <c:pt idx="2">
                  <c:v>0.65500000000000003</c:v>
                </c:pt>
                <c:pt idx="3">
                  <c:v>0.67</c:v>
                </c:pt>
                <c:pt idx="4">
                  <c:v>0.68700000000000006</c:v>
                </c:pt>
                <c:pt idx="5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AB-4F1D-8FE8-DE0FE376090D}"/>
            </c:ext>
          </c:extLst>
        </c:ser>
        <c:ser>
          <c:idx val="6"/>
          <c:order val="6"/>
          <c:tx>
            <c:strRef>
              <c:f>Sheet1!$FL$10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Sheet1!$FM$10:$FR$10</c:f>
              <c:numCache>
                <c:formatCode>General</c:formatCode>
                <c:ptCount val="6"/>
                <c:pt idx="0">
                  <c:v>0.65600000000000003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0.65100000000000002</c:v>
                </c:pt>
                <c:pt idx="4">
                  <c:v>0.66800000000000004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AB-4F1D-8FE8-DE0FE376090D}"/>
            </c:ext>
          </c:extLst>
        </c:ser>
        <c:ser>
          <c:idx val="7"/>
          <c:order val="7"/>
          <c:tx>
            <c:strRef>
              <c:f>Sheet1!$FL$11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Sheet1!$FM$11:$FR$11</c:f>
              <c:numCache>
                <c:formatCode>General</c:formatCode>
                <c:ptCount val="6"/>
                <c:pt idx="0">
                  <c:v>0.61599999999999999</c:v>
                </c:pt>
                <c:pt idx="1">
                  <c:v>0.64600000000000002</c:v>
                </c:pt>
                <c:pt idx="2">
                  <c:v>0.66</c:v>
                </c:pt>
                <c:pt idx="3">
                  <c:v>0.66</c:v>
                </c:pt>
                <c:pt idx="4">
                  <c:v>0.67700000000000005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AB-4F1D-8FE8-DE0FE376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506112"/>
        <c:axId val="1984643248"/>
      </c:lineChart>
      <c:catAx>
        <c:axId val="1974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3248"/>
        <c:crosses val="autoZero"/>
        <c:auto val="1"/>
        <c:lblAlgn val="ctr"/>
        <c:lblOffset val="100"/>
        <c:noMultiLvlLbl val="0"/>
      </c:catAx>
      <c:valAx>
        <c:axId val="1984643248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Sheet1!$GA$4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Sheet1!$GB$4:$GG$4</c:f>
              <c:numCache>
                <c:formatCode>General</c:formatCode>
                <c:ptCount val="6"/>
                <c:pt idx="0">
                  <c:v>0.71</c:v>
                </c:pt>
                <c:pt idx="1">
                  <c:v>0.71099999999999997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0.71</c:v>
                </c:pt>
                <c:pt idx="5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3-4A94-8760-476D09706FEA}"/>
            </c:ext>
          </c:extLst>
        </c:ser>
        <c:ser>
          <c:idx val="1"/>
          <c:order val="1"/>
          <c:tx>
            <c:strRef>
              <c:f>Sheet1!$GA$5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Sheet1!$GB$5:$GG$5</c:f>
              <c:numCache>
                <c:formatCode>General</c:formatCode>
                <c:ptCount val="6"/>
                <c:pt idx="0">
                  <c:v>0.63600000000000001</c:v>
                </c:pt>
                <c:pt idx="1">
                  <c:v>0.64700000000000002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0.70199999999999996</c:v>
                </c:pt>
                <c:pt idx="5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3-4A94-8760-476D09706FEA}"/>
            </c:ext>
          </c:extLst>
        </c:ser>
        <c:ser>
          <c:idx val="2"/>
          <c:order val="2"/>
          <c:tx>
            <c:strRef>
              <c:f>Sheet1!$GA$6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Sheet1!$GB$6:$GG$6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0.62</c:v>
                </c:pt>
                <c:pt idx="2">
                  <c:v>0.626</c:v>
                </c:pt>
                <c:pt idx="3">
                  <c:v>0.68799999999999994</c:v>
                </c:pt>
                <c:pt idx="4">
                  <c:v>0.69599999999999995</c:v>
                </c:pt>
                <c:pt idx="5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3-4A94-8760-476D09706FEA}"/>
            </c:ext>
          </c:extLst>
        </c:ser>
        <c:ser>
          <c:idx val="3"/>
          <c:order val="3"/>
          <c:tx>
            <c:strRef>
              <c:f>Sheet1!$GA$7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Sheet1!$GB$7:$GG$7</c:f>
              <c:numCache>
                <c:formatCode>General</c:formatCode>
                <c:ptCount val="6"/>
                <c:pt idx="0">
                  <c:v>0.73</c:v>
                </c:pt>
                <c:pt idx="1">
                  <c:v>0.70799999999999996</c:v>
                </c:pt>
                <c:pt idx="2">
                  <c:v>0.71099999999999997</c:v>
                </c:pt>
                <c:pt idx="3">
                  <c:v>0.69599999999999995</c:v>
                </c:pt>
                <c:pt idx="4">
                  <c:v>0.71399999999999997</c:v>
                </c:pt>
                <c:pt idx="5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3-4A94-8760-476D09706FEA}"/>
            </c:ext>
          </c:extLst>
        </c:ser>
        <c:ser>
          <c:idx val="4"/>
          <c:order val="4"/>
          <c:tx>
            <c:strRef>
              <c:f>Sheet1!$GA$8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Sheet1!$GB$8:$GG$8</c:f>
              <c:numCache>
                <c:formatCode>General</c:formatCode>
                <c:ptCount val="6"/>
                <c:pt idx="0">
                  <c:v>0.70699999999999996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0.71599999999999997</c:v>
                </c:pt>
                <c:pt idx="4">
                  <c:v>0.73199999999999998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3-4A94-8760-476D09706FEA}"/>
            </c:ext>
          </c:extLst>
        </c:ser>
        <c:ser>
          <c:idx val="5"/>
          <c:order val="5"/>
          <c:tx>
            <c:strRef>
              <c:f>Sheet1!$GA$9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Sheet1!$GB$9:$GG$9</c:f>
              <c:numCache>
                <c:formatCode>General</c:formatCode>
                <c:ptCount val="6"/>
                <c:pt idx="0">
                  <c:v>0.70499999999999996</c:v>
                </c:pt>
                <c:pt idx="1">
                  <c:v>0.68500000000000005</c:v>
                </c:pt>
                <c:pt idx="2">
                  <c:v>0.70799999999999996</c:v>
                </c:pt>
                <c:pt idx="3">
                  <c:v>0.72199999999999998</c:v>
                </c:pt>
                <c:pt idx="4">
                  <c:v>0.72899999999999998</c:v>
                </c:pt>
                <c:pt idx="5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3-4A94-8760-476D09706FEA}"/>
            </c:ext>
          </c:extLst>
        </c:ser>
        <c:ser>
          <c:idx val="6"/>
          <c:order val="6"/>
          <c:tx>
            <c:strRef>
              <c:f>Sheet1!$GA$10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Sheet1!$GB$10:$GG$10</c:f>
              <c:numCache>
                <c:formatCode>General</c:formatCode>
                <c:ptCount val="6"/>
                <c:pt idx="0">
                  <c:v>0.70799999999999996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0.70399999999999996</c:v>
                </c:pt>
                <c:pt idx="4">
                  <c:v>0.71099999999999997</c:v>
                </c:pt>
                <c:pt idx="5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3-4A94-8760-476D09706FEA}"/>
            </c:ext>
          </c:extLst>
        </c:ser>
        <c:ser>
          <c:idx val="7"/>
          <c:order val="7"/>
          <c:tx>
            <c:strRef>
              <c:f>Sheet1!$GA$11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Sheet1!$GB$11:$GG$11</c:f>
              <c:numCache>
                <c:formatCode>General</c:formatCode>
                <c:ptCount val="6"/>
                <c:pt idx="0">
                  <c:v>0.67200000000000004</c:v>
                </c:pt>
                <c:pt idx="1">
                  <c:v>0.69799999999999995</c:v>
                </c:pt>
                <c:pt idx="2">
                  <c:v>0.70699999999999996</c:v>
                </c:pt>
                <c:pt idx="3">
                  <c:v>0.71499999999999997</c:v>
                </c:pt>
                <c:pt idx="4">
                  <c:v>0.70399999999999996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3-4A94-8760-476D0970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0768"/>
        <c:axId val="2012582992"/>
      </c:lineChart>
      <c:catAx>
        <c:axId val="1774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82992"/>
        <c:crosses val="autoZero"/>
        <c:auto val="1"/>
        <c:lblAlgn val="ctr"/>
        <c:lblOffset val="100"/>
        <c:noMultiLvlLbl val="0"/>
      </c:catAx>
      <c:valAx>
        <c:axId val="2012582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Sheet1!$GP$4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Sheet1!$GQ$4:$GV$4</c:f>
              <c:numCache>
                <c:formatCode>General</c:formatCode>
                <c:ptCount val="6"/>
                <c:pt idx="0">
                  <c:v>0.61499999999999999</c:v>
                </c:pt>
                <c:pt idx="1">
                  <c:v>0.64100000000000001</c:v>
                </c:pt>
                <c:pt idx="2">
                  <c:v>0.62150000000000005</c:v>
                </c:pt>
                <c:pt idx="3">
                  <c:v>0.62150000000000005</c:v>
                </c:pt>
                <c:pt idx="4">
                  <c:v>0.62750000000000006</c:v>
                </c:pt>
                <c:pt idx="5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0-44C7-AC4D-86A4532CD952}"/>
            </c:ext>
          </c:extLst>
        </c:ser>
        <c:ser>
          <c:idx val="1"/>
          <c:order val="1"/>
          <c:tx>
            <c:strRef>
              <c:f>Sheet1!$GP$5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Sheet1!$GQ$5:$GV$5</c:f>
              <c:numCache>
                <c:formatCode>General</c:formatCode>
                <c:ptCount val="6"/>
                <c:pt idx="0">
                  <c:v>0.59750000000000003</c:v>
                </c:pt>
                <c:pt idx="1">
                  <c:v>0.60349999999999993</c:v>
                </c:pt>
                <c:pt idx="2">
                  <c:v>0.63549999999999995</c:v>
                </c:pt>
                <c:pt idx="3">
                  <c:v>0.64450000000000007</c:v>
                </c:pt>
                <c:pt idx="4">
                  <c:v>0.64900000000000002</c:v>
                </c:pt>
                <c:pt idx="5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0-44C7-AC4D-86A4532CD952}"/>
            </c:ext>
          </c:extLst>
        </c:ser>
        <c:ser>
          <c:idx val="2"/>
          <c:order val="2"/>
          <c:tx>
            <c:strRef>
              <c:f>Sheet1!$GP$6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Sheet1!$GQ$6:$GV$6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0.61949999999999994</c:v>
                </c:pt>
                <c:pt idx="2">
                  <c:v>0.626</c:v>
                </c:pt>
                <c:pt idx="3">
                  <c:v>0.65749999999999997</c:v>
                </c:pt>
                <c:pt idx="4">
                  <c:v>0.64500000000000002</c:v>
                </c:pt>
                <c:pt idx="5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0-44C7-AC4D-86A4532CD952}"/>
            </c:ext>
          </c:extLst>
        </c:ser>
        <c:ser>
          <c:idx val="3"/>
          <c:order val="3"/>
          <c:tx>
            <c:strRef>
              <c:f>Sheet1!$GP$7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Sheet1!$GQ$7:$GV$7</c:f>
              <c:numCache>
                <c:formatCode>General</c:formatCode>
                <c:ptCount val="6"/>
                <c:pt idx="0">
                  <c:v>0.64900000000000002</c:v>
                </c:pt>
                <c:pt idx="1">
                  <c:v>0.64800000000000002</c:v>
                </c:pt>
                <c:pt idx="2">
                  <c:v>0.63949999999999996</c:v>
                </c:pt>
                <c:pt idx="3">
                  <c:v>0.65349999999999997</c:v>
                </c:pt>
                <c:pt idx="4">
                  <c:v>0.64700000000000002</c:v>
                </c:pt>
                <c:pt idx="5">
                  <c:v>0.64349999999999996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0-44C7-AC4D-86A4532CD952}"/>
            </c:ext>
          </c:extLst>
        </c:ser>
        <c:ser>
          <c:idx val="4"/>
          <c:order val="4"/>
          <c:tx>
            <c:strRef>
              <c:f>Sheet1!$GP$8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Sheet1!$GQ$8:$GV$8</c:f>
              <c:numCache>
                <c:formatCode>General</c:formatCode>
                <c:ptCount val="6"/>
                <c:pt idx="0">
                  <c:v>0.63700000000000001</c:v>
                </c:pt>
                <c:pt idx="1">
                  <c:v>0.64100000000000001</c:v>
                </c:pt>
                <c:pt idx="2">
                  <c:v>0.65900000000000003</c:v>
                </c:pt>
                <c:pt idx="3">
                  <c:v>0.67700000000000005</c:v>
                </c:pt>
                <c:pt idx="4">
                  <c:v>0.68199999999999994</c:v>
                </c:pt>
                <c:pt idx="5">
                  <c:v>0.65399999999999991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0-44C7-AC4D-86A4532CD952}"/>
            </c:ext>
          </c:extLst>
        </c:ser>
        <c:ser>
          <c:idx val="5"/>
          <c:order val="5"/>
          <c:tx>
            <c:strRef>
              <c:f>Sheet1!$GP$9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Sheet1!$GQ$9:$GV$9</c:f>
              <c:numCache>
                <c:formatCode>General</c:formatCode>
                <c:ptCount val="6"/>
                <c:pt idx="0">
                  <c:v>0.66599999999999993</c:v>
                </c:pt>
                <c:pt idx="1">
                  <c:v>0.65050000000000008</c:v>
                </c:pt>
                <c:pt idx="2">
                  <c:v>0.65200000000000002</c:v>
                </c:pt>
                <c:pt idx="3">
                  <c:v>0.66700000000000004</c:v>
                </c:pt>
                <c:pt idx="4">
                  <c:v>0.68149999999999999</c:v>
                </c:pt>
                <c:pt idx="5">
                  <c:v>0.65349999999999997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0-44C7-AC4D-86A4532CD952}"/>
            </c:ext>
          </c:extLst>
        </c:ser>
        <c:ser>
          <c:idx val="6"/>
          <c:order val="6"/>
          <c:tx>
            <c:strRef>
              <c:f>Sheet1!$GP$10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Sheet1!$GQ$10:$GV$10</c:f>
              <c:numCache>
                <c:formatCode>General</c:formatCode>
                <c:ptCount val="6"/>
                <c:pt idx="0">
                  <c:v>0.64849999999999997</c:v>
                </c:pt>
                <c:pt idx="1">
                  <c:v>0.64600000000000002</c:v>
                </c:pt>
                <c:pt idx="2">
                  <c:v>0.64600000000000002</c:v>
                </c:pt>
                <c:pt idx="3">
                  <c:v>0.65300000000000002</c:v>
                </c:pt>
                <c:pt idx="4">
                  <c:v>0.66500000000000004</c:v>
                </c:pt>
                <c:pt idx="5">
                  <c:v>0.64149999999999996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0-44C7-AC4D-86A4532CD952}"/>
            </c:ext>
          </c:extLst>
        </c:ser>
        <c:ser>
          <c:idx val="7"/>
          <c:order val="7"/>
          <c:tx>
            <c:strRef>
              <c:f>Sheet1!$GP$11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Sheet1!$GQ$11:$GV$11</c:f>
              <c:numCache>
                <c:formatCode>General</c:formatCode>
                <c:ptCount val="6"/>
                <c:pt idx="0">
                  <c:v>0.60950000000000004</c:v>
                </c:pt>
                <c:pt idx="1">
                  <c:v>0.64549999999999996</c:v>
                </c:pt>
                <c:pt idx="2">
                  <c:v>0.65850000000000009</c:v>
                </c:pt>
                <c:pt idx="3">
                  <c:v>0.66399999999999992</c:v>
                </c:pt>
                <c:pt idx="4">
                  <c:v>0.67399999999999993</c:v>
                </c:pt>
                <c:pt idx="5">
                  <c:v>0.65049999999999997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0-44C7-AC4D-86A4532C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4144"/>
        <c:axId val="2012638320"/>
      </c:lineChart>
      <c:catAx>
        <c:axId val="853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38320"/>
        <c:crosses val="autoZero"/>
        <c:auto val="1"/>
        <c:lblAlgn val="ctr"/>
        <c:lblOffset val="100"/>
        <c:noMultiLvlLbl val="0"/>
      </c:catAx>
      <c:valAx>
        <c:axId val="2012638320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  <a:r>
              <a:rPr lang="en-US" baseline="0"/>
              <a:t> - Existence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Sheet1!$HE$4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Sheet1!$HF$4:$HK$4</c:f>
              <c:numCache>
                <c:formatCode>General</c:formatCode>
                <c:ptCount val="6"/>
                <c:pt idx="0">
                  <c:v>0.24</c:v>
                </c:pt>
                <c:pt idx="1">
                  <c:v>0.29299999999999998</c:v>
                </c:pt>
                <c:pt idx="2">
                  <c:v>0.254</c:v>
                </c:pt>
                <c:pt idx="3">
                  <c:v>0.254</c:v>
                </c:pt>
                <c:pt idx="4">
                  <c:v>0.26700000000000002</c:v>
                </c:pt>
                <c:pt idx="5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7-41A1-B288-55D1F73795AC}"/>
            </c:ext>
          </c:extLst>
        </c:ser>
        <c:ser>
          <c:idx val="1"/>
          <c:order val="1"/>
          <c:tx>
            <c:strRef>
              <c:f>Sheet1!$HE$5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Sheet1!$HF$5:$HK$5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0.20499999999999999</c:v>
                </c:pt>
                <c:pt idx="2">
                  <c:v>0.26500000000000001</c:v>
                </c:pt>
                <c:pt idx="3">
                  <c:v>0.28699999999999998</c:v>
                </c:pt>
                <c:pt idx="4">
                  <c:v>0.30599999999999999</c:v>
                </c:pt>
                <c:pt idx="5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7-41A1-B288-55D1F73795AC}"/>
            </c:ext>
          </c:extLst>
        </c:ser>
        <c:ser>
          <c:idx val="2"/>
          <c:order val="2"/>
          <c:tx>
            <c:strRef>
              <c:f>Sheet1!$HE$6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Sheet1!$HF$6:$HK$6</c:f>
              <c:numCache>
                <c:formatCode>General</c:formatCode>
                <c:ptCount val="6"/>
                <c:pt idx="0">
                  <c:v>0.21</c:v>
                </c:pt>
                <c:pt idx="1">
                  <c:v>0.23799999999999999</c:v>
                </c:pt>
                <c:pt idx="2">
                  <c:v>0.249</c:v>
                </c:pt>
                <c:pt idx="3">
                  <c:v>0.313</c:v>
                </c:pt>
                <c:pt idx="4">
                  <c:v>0.28899999999999998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7-41A1-B288-55D1F73795AC}"/>
            </c:ext>
          </c:extLst>
        </c:ser>
        <c:ser>
          <c:idx val="3"/>
          <c:order val="3"/>
          <c:tx>
            <c:strRef>
              <c:f>Sheet1!$HE$7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Sheet1!$HF$7:$HK$7</c:f>
              <c:numCache>
                <c:formatCode>General</c:formatCode>
                <c:ptCount val="6"/>
                <c:pt idx="0">
                  <c:v>0.30099999999999999</c:v>
                </c:pt>
                <c:pt idx="1">
                  <c:v>0.29299999999999998</c:v>
                </c:pt>
                <c:pt idx="2">
                  <c:v>0.27600000000000002</c:v>
                </c:pt>
                <c:pt idx="3">
                  <c:v>0.30199999999999999</c:v>
                </c:pt>
                <c:pt idx="4">
                  <c:v>0.29099999999999998</c:v>
                </c:pt>
                <c:pt idx="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7-41A1-B288-55D1F73795AC}"/>
            </c:ext>
          </c:extLst>
        </c:ser>
        <c:ser>
          <c:idx val="4"/>
          <c:order val="4"/>
          <c:tx>
            <c:strRef>
              <c:f>Sheet1!$HE$8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Sheet1!$HF$8:$HK$8</c:f>
              <c:numCache>
                <c:formatCode>General</c:formatCode>
                <c:ptCount val="6"/>
                <c:pt idx="0">
                  <c:v>0.28399999999999997</c:v>
                </c:pt>
                <c:pt idx="1">
                  <c:v>0.28299999999999997</c:v>
                </c:pt>
                <c:pt idx="2">
                  <c:v>0.318</c:v>
                </c:pt>
                <c:pt idx="3">
                  <c:v>0.35399999999999998</c:v>
                </c:pt>
                <c:pt idx="4">
                  <c:v>0.36599999999999999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7-41A1-B288-55D1F73795AC}"/>
            </c:ext>
          </c:extLst>
        </c:ser>
        <c:ser>
          <c:idx val="5"/>
          <c:order val="5"/>
          <c:tx>
            <c:strRef>
              <c:f>Sheet1!$HE$9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Sheet1!$HF$9:$HK$9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</c:v>
                </c:pt>
                <c:pt idx="2">
                  <c:v>0.30399999999999999</c:v>
                </c:pt>
                <c:pt idx="3">
                  <c:v>0.33400000000000002</c:v>
                </c:pt>
                <c:pt idx="4">
                  <c:v>0.36399999999999999</c:v>
                </c:pt>
                <c:pt idx="5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7-41A1-B288-55D1F73795AC}"/>
            </c:ext>
          </c:extLst>
        </c:ser>
        <c:ser>
          <c:idx val="6"/>
          <c:order val="6"/>
          <c:tx>
            <c:strRef>
              <c:f>Sheet1!$HE$10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Sheet1!$HF$10:$HK$10</c:f>
              <c:numCache>
                <c:formatCode>General</c:formatCode>
                <c:ptCount val="6"/>
                <c:pt idx="0">
                  <c:v>0.29899999999999999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0.30199999999999999</c:v>
                </c:pt>
                <c:pt idx="4">
                  <c:v>0.33</c:v>
                </c:pt>
                <c:pt idx="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7-41A1-B288-55D1F73795AC}"/>
            </c:ext>
          </c:extLst>
        </c:ser>
        <c:ser>
          <c:idx val="7"/>
          <c:order val="7"/>
          <c:tx>
            <c:strRef>
              <c:f>Sheet1!$HE$11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Sheet1!$HF$11:$HK$11</c:f>
              <c:numCache>
                <c:formatCode>General</c:formatCode>
                <c:ptCount val="6"/>
                <c:pt idx="0">
                  <c:v>0.221</c:v>
                </c:pt>
                <c:pt idx="1">
                  <c:v>0.28999999999999998</c:v>
                </c:pt>
                <c:pt idx="2">
                  <c:v>0.316</c:v>
                </c:pt>
                <c:pt idx="3">
                  <c:v>0.32300000000000001</c:v>
                </c:pt>
                <c:pt idx="4">
                  <c:v>0.34799999999999998</c:v>
                </c:pt>
                <c:pt idx="5">
                  <c:v>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7-41A1-B288-55D1F737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5264"/>
        <c:axId val="2008857088"/>
      </c:lineChart>
      <c:catAx>
        <c:axId val="2258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7088"/>
        <c:crosses val="autoZero"/>
        <c:auto val="1"/>
        <c:lblAlgn val="ctr"/>
        <c:lblOffset val="100"/>
        <c:noMultiLvlLbl val="0"/>
      </c:catAx>
      <c:valAx>
        <c:axId val="2008857088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- Days in the ICU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Sheet1!$FL$51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Sheet1!$FM$51:$FQ$51</c:f>
              <c:numCache>
                <c:formatCode>General</c:formatCode>
                <c:ptCount val="5"/>
                <c:pt idx="0">
                  <c:v>1.2789999999999999</c:v>
                </c:pt>
                <c:pt idx="1">
                  <c:v>1.2789999999999999</c:v>
                </c:pt>
                <c:pt idx="2">
                  <c:v>1.2609999999999999</c:v>
                </c:pt>
                <c:pt idx="3">
                  <c:v>85271798.923999995</c:v>
                </c:pt>
                <c:pt idx="4">
                  <c:v>2118583774.7609999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F-421D-A6D9-6FB654E33E18}"/>
            </c:ext>
          </c:extLst>
        </c:ser>
        <c:ser>
          <c:idx val="1"/>
          <c:order val="1"/>
          <c:tx>
            <c:strRef>
              <c:f>Sheet1!$FL$52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Sheet1!$FM$52:$FQ$52</c:f>
              <c:numCache>
                <c:formatCode>General</c:formatCode>
                <c:ptCount val="5"/>
                <c:pt idx="0">
                  <c:v>1.1539999999999999</c:v>
                </c:pt>
                <c:pt idx="1">
                  <c:v>1.1539999999999999</c:v>
                </c:pt>
                <c:pt idx="2">
                  <c:v>1.036</c:v>
                </c:pt>
                <c:pt idx="3">
                  <c:v>1.0429999999999999</c:v>
                </c:pt>
                <c:pt idx="4">
                  <c:v>1.0429999999999999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21D-A6D9-6FB654E33E18}"/>
            </c:ext>
          </c:extLst>
        </c:ser>
        <c:ser>
          <c:idx val="2"/>
          <c:order val="2"/>
          <c:tx>
            <c:strRef>
              <c:f>Sheet1!$FL$53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Sheet1!$FM$53:$FQ$53</c:f>
              <c:numCache>
                <c:formatCode>General</c:formatCode>
                <c:ptCount val="5"/>
                <c:pt idx="0">
                  <c:v>1.0920000000000001</c:v>
                </c:pt>
                <c:pt idx="1">
                  <c:v>1.0920000000000001</c:v>
                </c:pt>
                <c:pt idx="2">
                  <c:v>1.0920000000000001</c:v>
                </c:pt>
                <c:pt idx="3">
                  <c:v>1.0920000000000001</c:v>
                </c:pt>
                <c:pt idx="4">
                  <c:v>1.0920000000000001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F-421D-A6D9-6FB654E33E18}"/>
            </c:ext>
          </c:extLst>
        </c:ser>
        <c:ser>
          <c:idx val="3"/>
          <c:order val="3"/>
          <c:tx>
            <c:strRef>
              <c:f>Sheet1!$FL$54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Sheet1!$FM$54:$FQ$54</c:f>
              <c:numCache>
                <c:formatCode>General</c:formatCode>
                <c:ptCount val="5"/>
                <c:pt idx="0">
                  <c:v>0.94699999999999995</c:v>
                </c:pt>
                <c:pt idx="1">
                  <c:v>0.94699999999999995</c:v>
                </c:pt>
                <c:pt idx="2">
                  <c:v>0.94199999999999995</c:v>
                </c:pt>
                <c:pt idx="3">
                  <c:v>0.94099999999999995</c:v>
                </c:pt>
                <c:pt idx="4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F-421D-A6D9-6FB654E33E18}"/>
            </c:ext>
          </c:extLst>
        </c:ser>
        <c:ser>
          <c:idx val="4"/>
          <c:order val="4"/>
          <c:tx>
            <c:strRef>
              <c:f>Sheet1!$FL$55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Sheet1!$FM$55:$FQ$55</c:f>
              <c:numCache>
                <c:formatCode>General</c:formatCode>
                <c:ptCount val="5"/>
                <c:pt idx="0">
                  <c:v>1.0920000000000001</c:v>
                </c:pt>
                <c:pt idx="1">
                  <c:v>1.0920000000000001</c:v>
                </c:pt>
                <c:pt idx="2">
                  <c:v>1.046</c:v>
                </c:pt>
                <c:pt idx="3">
                  <c:v>1.0389999999999999</c:v>
                </c:pt>
                <c:pt idx="4">
                  <c:v>1.012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F-421D-A6D9-6FB654E33E18}"/>
            </c:ext>
          </c:extLst>
        </c:ser>
        <c:ser>
          <c:idx val="5"/>
          <c:order val="5"/>
          <c:tx>
            <c:strRef>
              <c:f>Sheet1!$FL$56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Sheet1!$FM$56:$FQ$56</c:f>
              <c:numCache>
                <c:formatCode>General</c:formatCode>
                <c:ptCount val="5"/>
                <c:pt idx="0">
                  <c:v>1.0629999999999999</c:v>
                </c:pt>
                <c:pt idx="1">
                  <c:v>1.0629999999999999</c:v>
                </c:pt>
                <c:pt idx="2">
                  <c:v>1.012</c:v>
                </c:pt>
                <c:pt idx="3">
                  <c:v>1.002</c:v>
                </c:pt>
                <c:pt idx="4">
                  <c:v>1.0129999999999999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F-421D-A6D9-6FB654E33E18}"/>
            </c:ext>
          </c:extLst>
        </c:ser>
        <c:ser>
          <c:idx val="6"/>
          <c:order val="6"/>
          <c:tx>
            <c:strRef>
              <c:f>Sheet1!$FL$57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Sheet1!$FM$57:$FQ$57</c:f>
              <c:numCache>
                <c:formatCode>General</c:formatCode>
                <c:ptCount val="5"/>
                <c:pt idx="0">
                  <c:v>1.409</c:v>
                </c:pt>
                <c:pt idx="1">
                  <c:v>1.409</c:v>
                </c:pt>
                <c:pt idx="2">
                  <c:v>0.91300000000000003</c:v>
                </c:pt>
                <c:pt idx="3">
                  <c:v>0.89800000000000002</c:v>
                </c:pt>
                <c:pt idx="4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F-421D-A6D9-6FB654E33E18}"/>
            </c:ext>
          </c:extLst>
        </c:ser>
        <c:ser>
          <c:idx val="7"/>
          <c:order val="7"/>
          <c:tx>
            <c:strRef>
              <c:f>Sheet1!$FL$58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Sheet1!$FM$58:$FQ$58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1.0900000000000001</c:v>
                </c:pt>
                <c:pt idx="2">
                  <c:v>0.92600000000000005</c:v>
                </c:pt>
                <c:pt idx="3">
                  <c:v>0.92800000000000005</c:v>
                </c:pt>
                <c:pt idx="4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F-421D-A6D9-6FB654E33E18}"/>
            </c:ext>
          </c:extLst>
        </c:ser>
        <c:ser>
          <c:idx val="8"/>
          <c:order val="8"/>
          <c:tx>
            <c:strRef>
              <c:f>Sheet1!$FL$59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Sheet1!$FM$59:$FQ$59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1.0780000000000001</c:v>
                </c:pt>
                <c:pt idx="2">
                  <c:v>0.97699999999999998</c:v>
                </c:pt>
                <c:pt idx="3">
                  <c:v>0.97299999999999998</c:v>
                </c:pt>
                <c:pt idx="4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F-421D-A6D9-6FB654E33E18}"/>
            </c:ext>
          </c:extLst>
        </c:ser>
        <c:ser>
          <c:idx val="9"/>
          <c:order val="9"/>
          <c:tx>
            <c:strRef>
              <c:f>Sheet1!$FL$60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Sheet1!$FM$60:$FQ$60</c:f>
              <c:numCache>
                <c:formatCode>General</c:formatCode>
                <c:ptCount val="5"/>
                <c:pt idx="0">
                  <c:v>1.056</c:v>
                </c:pt>
                <c:pt idx="1">
                  <c:v>1.056</c:v>
                </c:pt>
                <c:pt idx="2">
                  <c:v>1.056</c:v>
                </c:pt>
                <c:pt idx="3">
                  <c:v>1.0680000000000001</c:v>
                </c:pt>
                <c:pt idx="4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1F-421D-A6D9-6FB654E33E18}"/>
            </c:ext>
          </c:extLst>
        </c:ser>
        <c:ser>
          <c:idx val="10"/>
          <c:order val="10"/>
          <c:tx>
            <c:strRef>
              <c:f>Sheet1!$FL$61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Sheet1!$FM$61:$FQ$61</c:f>
              <c:numCache>
                <c:formatCode>General</c:formatCode>
                <c:ptCount val="5"/>
                <c:pt idx="0">
                  <c:v>1.2589999999999999</c:v>
                </c:pt>
                <c:pt idx="1">
                  <c:v>1.254</c:v>
                </c:pt>
                <c:pt idx="2">
                  <c:v>1.056</c:v>
                </c:pt>
                <c:pt idx="3">
                  <c:v>1.7000000000000001E-2</c:v>
                </c:pt>
                <c:pt idx="4">
                  <c:v>1.0489999999999999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1F-421D-A6D9-6FB654E3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44112"/>
        <c:axId val="2008821728"/>
      </c:lineChart>
      <c:catAx>
        <c:axId val="19861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1728"/>
        <c:crosses val="autoZero"/>
        <c:auto val="1"/>
        <c:lblAlgn val="ctr"/>
        <c:lblOffset val="100"/>
        <c:noMultiLvlLbl val="0"/>
      </c:catAx>
      <c:valAx>
        <c:axId val="2008821728"/>
        <c:scaling>
          <c:orientation val="minMax"/>
          <c:max val="1.1000000000000001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- Days in the ICU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Sheet1!$FZ$51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Sheet1!$GA$51:$GE$51</c:f>
              <c:numCache>
                <c:formatCode>General</c:formatCode>
                <c:ptCount val="5"/>
                <c:pt idx="0">
                  <c:v>2.101</c:v>
                </c:pt>
                <c:pt idx="1">
                  <c:v>2.101</c:v>
                </c:pt>
                <c:pt idx="2">
                  <c:v>2.0390000000000001</c:v>
                </c:pt>
                <c:pt idx="3">
                  <c:v>781528937.41600001</c:v>
                </c:pt>
                <c:pt idx="4">
                  <c:v>19532377289.441002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D-4C9D-B0C2-FB467825CFB5}"/>
            </c:ext>
          </c:extLst>
        </c:ser>
        <c:ser>
          <c:idx val="1"/>
          <c:order val="1"/>
          <c:tx>
            <c:strRef>
              <c:f>Sheet1!$FZ$52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Sheet1!$GA$52:$GE$52</c:f>
              <c:numCache>
                <c:formatCode>General</c:formatCode>
                <c:ptCount val="5"/>
                <c:pt idx="0">
                  <c:v>1.8360000000000001</c:v>
                </c:pt>
                <c:pt idx="1">
                  <c:v>1.8360000000000001</c:v>
                </c:pt>
                <c:pt idx="2">
                  <c:v>1.716</c:v>
                </c:pt>
                <c:pt idx="3">
                  <c:v>1.722</c:v>
                </c:pt>
                <c:pt idx="4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D-4C9D-B0C2-FB467825CFB5}"/>
            </c:ext>
          </c:extLst>
        </c:ser>
        <c:ser>
          <c:idx val="2"/>
          <c:order val="2"/>
          <c:tx>
            <c:strRef>
              <c:f>Sheet1!$FZ$53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Sheet1!$GA$53:$GE$53</c:f>
              <c:numCache>
                <c:formatCode>General</c:formatCode>
                <c:ptCount val="5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D-4C9D-B0C2-FB467825CFB5}"/>
            </c:ext>
          </c:extLst>
        </c:ser>
        <c:ser>
          <c:idx val="3"/>
          <c:order val="3"/>
          <c:tx>
            <c:strRef>
              <c:f>Sheet1!$FZ$54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Sheet1!$GA$54:$GE$54</c:f>
              <c:numCache>
                <c:formatCode>General</c:formatCode>
                <c:ptCount val="5"/>
                <c:pt idx="0">
                  <c:v>1.76</c:v>
                </c:pt>
                <c:pt idx="1">
                  <c:v>1.76</c:v>
                </c:pt>
                <c:pt idx="2">
                  <c:v>1.7450000000000001</c:v>
                </c:pt>
                <c:pt idx="3">
                  <c:v>1.768</c:v>
                </c:pt>
                <c:pt idx="4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D-4C9D-B0C2-FB467825CFB5}"/>
            </c:ext>
          </c:extLst>
        </c:ser>
        <c:ser>
          <c:idx val="4"/>
          <c:order val="4"/>
          <c:tx>
            <c:strRef>
              <c:f>Sheet1!$FZ$55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Sheet1!$GA$55:$GE$55</c:f>
              <c:numCache>
                <c:formatCode>General</c:formatCode>
                <c:ptCount val="5"/>
                <c:pt idx="0">
                  <c:v>1.7849999999999999</c:v>
                </c:pt>
                <c:pt idx="1">
                  <c:v>1.7849999999999999</c:v>
                </c:pt>
                <c:pt idx="2">
                  <c:v>1.774</c:v>
                </c:pt>
                <c:pt idx="3">
                  <c:v>1.7789999999999999</c:v>
                </c:pt>
                <c:pt idx="4">
                  <c:v>1.7969999999999999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D-4C9D-B0C2-FB467825CFB5}"/>
            </c:ext>
          </c:extLst>
        </c:ser>
        <c:ser>
          <c:idx val="5"/>
          <c:order val="5"/>
          <c:tx>
            <c:strRef>
              <c:f>Sheet1!$FZ$56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Sheet1!$GA$56:$GE$56</c:f>
              <c:numCache>
                <c:formatCode>General</c:formatCode>
                <c:ptCount val="5"/>
                <c:pt idx="0">
                  <c:v>1.8340000000000001</c:v>
                </c:pt>
                <c:pt idx="1">
                  <c:v>1.8340000000000001</c:v>
                </c:pt>
                <c:pt idx="2">
                  <c:v>1.738</c:v>
                </c:pt>
                <c:pt idx="3">
                  <c:v>1.73</c:v>
                </c:pt>
                <c:pt idx="4">
                  <c:v>1.722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D-4C9D-B0C2-FB467825CFB5}"/>
            </c:ext>
          </c:extLst>
        </c:ser>
        <c:ser>
          <c:idx val="6"/>
          <c:order val="6"/>
          <c:tx>
            <c:strRef>
              <c:f>Sheet1!$FZ$57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Sheet1!$GA$57:$GE$57</c:f>
              <c:numCache>
                <c:formatCode>General</c:formatCode>
                <c:ptCount val="5"/>
                <c:pt idx="0">
                  <c:v>2.617</c:v>
                </c:pt>
                <c:pt idx="1">
                  <c:v>2.617</c:v>
                </c:pt>
                <c:pt idx="2">
                  <c:v>1.8129999999999999</c:v>
                </c:pt>
                <c:pt idx="3">
                  <c:v>1.782</c:v>
                </c:pt>
                <c:pt idx="4">
                  <c:v>1.784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D-4C9D-B0C2-FB467825CFB5}"/>
            </c:ext>
          </c:extLst>
        </c:ser>
        <c:ser>
          <c:idx val="7"/>
          <c:order val="7"/>
          <c:tx>
            <c:strRef>
              <c:f>Sheet1!$FZ$58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Sheet1!$GA$58:$GE$58</c:f>
              <c:numCache>
                <c:formatCode>General</c:formatCode>
                <c:ptCount val="5"/>
                <c:pt idx="0">
                  <c:v>1.81</c:v>
                </c:pt>
                <c:pt idx="1">
                  <c:v>1.81</c:v>
                </c:pt>
                <c:pt idx="2">
                  <c:v>1.76</c:v>
                </c:pt>
                <c:pt idx="3">
                  <c:v>1.778</c:v>
                </c:pt>
                <c:pt idx="4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D-4C9D-B0C2-FB467825CFB5}"/>
            </c:ext>
          </c:extLst>
        </c:ser>
        <c:ser>
          <c:idx val="8"/>
          <c:order val="8"/>
          <c:tx>
            <c:strRef>
              <c:f>Sheet1!$FZ$59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Sheet1!$GA$59:$GE$59</c:f>
              <c:numCache>
                <c:formatCode>General</c:formatCode>
                <c:ptCount val="5"/>
                <c:pt idx="0">
                  <c:v>1.8009999999999999</c:v>
                </c:pt>
                <c:pt idx="1">
                  <c:v>1.8009999999999999</c:v>
                </c:pt>
                <c:pt idx="2">
                  <c:v>1.8029999999999999</c:v>
                </c:pt>
                <c:pt idx="3">
                  <c:v>1.804</c:v>
                </c:pt>
                <c:pt idx="4">
                  <c:v>1.7869999999999999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D-4C9D-B0C2-FB467825CFB5}"/>
            </c:ext>
          </c:extLst>
        </c:ser>
        <c:ser>
          <c:idx val="9"/>
          <c:order val="9"/>
          <c:tx>
            <c:strRef>
              <c:f>Sheet1!$FZ$60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Sheet1!$GA$60:$GE$60</c:f>
              <c:numCache>
                <c:formatCode>General</c:formatCode>
                <c:ptCount val="5"/>
                <c:pt idx="0">
                  <c:v>1.742</c:v>
                </c:pt>
                <c:pt idx="1">
                  <c:v>1.742</c:v>
                </c:pt>
                <c:pt idx="2">
                  <c:v>1.742</c:v>
                </c:pt>
                <c:pt idx="3">
                  <c:v>1.7450000000000001</c:v>
                </c:pt>
                <c:pt idx="4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D-4C9D-B0C2-FB467825CFB5}"/>
            </c:ext>
          </c:extLst>
        </c:ser>
        <c:ser>
          <c:idx val="10"/>
          <c:order val="10"/>
          <c:tx>
            <c:strRef>
              <c:f>Sheet1!$FZ$61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Sheet1!$GA$61:$GE$61</c:f>
              <c:numCache>
                <c:formatCode>General</c:formatCode>
                <c:ptCount val="5"/>
                <c:pt idx="0">
                  <c:v>1.97</c:v>
                </c:pt>
                <c:pt idx="1">
                  <c:v>1.9450000000000001</c:v>
                </c:pt>
                <c:pt idx="2">
                  <c:v>1.744</c:v>
                </c:pt>
                <c:pt idx="3">
                  <c:v>1.81</c:v>
                </c:pt>
                <c:pt idx="4">
                  <c:v>1.728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D-4C9D-B0C2-FB467825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69472"/>
        <c:axId val="2008816320"/>
      </c:lineChart>
      <c:catAx>
        <c:axId val="16468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6320"/>
        <c:crosses val="autoZero"/>
        <c:auto val="1"/>
        <c:lblAlgn val="ctr"/>
        <c:lblOffset val="100"/>
        <c:noMultiLvlLbl val="0"/>
      </c:catAx>
      <c:valAx>
        <c:axId val="2008816320"/>
        <c:scaling>
          <c:orientation val="minMax"/>
          <c:max val="1.8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1.2789999999999999</c:v>
                </c:pt>
                <c:pt idx="1">
                  <c:v>2.101</c:v>
                </c:pt>
                <c:pt idx="2">
                  <c:v>-0.61099999999999999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4C99-8F3F-4ACBF42E058E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1.1539999999999999</c:v>
                </c:pt>
                <c:pt idx="1">
                  <c:v>1.8360000000000001</c:v>
                </c:pt>
                <c:pt idx="2">
                  <c:v>-0.115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4C99-8F3F-4ACBF42E058E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1.0920000000000001</c:v>
                </c:pt>
                <c:pt idx="1">
                  <c:v>1.7849999999999999</c:v>
                </c:pt>
                <c:pt idx="2">
                  <c:v>-8.9999999999999993E-3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4-4C99-8F3F-4ACBF42E058E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1.76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4-4C99-8F3F-4ACBF42E058E}"/>
            </c:ext>
          </c:extLst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1.0920000000000001</c:v>
                </c:pt>
                <c:pt idx="1">
                  <c:v>1.7849999999999999</c:v>
                </c:pt>
                <c:pt idx="2">
                  <c:v>-8.9999999999999993E-3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4-4C99-8F3F-4ACBF42E058E}"/>
            </c:ext>
          </c:extLst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1.0629999999999999</c:v>
                </c:pt>
                <c:pt idx="1">
                  <c:v>1.8340000000000001</c:v>
                </c:pt>
                <c:pt idx="2">
                  <c:v>-0.10299999999999999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4-4C99-8F3F-4ACBF42E058E}"/>
            </c:ext>
          </c:extLst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1.409</c:v>
                </c:pt>
                <c:pt idx="1">
                  <c:v>2.617</c:v>
                </c:pt>
                <c:pt idx="2">
                  <c:v>-1.415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B4-4C99-8F3F-4ACBF42E058E}"/>
            </c:ext>
          </c:extLst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1.0900000000000001</c:v>
                </c:pt>
                <c:pt idx="1">
                  <c:v>1.81</c:v>
                </c:pt>
                <c:pt idx="2">
                  <c:v>-8.7999999999999995E-2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B4-4C99-8F3F-4ACBF42E058E}"/>
            </c:ext>
          </c:extLst>
        </c:ser>
        <c:ser>
          <c:idx val="8"/>
          <c:order val="8"/>
          <c:tx>
            <c:strRef>
              <c:f>Sheet1!$A$59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1.0780000000000001</c:v>
                </c:pt>
                <c:pt idx="1">
                  <c:v>1.8009999999999999</c:v>
                </c:pt>
                <c:pt idx="2">
                  <c:v>-7.4999999999999997E-2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4-4C99-8F3F-4ACBF42E058E}"/>
            </c:ext>
          </c:extLst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1.056</c:v>
                </c:pt>
                <c:pt idx="1">
                  <c:v>1.742</c:v>
                </c:pt>
                <c:pt idx="2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4-4C99-8F3F-4ACBF42E058E}"/>
            </c:ext>
          </c:extLst>
        </c:ser>
        <c:ser>
          <c:idx val="10"/>
          <c:order val="10"/>
          <c:tx>
            <c:strRef>
              <c:f>Sheet1!$A$61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1.2589999999999999</c:v>
                </c:pt>
                <c:pt idx="1">
                  <c:v>1.97</c:v>
                </c:pt>
                <c:pt idx="2">
                  <c:v>-0.32200000000000001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B4-4C99-8F3F-4ACBF42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6415"/>
        <c:axId val="523321247"/>
      </c:barChart>
      <c:catAx>
        <c:axId val="9758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1247"/>
        <c:crosses val="autoZero"/>
        <c:auto val="1"/>
        <c:lblAlgn val="ctr"/>
        <c:lblOffset val="100"/>
        <c:noMultiLvlLbl val="0"/>
      </c:catAx>
      <c:valAx>
        <c:axId val="5233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30000"/>
              <a:t>2</a:t>
            </a:r>
            <a:r>
              <a:rPr lang="en-US" baseline="0"/>
              <a:t> - Days in the ICU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Sheet1!$GN$51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Sheet1!$GO$51:$GS$51</c:f>
              <c:numCache>
                <c:formatCode>General</c:formatCode>
                <c:ptCount val="5"/>
                <c:pt idx="0">
                  <c:v>-0.61099999999999999</c:v>
                </c:pt>
                <c:pt idx="1">
                  <c:v>-0.61099999999999999</c:v>
                </c:pt>
                <c:pt idx="2">
                  <c:v>-0.48399999999999999</c:v>
                </c:pt>
                <c:pt idx="3">
                  <c:v>-2.28951403005789E+18</c:v>
                </c:pt>
                <c:pt idx="4">
                  <c:v>-1.0223002647076199E+21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9FD-9C51-33E10C05D798}"/>
            </c:ext>
          </c:extLst>
        </c:ser>
        <c:ser>
          <c:idx val="1"/>
          <c:order val="1"/>
          <c:tx>
            <c:strRef>
              <c:f>Sheet1!$GN$52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Sheet1!$GO$52:$GS$52</c:f>
              <c:numCache>
                <c:formatCode>General</c:formatCode>
                <c:ptCount val="5"/>
                <c:pt idx="0">
                  <c:v>-0.115</c:v>
                </c:pt>
                <c:pt idx="1">
                  <c:v>-0.115</c:v>
                </c:pt>
                <c:pt idx="2">
                  <c:v>0.06</c:v>
                </c:pt>
                <c:pt idx="3">
                  <c:v>4.7E-2</c:v>
                </c:pt>
                <c:pt idx="4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5-49FD-9C51-33E10C05D798}"/>
            </c:ext>
          </c:extLst>
        </c:ser>
        <c:ser>
          <c:idx val="2"/>
          <c:order val="2"/>
          <c:tx>
            <c:strRef>
              <c:f>Sheet1!$GN$53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Sheet1!$GO$53:$GS$53</c:f>
              <c:numCache>
                <c:formatCode>General</c:formatCode>
                <c:ptCount val="5"/>
                <c:pt idx="0">
                  <c:v>-8.9999999999999993E-3</c:v>
                </c:pt>
                <c:pt idx="1">
                  <c:v>1.7849999999999999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5-49FD-9C51-33E10C05D798}"/>
            </c:ext>
          </c:extLst>
        </c:ser>
        <c:ser>
          <c:idx val="3"/>
          <c:order val="3"/>
          <c:tx>
            <c:strRef>
              <c:f>Sheet1!$GN$54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Sheet1!$GO$54:$GS$54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1.7999999999999999E-2</c:v>
                </c:pt>
                <c:pt idx="2">
                  <c:v>3.2000000000000001E-2</c:v>
                </c:pt>
                <c:pt idx="3">
                  <c:v>7.0000000000000001E-3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5-49FD-9C51-33E10C05D798}"/>
            </c:ext>
          </c:extLst>
        </c:ser>
        <c:ser>
          <c:idx val="4"/>
          <c:order val="4"/>
          <c:tx>
            <c:strRef>
              <c:f>Sheet1!$GN$55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Sheet1!$GO$55:$GS$55</c:f>
              <c:numCache>
                <c:formatCode>General</c:formatCode>
                <c:ptCount val="5"/>
                <c:pt idx="0">
                  <c:v>-8.9999999999999993E-3</c:v>
                </c:pt>
                <c:pt idx="1">
                  <c:v>-8.9999999999999993E-3</c:v>
                </c:pt>
                <c:pt idx="2">
                  <c:v>4.0000000000000001E-3</c:v>
                </c:pt>
                <c:pt idx="3">
                  <c:v>-1E-3</c:v>
                </c:pt>
                <c:pt idx="4">
                  <c:v>-2.3E-2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5-49FD-9C51-33E10C05D798}"/>
            </c:ext>
          </c:extLst>
        </c:ser>
        <c:ser>
          <c:idx val="5"/>
          <c:order val="5"/>
          <c:tx>
            <c:strRef>
              <c:f>Sheet1!$GN$56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Sheet1!$GO$56:$GS$56</c:f>
              <c:numCache>
                <c:formatCode>General</c:formatCode>
                <c:ptCount val="5"/>
                <c:pt idx="0">
                  <c:v>-0.10299999999999999</c:v>
                </c:pt>
                <c:pt idx="1">
                  <c:v>-0.10299999999999999</c:v>
                </c:pt>
                <c:pt idx="2">
                  <c:v>3.5999999999999997E-2</c:v>
                </c:pt>
                <c:pt idx="3">
                  <c:v>4.5999999999999999E-2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5-49FD-9C51-33E10C05D798}"/>
            </c:ext>
          </c:extLst>
        </c:ser>
        <c:ser>
          <c:idx val="6"/>
          <c:order val="6"/>
          <c:tx>
            <c:strRef>
              <c:f>Sheet1!$GN$57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Sheet1!$GO$57:$GS$57</c:f>
              <c:numCache>
                <c:formatCode>General</c:formatCode>
                <c:ptCount val="5"/>
                <c:pt idx="0">
                  <c:v>-1.415</c:v>
                </c:pt>
                <c:pt idx="1">
                  <c:v>-1.415</c:v>
                </c:pt>
                <c:pt idx="2">
                  <c:v>-5.0999999999999997E-2</c:v>
                </c:pt>
                <c:pt idx="3">
                  <c:v>-1.2E-2</c:v>
                </c:pt>
                <c:pt idx="4">
                  <c:v>-1.2999999999999999E-2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5-49FD-9C51-33E10C05D798}"/>
            </c:ext>
          </c:extLst>
        </c:ser>
        <c:ser>
          <c:idx val="7"/>
          <c:order val="7"/>
          <c:tx>
            <c:strRef>
              <c:f>Sheet1!$GN$58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Sheet1!$GO$58:$GS$58</c:f>
              <c:numCache>
                <c:formatCode>General</c:formatCode>
                <c:ptCount val="5"/>
                <c:pt idx="0">
                  <c:v>-8.7999999999999995E-2</c:v>
                </c:pt>
                <c:pt idx="1">
                  <c:v>-8.7999999999999995E-2</c:v>
                </c:pt>
                <c:pt idx="2">
                  <c:v>0.02</c:v>
                </c:pt>
                <c:pt idx="3">
                  <c:v>0</c:v>
                </c:pt>
                <c:pt idx="4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5-49FD-9C51-33E10C05D798}"/>
            </c:ext>
          </c:extLst>
        </c:ser>
        <c:ser>
          <c:idx val="8"/>
          <c:order val="8"/>
          <c:tx>
            <c:strRef>
              <c:f>Sheet1!$GN$59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Sheet1!$GO$59:$GS$59</c:f>
              <c:numCache>
                <c:formatCode>General</c:formatCode>
                <c:ptCount val="5"/>
                <c:pt idx="0">
                  <c:v>-7.4999999999999997E-2</c:v>
                </c:pt>
                <c:pt idx="1">
                  <c:v>-7.4999999999999997E-2</c:v>
                </c:pt>
                <c:pt idx="2">
                  <c:v>-3.2000000000000001E-2</c:v>
                </c:pt>
                <c:pt idx="3">
                  <c:v>-3.2000000000000001E-2</c:v>
                </c:pt>
                <c:pt idx="4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D5-49FD-9C51-33E10C05D798}"/>
            </c:ext>
          </c:extLst>
        </c:ser>
        <c:ser>
          <c:idx val="9"/>
          <c:order val="9"/>
          <c:tx>
            <c:strRef>
              <c:f>Sheet1!$GN$60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Sheet1!$GO$60:$GS$60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1.7000000000000001E-2</c:v>
                </c:pt>
                <c:pt idx="4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D5-49FD-9C51-33E10C05D798}"/>
            </c:ext>
          </c:extLst>
        </c:ser>
        <c:ser>
          <c:idx val="10"/>
          <c:order val="10"/>
          <c:tx>
            <c:strRef>
              <c:f>Sheet1!$GN$61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Sheet1!$GO$61:$GS$61</c:f>
              <c:numCache>
                <c:formatCode>General</c:formatCode>
                <c:ptCount val="5"/>
                <c:pt idx="0">
                  <c:v>-0.32200000000000001</c:v>
                </c:pt>
                <c:pt idx="1">
                  <c:v>-0.30599999999999999</c:v>
                </c:pt>
                <c:pt idx="2">
                  <c:v>1.7000000000000001E-2</c:v>
                </c:pt>
                <c:pt idx="3">
                  <c:v>-4.7E-2</c:v>
                </c:pt>
                <c:pt idx="4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D5-49FD-9C51-33E10C05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34960"/>
        <c:axId val="2008833376"/>
      </c:lineChart>
      <c:catAx>
        <c:axId val="283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3376"/>
        <c:crosses val="autoZero"/>
        <c:auto val="1"/>
        <c:lblAlgn val="ctr"/>
        <c:lblOffset val="100"/>
        <c:noMultiLvlLbl val="0"/>
      </c:catAx>
      <c:valAx>
        <c:axId val="20088333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- Death Within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Sheet1!$FL$40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Sheet1!$FM$40:$FR$40</c:f>
              <c:numCache>
                <c:formatCode>General</c:formatCode>
                <c:ptCount val="6"/>
                <c:pt idx="0">
                  <c:v>0.255</c:v>
                </c:pt>
                <c:pt idx="1">
                  <c:v>0.70899999999999996</c:v>
                </c:pt>
                <c:pt idx="2">
                  <c:v>0.66800000000000004</c:v>
                </c:pt>
                <c:pt idx="3">
                  <c:v>0.66800000000000004</c:v>
                </c:pt>
                <c:pt idx="4">
                  <c:v>0.72899999999999998</c:v>
                </c:pt>
                <c:pt idx="5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4AAF-9821-720282D586F9}"/>
            </c:ext>
          </c:extLst>
        </c:ser>
        <c:ser>
          <c:idx val="1"/>
          <c:order val="1"/>
          <c:tx>
            <c:strRef>
              <c:f>Sheet1!$FL$41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Sheet1!$FM$41:$FR$41</c:f>
              <c:numCache>
                <c:formatCode>General</c:formatCode>
                <c:ptCount val="6"/>
                <c:pt idx="0">
                  <c:v>0.80700000000000005</c:v>
                </c:pt>
                <c:pt idx="1">
                  <c:v>0.52600000000000002</c:v>
                </c:pt>
                <c:pt idx="2">
                  <c:v>0.46200000000000002</c:v>
                </c:pt>
                <c:pt idx="3">
                  <c:v>0.55900000000000005</c:v>
                </c:pt>
                <c:pt idx="4">
                  <c:v>0.65700000000000003</c:v>
                </c:pt>
                <c:pt idx="5">
                  <c:v>0.628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4AAF-9821-720282D586F9}"/>
            </c:ext>
          </c:extLst>
        </c:ser>
        <c:ser>
          <c:idx val="2"/>
          <c:order val="2"/>
          <c:tx>
            <c:strRef>
              <c:f>Sheet1!$FL$42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Sheet1!$FM$42:$FR$42</c:f>
              <c:numCache>
                <c:formatCode>General</c:formatCode>
                <c:ptCount val="6"/>
                <c:pt idx="0">
                  <c:v>0.748</c:v>
                </c:pt>
                <c:pt idx="1">
                  <c:v>0.68300000000000005</c:v>
                </c:pt>
                <c:pt idx="2">
                  <c:v>0.69599999999999995</c:v>
                </c:pt>
                <c:pt idx="3">
                  <c:v>0.66800000000000004</c:v>
                </c:pt>
                <c:pt idx="4">
                  <c:v>0.61899999999999999</c:v>
                </c:pt>
                <c:pt idx="5">
                  <c:v>0.65300000000000002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A-4AAF-9821-720282D586F9}"/>
            </c:ext>
          </c:extLst>
        </c:ser>
        <c:ser>
          <c:idx val="3"/>
          <c:order val="3"/>
          <c:tx>
            <c:strRef>
              <c:f>Sheet1!$FL$43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Sheet1!$FM$43:$FR$43</c:f>
              <c:numCache>
                <c:formatCode>General</c:formatCode>
                <c:ptCount val="6"/>
                <c:pt idx="0">
                  <c:v>0.83099999999999996</c:v>
                </c:pt>
                <c:pt idx="1">
                  <c:v>0.74199999999999999</c:v>
                </c:pt>
                <c:pt idx="2">
                  <c:v>0.73899999999999999</c:v>
                </c:pt>
                <c:pt idx="3">
                  <c:v>0.7</c:v>
                </c:pt>
                <c:pt idx="4">
                  <c:v>0.66900000000000004</c:v>
                </c:pt>
                <c:pt idx="5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A-4AAF-9821-720282D586F9}"/>
            </c:ext>
          </c:extLst>
        </c:ser>
        <c:ser>
          <c:idx val="4"/>
          <c:order val="4"/>
          <c:tx>
            <c:strRef>
              <c:f>Sheet1!$FL$44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Sheet1!$FM$44:$FR$44</c:f>
              <c:numCache>
                <c:formatCode>General</c:formatCode>
                <c:ptCount val="6"/>
                <c:pt idx="0">
                  <c:v>0.81899999999999995</c:v>
                </c:pt>
                <c:pt idx="1">
                  <c:v>0.45700000000000002</c:v>
                </c:pt>
                <c:pt idx="2">
                  <c:v>0.66900000000000004</c:v>
                </c:pt>
                <c:pt idx="3">
                  <c:v>0.69799999999999995</c:v>
                </c:pt>
                <c:pt idx="4">
                  <c:v>0.59899999999999998</c:v>
                </c:pt>
                <c:pt idx="5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A-4AAF-9821-720282D586F9}"/>
            </c:ext>
          </c:extLst>
        </c:ser>
        <c:ser>
          <c:idx val="5"/>
          <c:order val="5"/>
          <c:tx>
            <c:strRef>
              <c:f>Sheet1!$FL$45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Sheet1!$FM$45:$FR$45</c:f>
              <c:numCache>
                <c:formatCode>General</c:formatCode>
                <c:ptCount val="6"/>
                <c:pt idx="0">
                  <c:v>0.80900000000000005</c:v>
                </c:pt>
                <c:pt idx="1">
                  <c:v>0.625</c:v>
                </c:pt>
                <c:pt idx="2">
                  <c:v>0.63400000000000001</c:v>
                </c:pt>
                <c:pt idx="3">
                  <c:v>0.62</c:v>
                </c:pt>
                <c:pt idx="4">
                  <c:v>0.61799999999999999</c:v>
                </c:pt>
                <c:pt idx="5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A-4AAF-9821-720282D586F9}"/>
            </c:ext>
          </c:extLst>
        </c:ser>
        <c:ser>
          <c:idx val="6"/>
          <c:order val="6"/>
          <c:tx>
            <c:strRef>
              <c:f>Sheet1!$FL$46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Sheet1!$FM$46:$FR$46</c:f>
              <c:numCache>
                <c:formatCode>General</c:formatCode>
                <c:ptCount val="6"/>
                <c:pt idx="0">
                  <c:v>0.83</c:v>
                </c:pt>
                <c:pt idx="1">
                  <c:v>0.76300000000000001</c:v>
                </c:pt>
                <c:pt idx="2">
                  <c:v>0.76300000000000001</c:v>
                </c:pt>
                <c:pt idx="3">
                  <c:v>0.754</c:v>
                </c:pt>
                <c:pt idx="4">
                  <c:v>0.73799999999999999</c:v>
                </c:pt>
                <c:pt idx="5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3A-4AAF-9821-720282D586F9}"/>
            </c:ext>
          </c:extLst>
        </c:ser>
        <c:ser>
          <c:idx val="7"/>
          <c:order val="7"/>
          <c:tx>
            <c:strRef>
              <c:f>Sheet1!$FL$47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Sheet1!$FM$47:$FR$47</c:f>
              <c:numCache>
                <c:formatCode>General</c:formatCode>
                <c:ptCount val="6"/>
                <c:pt idx="0">
                  <c:v>0.79200000000000004</c:v>
                </c:pt>
                <c:pt idx="1">
                  <c:v>0.69599999999999995</c:v>
                </c:pt>
                <c:pt idx="2">
                  <c:v>0.7</c:v>
                </c:pt>
                <c:pt idx="3">
                  <c:v>0.60599999999999998</c:v>
                </c:pt>
                <c:pt idx="4">
                  <c:v>0.59199999999999997</c:v>
                </c:pt>
                <c:pt idx="5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3A-4AAF-9821-720282D5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8880"/>
        <c:axId val="2008807168"/>
      </c:lineChart>
      <c:catAx>
        <c:axId val="864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7168"/>
        <c:crosses val="autoZero"/>
        <c:auto val="1"/>
        <c:lblAlgn val="ctr"/>
        <c:lblOffset val="100"/>
        <c:noMultiLvlLbl val="0"/>
      </c:catAx>
      <c:valAx>
        <c:axId val="2008807168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Sheet1!$GA$40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Sheet1!$GB$40:$GG$40</c:f>
              <c:numCache>
                <c:formatCode>General</c:formatCode>
                <c:ptCount val="6"/>
                <c:pt idx="0">
                  <c:v>0.51500000000000001</c:v>
                </c:pt>
                <c:pt idx="1">
                  <c:v>0.64600000000000002</c:v>
                </c:pt>
                <c:pt idx="2">
                  <c:v>0.64500000000000002</c:v>
                </c:pt>
                <c:pt idx="3">
                  <c:v>0.64500000000000002</c:v>
                </c:pt>
                <c:pt idx="4">
                  <c:v>0.69399999999999995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437-A7C3-B5E7E6A049F7}"/>
            </c:ext>
          </c:extLst>
        </c:ser>
        <c:ser>
          <c:idx val="1"/>
          <c:order val="1"/>
          <c:tx>
            <c:strRef>
              <c:f>Sheet1!$GA$41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Sheet1!$GB$41:$GG$41</c:f>
              <c:numCache>
                <c:formatCode>General</c:formatCode>
                <c:ptCount val="6"/>
                <c:pt idx="0">
                  <c:v>0.68100000000000005</c:v>
                </c:pt>
                <c:pt idx="1">
                  <c:v>0.68500000000000005</c:v>
                </c:pt>
                <c:pt idx="2">
                  <c:v>0.68600000000000005</c:v>
                </c:pt>
                <c:pt idx="3">
                  <c:v>0.68200000000000005</c:v>
                </c:pt>
                <c:pt idx="4">
                  <c:v>0.72099999999999997</c:v>
                </c:pt>
                <c:pt idx="5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437-A7C3-B5E7E6A049F7}"/>
            </c:ext>
          </c:extLst>
        </c:ser>
        <c:ser>
          <c:idx val="2"/>
          <c:order val="2"/>
          <c:tx>
            <c:strRef>
              <c:f>Sheet1!$GA$42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Sheet1!$GB$42:$GG$42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0.63200000000000001</c:v>
                </c:pt>
                <c:pt idx="2">
                  <c:v>0.64800000000000002</c:v>
                </c:pt>
                <c:pt idx="3">
                  <c:v>0.67</c:v>
                </c:pt>
                <c:pt idx="4">
                  <c:v>0.68300000000000005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0-4437-A7C3-B5E7E6A049F7}"/>
            </c:ext>
          </c:extLst>
        </c:ser>
        <c:ser>
          <c:idx val="3"/>
          <c:order val="3"/>
          <c:tx>
            <c:strRef>
              <c:f>Sheet1!$GA$43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Sheet1!$GB$43:$GG$43</c:f>
              <c:numCache>
                <c:formatCode>General</c:formatCode>
                <c:ptCount val="6"/>
                <c:pt idx="0">
                  <c:v>0.77</c:v>
                </c:pt>
                <c:pt idx="1">
                  <c:v>0.755</c:v>
                </c:pt>
                <c:pt idx="2">
                  <c:v>0.75</c:v>
                </c:pt>
                <c:pt idx="3">
                  <c:v>0.752</c:v>
                </c:pt>
                <c:pt idx="4">
                  <c:v>0.76200000000000001</c:v>
                </c:pt>
                <c:pt idx="5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0-4437-A7C3-B5E7E6A049F7}"/>
            </c:ext>
          </c:extLst>
        </c:ser>
        <c:ser>
          <c:idx val="4"/>
          <c:order val="4"/>
          <c:tx>
            <c:strRef>
              <c:f>Sheet1!$GA$44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Sheet1!$GB$44:$GG$44</c:f>
              <c:numCache>
                <c:formatCode>General</c:formatCode>
                <c:ptCount val="6"/>
                <c:pt idx="0">
                  <c:v>0.70599999999999996</c:v>
                </c:pt>
                <c:pt idx="1">
                  <c:v>0.70899999999999996</c:v>
                </c:pt>
                <c:pt idx="2">
                  <c:v>0.73199999999999998</c:v>
                </c:pt>
                <c:pt idx="3">
                  <c:v>0.73499999999999999</c:v>
                </c:pt>
                <c:pt idx="4">
                  <c:v>0.74299999999999999</c:v>
                </c:pt>
                <c:pt idx="5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0-4437-A7C3-B5E7E6A049F7}"/>
            </c:ext>
          </c:extLst>
        </c:ser>
        <c:ser>
          <c:idx val="5"/>
          <c:order val="5"/>
          <c:tx>
            <c:strRef>
              <c:f>Sheet1!$GA$45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Sheet1!$GB$45:$GG$45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0.73099999999999998</c:v>
                </c:pt>
                <c:pt idx="2">
                  <c:v>0.72299999999999998</c:v>
                </c:pt>
                <c:pt idx="3">
                  <c:v>0.746</c:v>
                </c:pt>
                <c:pt idx="4">
                  <c:v>0.746</c:v>
                </c:pt>
                <c:pt idx="5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0-4437-A7C3-B5E7E6A049F7}"/>
            </c:ext>
          </c:extLst>
        </c:ser>
        <c:ser>
          <c:idx val="6"/>
          <c:order val="6"/>
          <c:tx>
            <c:strRef>
              <c:f>Sheet1!$GA$46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Sheet1!$GB$46:$GG$46</c:f>
              <c:numCache>
                <c:formatCode>General</c:formatCode>
                <c:ptCount val="6"/>
                <c:pt idx="0">
                  <c:v>0.72899999999999998</c:v>
                </c:pt>
                <c:pt idx="1">
                  <c:v>0.752</c:v>
                </c:pt>
                <c:pt idx="2">
                  <c:v>0.752</c:v>
                </c:pt>
                <c:pt idx="3">
                  <c:v>0.75900000000000001</c:v>
                </c:pt>
                <c:pt idx="4">
                  <c:v>0.74399999999999999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0-4437-A7C3-B5E7E6A049F7}"/>
            </c:ext>
          </c:extLst>
        </c:ser>
        <c:ser>
          <c:idx val="7"/>
          <c:order val="7"/>
          <c:tx>
            <c:strRef>
              <c:f>Sheet1!$GA$47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Sheet1!$GB$47:$GG$47</c:f>
              <c:numCache>
                <c:formatCode>General</c:formatCode>
                <c:ptCount val="6"/>
                <c:pt idx="0">
                  <c:v>0.71899999999999997</c:v>
                </c:pt>
                <c:pt idx="1">
                  <c:v>0.72799999999999998</c:v>
                </c:pt>
                <c:pt idx="2">
                  <c:v>0.70299999999999996</c:v>
                </c:pt>
                <c:pt idx="3">
                  <c:v>0.73299999999999998</c:v>
                </c:pt>
                <c:pt idx="4">
                  <c:v>0.73899999999999999</c:v>
                </c:pt>
                <c:pt idx="5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0-4437-A7C3-B5E7E6A0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69360"/>
        <c:axId val="2008818816"/>
      </c:lineChart>
      <c:catAx>
        <c:axId val="1773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8816"/>
        <c:crosses val="autoZero"/>
        <c:auto val="1"/>
        <c:lblAlgn val="ctr"/>
        <c:lblOffset val="100"/>
        <c:noMultiLvlLbl val="0"/>
      </c:catAx>
      <c:valAx>
        <c:axId val="2008818816"/>
        <c:scaling>
          <c:orientation val="minMax"/>
          <c:max val="0.77"/>
          <c:min val="0.670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Sheet1!$GP$40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Sheet1!$GQ$40:$GV$40</c:f>
              <c:numCache>
                <c:formatCode>General</c:formatCode>
                <c:ptCount val="6"/>
                <c:pt idx="0">
                  <c:v>0.4965</c:v>
                </c:pt>
                <c:pt idx="1">
                  <c:v>0.53550000000000009</c:v>
                </c:pt>
                <c:pt idx="2">
                  <c:v>0.50849999999999995</c:v>
                </c:pt>
                <c:pt idx="3">
                  <c:v>0.50849999999999995</c:v>
                </c:pt>
                <c:pt idx="4">
                  <c:v>0.54549999999999998</c:v>
                </c:pt>
                <c:pt idx="5">
                  <c:v>0.64700000000000002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0-4BA5-BE48-5D86E7D63170}"/>
            </c:ext>
          </c:extLst>
        </c:ser>
        <c:ser>
          <c:idx val="1"/>
          <c:order val="1"/>
          <c:tx>
            <c:strRef>
              <c:f>Sheet1!$GP$41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Sheet1!$GQ$41:$GV$41</c:f>
              <c:numCache>
                <c:formatCode>General</c:formatCode>
                <c:ptCount val="6"/>
                <c:pt idx="0">
                  <c:v>0.55349999999999999</c:v>
                </c:pt>
                <c:pt idx="1">
                  <c:v>0.626</c:v>
                </c:pt>
                <c:pt idx="2">
                  <c:v>0.60250000000000004</c:v>
                </c:pt>
                <c:pt idx="3">
                  <c:v>0.64349999999999996</c:v>
                </c:pt>
                <c:pt idx="4">
                  <c:v>0.67049999999999998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0-4BA5-BE48-5D86E7D63170}"/>
            </c:ext>
          </c:extLst>
        </c:ser>
        <c:ser>
          <c:idx val="2"/>
          <c:order val="2"/>
          <c:tx>
            <c:strRef>
              <c:f>Sheet1!$GP$42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Sheet1!$GQ$42:$GV$42</c:f>
              <c:numCache>
                <c:formatCode>General</c:formatCode>
                <c:ptCount val="6"/>
                <c:pt idx="0">
                  <c:v>0.58750000000000002</c:v>
                </c:pt>
                <c:pt idx="1">
                  <c:v>0.63200000000000001</c:v>
                </c:pt>
                <c:pt idx="2">
                  <c:v>0.64799999999999991</c:v>
                </c:pt>
                <c:pt idx="3">
                  <c:v>0.67</c:v>
                </c:pt>
                <c:pt idx="4">
                  <c:v>0.62349999999999994</c:v>
                </c:pt>
                <c:pt idx="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0-4BA5-BE48-5D86E7D63170}"/>
            </c:ext>
          </c:extLst>
        </c:ser>
        <c:ser>
          <c:idx val="3"/>
          <c:order val="3"/>
          <c:tx>
            <c:strRef>
              <c:f>Sheet1!$GP$43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Sheet1!$GQ$43:$GV$43</c:f>
              <c:numCache>
                <c:formatCode>General</c:formatCode>
                <c:ptCount val="6"/>
                <c:pt idx="0">
                  <c:v>0.56099999999999994</c:v>
                </c:pt>
                <c:pt idx="1">
                  <c:v>0.67100000000000004</c:v>
                </c:pt>
                <c:pt idx="2">
                  <c:v>0.66600000000000004</c:v>
                </c:pt>
                <c:pt idx="3">
                  <c:v>0.68599999999999994</c:v>
                </c:pt>
                <c:pt idx="4">
                  <c:v>0.69599999999999995</c:v>
                </c:pt>
                <c:pt idx="5">
                  <c:v>0.66649999999999998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0-4BA5-BE48-5D86E7D63170}"/>
            </c:ext>
          </c:extLst>
        </c:ser>
        <c:ser>
          <c:idx val="4"/>
          <c:order val="4"/>
          <c:tx>
            <c:strRef>
              <c:f>Sheet1!$GP$44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Sheet1!$GQ$44:$GV$44</c:f>
              <c:numCache>
                <c:formatCode>General</c:formatCode>
                <c:ptCount val="6"/>
                <c:pt idx="0">
                  <c:v>0.5</c:v>
                </c:pt>
                <c:pt idx="1">
                  <c:v>0.628</c:v>
                </c:pt>
                <c:pt idx="2">
                  <c:v>0.66949999999999998</c:v>
                </c:pt>
                <c:pt idx="3">
                  <c:v>0.67249999999999999</c:v>
                </c:pt>
                <c:pt idx="4">
                  <c:v>0.6805000000000001</c:v>
                </c:pt>
                <c:pt idx="5">
                  <c:v>0.66050000000000009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0-4BA5-BE48-5D86E7D63170}"/>
            </c:ext>
          </c:extLst>
        </c:ser>
        <c:ser>
          <c:idx val="5"/>
          <c:order val="5"/>
          <c:tx>
            <c:strRef>
              <c:f>Sheet1!$GP$45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Sheet1!$GQ$45:$GV$45</c:f>
              <c:numCache>
                <c:formatCode>General</c:formatCode>
                <c:ptCount val="6"/>
                <c:pt idx="0">
                  <c:v>0.59550000000000003</c:v>
                </c:pt>
                <c:pt idx="1">
                  <c:v>0.67199999999999993</c:v>
                </c:pt>
                <c:pt idx="2">
                  <c:v>0.65200000000000002</c:v>
                </c:pt>
                <c:pt idx="3">
                  <c:v>0.67300000000000004</c:v>
                </c:pt>
                <c:pt idx="4">
                  <c:v>0.69699999999999995</c:v>
                </c:pt>
                <c:pt idx="5">
                  <c:v>0.64949999999999997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0-4BA5-BE48-5D86E7D63170}"/>
            </c:ext>
          </c:extLst>
        </c:ser>
        <c:ser>
          <c:idx val="6"/>
          <c:order val="6"/>
          <c:tx>
            <c:strRef>
              <c:f>Sheet1!$GP$46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Sheet1!$GQ$46:$GV$46</c:f>
              <c:numCache>
                <c:formatCode>General</c:formatCode>
                <c:ptCount val="6"/>
                <c:pt idx="0">
                  <c:v>0.59150000000000003</c:v>
                </c:pt>
                <c:pt idx="1">
                  <c:v>0.67600000000000005</c:v>
                </c:pt>
                <c:pt idx="2">
                  <c:v>0.67600000000000005</c:v>
                </c:pt>
                <c:pt idx="3">
                  <c:v>0.68300000000000005</c:v>
                </c:pt>
                <c:pt idx="4">
                  <c:v>0.69399999999999995</c:v>
                </c:pt>
                <c:pt idx="5">
                  <c:v>0.6885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0-4BA5-BE48-5D86E7D63170}"/>
            </c:ext>
          </c:extLst>
        </c:ser>
        <c:ser>
          <c:idx val="7"/>
          <c:order val="7"/>
          <c:tx>
            <c:strRef>
              <c:f>Sheet1!$GP$47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Sheet1!$GQ$47:$GV$47</c:f>
              <c:numCache>
                <c:formatCode>General</c:formatCode>
                <c:ptCount val="6"/>
                <c:pt idx="0">
                  <c:v>0.59050000000000002</c:v>
                </c:pt>
                <c:pt idx="1">
                  <c:v>0.68399999999999994</c:v>
                </c:pt>
                <c:pt idx="2">
                  <c:v>0.65500000000000003</c:v>
                </c:pt>
                <c:pt idx="3">
                  <c:v>0.64649999999999996</c:v>
                </c:pt>
                <c:pt idx="4">
                  <c:v>0.65850000000000009</c:v>
                </c:pt>
                <c:pt idx="5">
                  <c:v>0.64949999999999997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0-4BA5-BE48-5D86E7D6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04896"/>
        <c:axId val="2008823808"/>
      </c:lineChart>
      <c:catAx>
        <c:axId val="1922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3808"/>
        <c:crosses val="autoZero"/>
        <c:auto val="1"/>
        <c:lblAlgn val="ctr"/>
        <c:lblOffset val="100"/>
        <c:noMultiLvlLbl val="0"/>
      </c:catAx>
      <c:valAx>
        <c:axId val="2008823808"/>
        <c:scaling>
          <c:orientation val="minMax"/>
          <c:max val="0.70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Death Within 1 Year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Sheet1!$HE$40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Sheet1!$HF$40:$HK$40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8.4000000000000005E-2</c:v>
                </c:pt>
                <c:pt idx="2">
                  <c:v>0.03</c:v>
                </c:pt>
                <c:pt idx="3">
                  <c:v>0.03</c:v>
                </c:pt>
                <c:pt idx="4">
                  <c:v>8.8999999999999996E-2</c:v>
                </c:pt>
                <c:pt idx="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562-AE70-95A8DC755F38}"/>
            </c:ext>
          </c:extLst>
        </c:ser>
        <c:ser>
          <c:idx val="1"/>
          <c:order val="1"/>
          <c:tx>
            <c:strRef>
              <c:f>Sheet1!$HE$41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Sheet1!$HF$41:$HK$41</c:f>
              <c:numCache>
                <c:formatCode>General</c:formatCode>
                <c:ptCount val="6"/>
                <c:pt idx="0">
                  <c:v>0.13800000000000001</c:v>
                </c:pt>
                <c:pt idx="1">
                  <c:v>0.13600000000000001</c:v>
                </c:pt>
                <c:pt idx="2">
                  <c:v>0.10100000000000001</c:v>
                </c:pt>
                <c:pt idx="3">
                  <c:v>0.161</c:v>
                </c:pt>
                <c:pt idx="4">
                  <c:v>0.22800000000000001</c:v>
                </c:pt>
                <c:pt idx="5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8-4562-AE70-95A8DC755F38}"/>
            </c:ext>
          </c:extLst>
        </c:ser>
        <c:ser>
          <c:idx val="2"/>
          <c:order val="2"/>
          <c:tx>
            <c:strRef>
              <c:f>Sheet1!$HE$42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Sheet1!$HF$42:$HK$42</c:f>
              <c:numCache>
                <c:formatCode>General</c:formatCode>
                <c:ptCount val="6"/>
                <c:pt idx="0">
                  <c:v>0.17299999999999999</c:v>
                </c:pt>
                <c:pt idx="1">
                  <c:v>0.19500000000000001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0.16300000000000001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8-4562-AE70-95A8DC755F38}"/>
            </c:ext>
          </c:extLst>
        </c:ser>
        <c:ser>
          <c:idx val="3"/>
          <c:order val="3"/>
          <c:tx>
            <c:strRef>
              <c:f>Sheet1!$HE$43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Sheet1!$HF$43:$HK$43</c:f>
              <c:numCache>
                <c:formatCode>General</c:formatCode>
                <c:ptCount val="6"/>
                <c:pt idx="0">
                  <c:v>0.16800000000000001</c:v>
                </c:pt>
                <c:pt idx="1">
                  <c:v>0.27800000000000002</c:v>
                </c:pt>
                <c:pt idx="2">
                  <c:v>0.27100000000000002</c:v>
                </c:pt>
                <c:pt idx="3">
                  <c:v>0.26700000000000002</c:v>
                </c:pt>
                <c:pt idx="4">
                  <c:v>0.26100000000000001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8-4562-AE70-95A8DC755F38}"/>
            </c:ext>
          </c:extLst>
        </c:ser>
        <c:ser>
          <c:idx val="4"/>
          <c:order val="4"/>
          <c:tx>
            <c:strRef>
              <c:f>Sheet1!$HE$44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Sheet1!$HF$44:$HK$44</c:f>
              <c:numCache>
                <c:formatCode>General</c:formatCode>
                <c:ptCount val="6"/>
                <c:pt idx="0">
                  <c:v>0</c:v>
                </c:pt>
                <c:pt idx="1">
                  <c:v>0.123</c:v>
                </c:pt>
                <c:pt idx="2">
                  <c:v>0.23499999999999999</c:v>
                </c:pt>
                <c:pt idx="3">
                  <c:v>0.25</c:v>
                </c:pt>
                <c:pt idx="4">
                  <c:v>0.21</c:v>
                </c:pt>
                <c:pt idx="5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8-4562-AE70-95A8DC755F38}"/>
            </c:ext>
          </c:extLst>
        </c:ser>
        <c:ser>
          <c:idx val="5"/>
          <c:order val="5"/>
          <c:tx>
            <c:strRef>
              <c:f>Sheet1!$HE$45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Sheet1!$HF$45:$HK$45</c:f>
              <c:numCache>
                <c:formatCode>General</c:formatCode>
                <c:ptCount val="6"/>
                <c:pt idx="0">
                  <c:v>0.223</c:v>
                </c:pt>
                <c:pt idx="1">
                  <c:v>0.21299999999999999</c:v>
                </c:pt>
                <c:pt idx="2">
                  <c:v>0.19700000000000001</c:v>
                </c:pt>
                <c:pt idx="3">
                  <c:v>0.21199999999999999</c:v>
                </c:pt>
                <c:pt idx="4">
                  <c:v>0.23599999999999999</c:v>
                </c:pt>
                <c:pt idx="5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8-4562-AE70-95A8DC755F38}"/>
            </c:ext>
          </c:extLst>
        </c:ser>
        <c:ser>
          <c:idx val="6"/>
          <c:order val="6"/>
          <c:tx>
            <c:strRef>
              <c:f>Sheet1!$HE$46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Sheet1!$HF$46:$HK$46</c:f>
              <c:numCache>
                <c:formatCode>General</c:formatCode>
                <c:ptCount val="6"/>
                <c:pt idx="0">
                  <c:v>0.24199999999999999</c:v>
                </c:pt>
                <c:pt idx="1">
                  <c:v>0.30299999999999999</c:v>
                </c:pt>
                <c:pt idx="2">
                  <c:v>0.30299999999999999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68-4562-AE70-95A8DC755F38}"/>
            </c:ext>
          </c:extLst>
        </c:ser>
        <c:ser>
          <c:idx val="7"/>
          <c:order val="7"/>
          <c:tx>
            <c:strRef>
              <c:f>Sheet1!$HE$47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Sheet1!$HF$47:$HK$47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0.26900000000000002</c:v>
                </c:pt>
                <c:pt idx="2">
                  <c:v>0.23400000000000001</c:v>
                </c:pt>
                <c:pt idx="3">
                  <c:v>0.186</c:v>
                </c:pt>
                <c:pt idx="4">
                  <c:v>0.185</c:v>
                </c:pt>
                <c:pt idx="5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68-4562-AE70-95A8DC75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24560"/>
        <c:axId val="2008845024"/>
      </c:lineChart>
      <c:catAx>
        <c:axId val="283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5024"/>
        <c:crosses val="autoZero"/>
        <c:auto val="1"/>
        <c:lblAlgn val="ctr"/>
        <c:lblOffset val="100"/>
        <c:noMultiLvlLbl val="0"/>
      </c:catAx>
      <c:valAx>
        <c:axId val="2008845024"/>
        <c:scaling>
          <c:orientation val="minMax"/>
          <c:max val="0.3100000000000000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Sheet1!$FL$15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Sheet1!$FM$15:$FR$15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0.32552215189873418</c:v>
                </c:pt>
                <c:pt idx="2">
                  <c:v>0.316</c:v>
                </c:pt>
                <c:pt idx="3">
                  <c:v>0.316</c:v>
                </c:pt>
                <c:pt idx="4">
                  <c:v>0.40699999999999997</c:v>
                </c:pt>
                <c:pt idx="5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426E-9EE9-DF5F9860F1F0}"/>
            </c:ext>
          </c:extLst>
        </c:ser>
        <c:ser>
          <c:idx val="1"/>
          <c:order val="1"/>
          <c:tx>
            <c:strRef>
              <c:f>Sheet1!$FL$16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Sheet1!$FM$16:$FR$16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0.11511075949367089</c:v>
                </c:pt>
                <c:pt idx="2">
                  <c:v>0.109</c:v>
                </c:pt>
                <c:pt idx="3">
                  <c:v>8.5999999999999993E-2</c:v>
                </c:pt>
                <c:pt idx="4">
                  <c:v>0.106</c:v>
                </c:pt>
                <c:pt idx="5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D-426E-9EE9-DF5F9860F1F0}"/>
            </c:ext>
          </c:extLst>
        </c:ser>
        <c:ser>
          <c:idx val="2"/>
          <c:order val="2"/>
          <c:tx>
            <c:strRef>
              <c:f>Sheet1!$FL$17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Sheet1!$FM$17:$FR$17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0.1889715189873418</c:v>
                </c:pt>
                <c:pt idx="2">
                  <c:v>0.19400000000000001</c:v>
                </c:pt>
                <c:pt idx="3">
                  <c:v>0.123</c:v>
                </c:pt>
                <c:pt idx="4">
                  <c:v>8.3000000000000004E-2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D-426E-9EE9-DF5F9860F1F0}"/>
            </c:ext>
          </c:extLst>
        </c:ser>
        <c:ser>
          <c:idx val="3"/>
          <c:order val="3"/>
          <c:tx>
            <c:strRef>
              <c:f>Sheet1!$FL$18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Sheet1!$FM$18:$FR$18</c:f>
              <c:numCache>
                <c:formatCode>General</c:formatCode>
                <c:ptCount val="6"/>
                <c:pt idx="0">
                  <c:v>0.53900000000000003</c:v>
                </c:pt>
                <c:pt idx="1">
                  <c:v>0.21278481012658229</c:v>
                </c:pt>
                <c:pt idx="2">
                  <c:v>0.20300000000000001</c:v>
                </c:pt>
                <c:pt idx="3">
                  <c:v>0.14899999999999999</c:v>
                </c:pt>
                <c:pt idx="4">
                  <c:v>6.6000000000000003E-2</c:v>
                </c:pt>
                <c:pt idx="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D-426E-9EE9-DF5F9860F1F0}"/>
            </c:ext>
          </c:extLst>
        </c:ser>
        <c:ser>
          <c:idx val="4"/>
          <c:order val="4"/>
          <c:tx>
            <c:strRef>
              <c:f>Sheet1!$FL$19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Sheet1!$FM$19:$FR$19</c:f>
              <c:numCache>
                <c:formatCode>General</c:formatCode>
                <c:ptCount val="6"/>
                <c:pt idx="0">
                  <c:v>0.53300000000000003</c:v>
                </c:pt>
                <c:pt idx="1">
                  <c:v>8.5142405063291141E-2</c:v>
                </c:pt>
                <c:pt idx="2">
                  <c:v>0.17399999999999999</c:v>
                </c:pt>
                <c:pt idx="3">
                  <c:v>8.8999999999999996E-2</c:v>
                </c:pt>
                <c:pt idx="4">
                  <c:v>0.13300000000000001</c:v>
                </c:pt>
                <c:pt idx="5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D-426E-9EE9-DF5F9860F1F0}"/>
            </c:ext>
          </c:extLst>
        </c:ser>
        <c:ser>
          <c:idx val="5"/>
          <c:order val="5"/>
          <c:tx>
            <c:strRef>
              <c:f>Sheet1!$FL$20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Sheet1!$FM$20:$FR$20</c:f>
              <c:numCache>
                <c:formatCode>General</c:formatCode>
                <c:ptCount val="6"/>
                <c:pt idx="0">
                  <c:v>0.52100000000000002</c:v>
                </c:pt>
                <c:pt idx="1">
                  <c:v>0.11140822784810127</c:v>
                </c:pt>
                <c:pt idx="2">
                  <c:v>0.158</c:v>
                </c:pt>
                <c:pt idx="3">
                  <c:v>0.13400000000000001</c:v>
                </c:pt>
                <c:pt idx="4">
                  <c:v>9.5000000000000001E-2</c:v>
                </c:pt>
                <c:pt idx="5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D-426E-9EE9-DF5F9860F1F0}"/>
            </c:ext>
          </c:extLst>
        </c:ser>
        <c:ser>
          <c:idx val="6"/>
          <c:order val="6"/>
          <c:tx>
            <c:strRef>
              <c:f>Sheet1!$FL$21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Sheet1!$FM$21:$FR$21</c:f>
              <c:numCache>
                <c:formatCode>General</c:formatCode>
                <c:ptCount val="6"/>
                <c:pt idx="0">
                  <c:v>0.52300000000000002</c:v>
                </c:pt>
                <c:pt idx="1">
                  <c:v>0.2178164556962025</c:v>
                </c:pt>
                <c:pt idx="2">
                  <c:v>0.21299999999999999</c:v>
                </c:pt>
                <c:pt idx="3">
                  <c:v>0.25</c:v>
                </c:pt>
                <c:pt idx="4">
                  <c:v>9.5000000000000001E-2</c:v>
                </c:pt>
                <c:pt idx="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D-426E-9EE9-DF5F9860F1F0}"/>
            </c:ext>
          </c:extLst>
        </c:ser>
        <c:ser>
          <c:idx val="7"/>
          <c:order val="7"/>
          <c:tx>
            <c:strRef>
              <c:f>Sheet1!$FL$22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Sheet1!$FM$22:$FR$22</c:f>
              <c:numCache>
                <c:formatCode>General</c:formatCode>
                <c:ptCount val="6"/>
                <c:pt idx="0">
                  <c:v>0.49199999999999999</c:v>
                </c:pt>
                <c:pt idx="1">
                  <c:v>0.21526898734177213</c:v>
                </c:pt>
                <c:pt idx="2">
                  <c:v>0.189</c:v>
                </c:pt>
                <c:pt idx="3">
                  <c:v>0.214</c:v>
                </c:pt>
                <c:pt idx="4">
                  <c:v>0.11799999999999999</c:v>
                </c:pt>
                <c:pt idx="5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D-426E-9EE9-DF5F9860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52"/>
        <c:axId val="2008841696"/>
      </c:lineChart>
      <c:catAx>
        <c:axId val="1053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1696"/>
        <c:crosses val="autoZero"/>
        <c:auto val="1"/>
        <c:lblAlgn val="ctr"/>
        <c:lblOffset val="100"/>
        <c:noMultiLvlLbl val="0"/>
      </c:catAx>
      <c:valAx>
        <c:axId val="2008841696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  <a:r>
              <a:rPr lang="en-US" baseline="0"/>
              <a:t>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Sheet1!$GA$15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Sheet1!$GB$15:$GG$15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0.58392636089596406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0.625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576-8C4C-5FB6730A7CBF}"/>
            </c:ext>
          </c:extLst>
        </c:ser>
        <c:ser>
          <c:idx val="1"/>
          <c:order val="1"/>
          <c:tx>
            <c:strRef>
              <c:f>Sheet1!$GA$16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Sheet1!$GB$16:$GG$16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0.56155513706266935</c:v>
                </c:pt>
                <c:pt idx="2">
                  <c:v>0.55500000000000005</c:v>
                </c:pt>
                <c:pt idx="3">
                  <c:v>0.6</c:v>
                </c:pt>
                <c:pt idx="4">
                  <c:v>0.58099999999999996</c:v>
                </c:pt>
                <c:pt idx="5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576-8C4C-5FB6730A7CBF}"/>
            </c:ext>
          </c:extLst>
        </c:ser>
        <c:ser>
          <c:idx val="2"/>
          <c:order val="2"/>
          <c:tx>
            <c:strRef>
              <c:f>Sheet1!$GA$17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Sheet1!$GB$17:$GG$17</c:f>
              <c:numCache>
                <c:formatCode>General</c:formatCode>
                <c:ptCount val="6"/>
                <c:pt idx="0">
                  <c:v>0.53</c:v>
                </c:pt>
                <c:pt idx="1">
                  <c:v>0.53491326763263447</c:v>
                </c:pt>
                <c:pt idx="2">
                  <c:v>0.53500000000000003</c:v>
                </c:pt>
                <c:pt idx="3">
                  <c:v>0.63300000000000001</c:v>
                </c:pt>
                <c:pt idx="4">
                  <c:v>0.63800000000000001</c:v>
                </c:pt>
                <c:pt idx="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9-4576-8C4C-5FB6730A7CBF}"/>
            </c:ext>
          </c:extLst>
        </c:ser>
        <c:ser>
          <c:idx val="3"/>
          <c:order val="3"/>
          <c:tx>
            <c:strRef>
              <c:f>Sheet1!$GA$18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Sheet1!$GB$18:$GG$18</c:f>
              <c:numCache>
                <c:formatCode>General</c:formatCode>
                <c:ptCount val="6"/>
                <c:pt idx="0">
                  <c:v>0.627</c:v>
                </c:pt>
                <c:pt idx="1">
                  <c:v>0.64835964568782478</c:v>
                </c:pt>
                <c:pt idx="2">
                  <c:v>0.65300000000000002</c:v>
                </c:pt>
                <c:pt idx="3">
                  <c:v>0.64600000000000002</c:v>
                </c:pt>
                <c:pt idx="4">
                  <c:v>0.65200000000000002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9-4576-8C4C-5FB6730A7CBF}"/>
            </c:ext>
          </c:extLst>
        </c:ser>
        <c:ser>
          <c:idx val="4"/>
          <c:order val="4"/>
          <c:tx>
            <c:strRef>
              <c:f>Sheet1!$GA$19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Sheet1!$GB$19:$GG$19</c:f>
              <c:numCache>
                <c:formatCode>General</c:formatCode>
                <c:ptCount val="6"/>
                <c:pt idx="0">
                  <c:v>0.626</c:v>
                </c:pt>
                <c:pt idx="1">
                  <c:v>0.63726744723821604</c:v>
                </c:pt>
                <c:pt idx="2">
                  <c:v>0.62</c:v>
                </c:pt>
                <c:pt idx="3">
                  <c:v>0.63700000000000001</c:v>
                </c:pt>
                <c:pt idx="4">
                  <c:v>0.61199999999999999</c:v>
                </c:pt>
                <c:pt idx="5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9-4576-8C4C-5FB6730A7CBF}"/>
            </c:ext>
          </c:extLst>
        </c:ser>
        <c:ser>
          <c:idx val="5"/>
          <c:order val="5"/>
          <c:tx>
            <c:strRef>
              <c:f>Sheet1!$GA$20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Sheet1!$GB$20:$GG$20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0.64026696688272944</c:v>
                </c:pt>
                <c:pt idx="2">
                  <c:v>0.625</c:v>
                </c:pt>
                <c:pt idx="3">
                  <c:v>0.63500000000000001</c:v>
                </c:pt>
                <c:pt idx="4">
                  <c:v>0.66100000000000003</c:v>
                </c:pt>
                <c:pt idx="5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9-4576-8C4C-5FB6730A7CBF}"/>
            </c:ext>
          </c:extLst>
        </c:ser>
        <c:ser>
          <c:idx val="6"/>
          <c:order val="6"/>
          <c:tx>
            <c:strRef>
              <c:f>Sheet1!$GA$21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Sheet1!$GB$21:$GG$21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0.62676728637191315</c:v>
                </c:pt>
                <c:pt idx="2">
                  <c:v>0.627</c:v>
                </c:pt>
                <c:pt idx="3">
                  <c:v>0.61399999999999999</c:v>
                </c:pt>
                <c:pt idx="4">
                  <c:v>0.65700000000000003</c:v>
                </c:pt>
                <c:pt idx="5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9-4576-8C4C-5FB6730A7CBF}"/>
            </c:ext>
          </c:extLst>
        </c:ser>
        <c:ser>
          <c:idx val="7"/>
          <c:order val="7"/>
          <c:tx>
            <c:strRef>
              <c:f>Sheet1!$GA$22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Sheet1!$GB$22:$GG$22</c:f>
              <c:numCache>
                <c:formatCode>General</c:formatCode>
                <c:ptCount val="6"/>
                <c:pt idx="0">
                  <c:v>0.622</c:v>
                </c:pt>
                <c:pt idx="1">
                  <c:v>0.63251089299230212</c:v>
                </c:pt>
                <c:pt idx="2">
                  <c:v>0.622</c:v>
                </c:pt>
                <c:pt idx="3">
                  <c:v>0.59899999999999998</c:v>
                </c:pt>
                <c:pt idx="4">
                  <c:v>0.63600000000000001</c:v>
                </c:pt>
                <c:pt idx="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9-4576-8C4C-5FB6730A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85808"/>
        <c:axId val="2008830880"/>
      </c:lineChart>
      <c:catAx>
        <c:axId val="1969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0880"/>
        <c:crosses val="autoZero"/>
        <c:auto val="1"/>
        <c:lblAlgn val="ctr"/>
        <c:lblOffset val="100"/>
        <c:noMultiLvlLbl val="0"/>
      </c:catAx>
      <c:valAx>
        <c:axId val="2008830880"/>
        <c:scaling>
          <c:orientation val="minMax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Sheet1!$GP$15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Sheet1!$GQ$15:$GV$15</c:f>
              <c:numCache>
                <c:formatCode>General</c:formatCode>
                <c:ptCount val="6"/>
                <c:pt idx="0">
                  <c:v>0.19675000000000001</c:v>
                </c:pt>
                <c:pt idx="1">
                  <c:v>0.19700000000000004</c:v>
                </c:pt>
                <c:pt idx="2">
                  <c:v>0.19187500000000002</c:v>
                </c:pt>
                <c:pt idx="3">
                  <c:v>0.19187500000000002</c:v>
                </c:pt>
                <c:pt idx="4">
                  <c:v>0.177125</c:v>
                </c:pt>
                <c:pt idx="5">
                  <c:v>0.231875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48D1-A6D1-10AAD648F3E0}"/>
            </c:ext>
          </c:extLst>
        </c:ser>
        <c:ser>
          <c:idx val="1"/>
          <c:order val="1"/>
          <c:tx>
            <c:strRef>
              <c:f>Sheet1!$GP$16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Sheet1!$GQ$16:$GV$16</c:f>
              <c:numCache>
                <c:formatCode>General</c:formatCode>
                <c:ptCount val="6"/>
                <c:pt idx="0">
                  <c:v>0.16674999999999998</c:v>
                </c:pt>
                <c:pt idx="1">
                  <c:v>0.18687500000000001</c:v>
                </c:pt>
                <c:pt idx="2">
                  <c:v>0.17700000000000002</c:v>
                </c:pt>
                <c:pt idx="3">
                  <c:v>0.21962499999999999</c:v>
                </c:pt>
                <c:pt idx="4">
                  <c:v>0.20600000000000002</c:v>
                </c:pt>
                <c:pt idx="5">
                  <c:v>0.23025000000000001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F-48D1-A6D1-10AAD648F3E0}"/>
            </c:ext>
          </c:extLst>
        </c:ser>
        <c:ser>
          <c:idx val="2"/>
          <c:order val="2"/>
          <c:tx>
            <c:strRef>
              <c:f>Sheet1!$GP$17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Sheet1!$GQ$17:$GV$17</c:f>
              <c:numCache>
                <c:formatCode>General</c:formatCode>
                <c:ptCount val="6"/>
                <c:pt idx="0">
                  <c:v>0.17787499999999998</c:v>
                </c:pt>
                <c:pt idx="1">
                  <c:v>0.18600000000000003</c:v>
                </c:pt>
                <c:pt idx="2">
                  <c:v>0.18637499999999999</c:v>
                </c:pt>
                <c:pt idx="3">
                  <c:v>0.268125</c:v>
                </c:pt>
                <c:pt idx="4">
                  <c:v>0.24650000000000002</c:v>
                </c:pt>
                <c:pt idx="5">
                  <c:v>0.1605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48D1-A6D1-10AAD648F3E0}"/>
            </c:ext>
          </c:extLst>
        </c:ser>
        <c:ser>
          <c:idx val="3"/>
          <c:order val="3"/>
          <c:tx>
            <c:strRef>
              <c:f>Sheet1!$GP$18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Sheet1!$GQ$18:$GV$18</c:f>
              <c:numCache>
                <c:formatCode>General</c:formatCode>
                <c:ptCount val="6"/>
                <c:pt idx="0">
                  <c:v>0.1585</c:v>
                </c:pt>
                <c:pt idx="1">
                  <c:v>0.205375</c:v>
                </c:pt>
                <c:pt idx="2">
                  <c:v>0.20962500000000001</c:v>
                </c:pt>
                <c:pt idx="3">
                  <c:v>0.22075</c:v>
                </c:pt>
                <c:pt idx="4">
                  <c:v>0.21875</c:v>
                </c:pt>
                <c:pt idx="5">
                  <c:v>0.18337499999999998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F-48D1-A6D1-10AAD648F3E0}"/>
            </c:ext>
          </c:extLst>
        </c:ser>
        <c:ser>
          <c:idx val="4"/>
          <c:order val="4"/>
          <c:tx>
            <c:strRef>
              <c:f>Sheet1!$GP$19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Sheet1!$GQ$19:$GV$19</c:f>
              <c:numCache>
                <c:formatCode>General</c:formatCode>
                <c:ptCount val="6"/>
                <c:pt idx="0">
                  <c:v>0.11177777777777778</c:v>
                </c:pt>
                <c:pt idx="1">
                  <c:v>0.23374999999999999</c:v>
                </c:pt>
                <c:pt idx="2">
                  <c:v>0.20700000000000002</c:v>
                </c:pt>
                <c:pt idx="3">
                  <c:v>0.21625</c:v>
                </c:pt>
                <c:pt idx="4">
                  <c:v>0.23899999999999999</c:v>
                </c:pt>
                <c:pt idx="5">
                  <c:v>0.23775000000000002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F-48D1-A6D1-10AAD648F3E0}"/>
            </c:ext>
          </c:extLst>
        </c:ser>
        <c:ser>
          <c:idx val="5"/>
          <c:order val="5"/>
          <c:tx>
            <c:strRef>
              <c:f>Sheet1!$GP$20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Sheet1!$GQ$20:$GV$20</c:f>
              <c:numCache>
                <c:formatCode>General</c:formatCode>
                <c:ptCount val="6"/>
                <c:pt idx="0">
                  <c:v>0.15422222222222218</c:v>
                </c:pt>
                <c:pt idx="1">
                  <c:v>0.23837500000000003</c:v>
                </c:pt>
                <c:pt idx="2">
                  <c:v>0.17837500000000003</c:v>
                </c:pt>
                <c:pt idx="3">
                  <c:v>0.202125</c:v>
                </c:pt>
                <c:pt idx="4">
                  <c:v>0.24787500000000001</c:v>
                </c:pt>
                <c:pt idx="5">
                  <c:v>0.21975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F-48D1-A6D1-10AAD648F3E0}"/>
            </c:ext>
          </c:extLst>
        </c:ser>
        <c:ser>
          <c:idx val="6"/>
          <c:order val="6"/>
          <c:tx>
            <c:strRef>
              <c:f>Sheet1!$GP$21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Sheet1!$GQ$21:$GV$21</c:f>
              <c:numCache>
                <c:formatCode>General</c:formatCode>
                <c:ptCount val="6"/>
                <c:pt idx="0">
                  <c:v>0.167625</c:v>
                </c:pt>
                <c:pt idx="1">
                  <c:v>0.208125</c:v>
                </c:pt>
                <c:pt idx="2">
                  <c:v>0.19937500000000002</c:v>
                </c:pt>
                <c:pt idx="3">
                  <c:v>0.23800000000000002</c:v>
                </c:pt>
                <c:pt idx="4">
                  <c:v>0.26200000000000001</c:v>
                </c:pt>
                <c:pt idx="5">
                  <c:v>0.232125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F-48D1-A6D1-10AAD648F3E0}"/>
            </c:ext>
          </c:extLst>
        </c:ser>
        <c:ser>
          <c:idx val="7"/>
          <c:order val="7"/>
          <c:tx>
            <c:strRef>
              <c:f>Sheet1!$GP$22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Sheet1!$GQ$22:$GV$22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0.22187499999999999</c:v>
                </c:pt>
                <c:pt idx="2">
                  <c:v>0.16175</c:v>
                </c:pt>
                <c:pt idx="3">
                  <c:v>0.20174999999999998</c:v>
                </c:pt>
                <c:pt idx="4">
                  <c:v>0.20025000000000001</c:v>
                </c:pt>
                <c:pt idx="5">
                  <c:v>0.18912500000000002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F-48D1-A6D1-10AAD648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616"/>
        <c:axId val="2008827136"/>
      </c:lineChart>
      <c:catAx>
        <c:axId val="146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7136"/>
        <c:crosses val="autoZero"/>
        <c:auto val="1"/>
        <c:lblAlgn val="ctr"/>
        <c:lblOffset val="100"/>
        <c:noMultiLvlLbl val="0"/>
      </c:catAx>
      <c:valAx>
        <c:axId val="200882713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Severity</a:t>
            </a:r>
            <a:r>
              <a:rPr lang="en-US" baseline="0"/>
              <a:t>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Sheet1!$HE$15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Sheet1!$HF$15:$HK$15</c:f>
              <c:numCache>
                <c:formatCode>General</c:formatCode>
                <c:ptCount val="6"/>
                <c:pt idx="0">
                  <c:v>2.3E-2</c:v>
                </c:pt>
                <c:pt idx="1">
                  <c:v>9.621257215089557E-2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0.112</c:v>
                </c:pt>
                <c:pt idx="5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6-4B1F-81A1-78B10897CD96}"/>
            </c:ext>
          </c:extLst>
        </c:ser>
        <c:ser>
          <c:idx val="1"/>
          <c:order val="1"/>
          <c:tx>
            <c:strRef>
              <c:f>Sheet1!$HE$16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Sheet1!$HF$16:$HK$16</c:f>
              <c:numCache>
                <c:formatCode>General</c:formatCode>
                <c:ptCount val="6"/>
                <c:pt idx="0">
                  <c:v>0.122</c:v>
                </c:pt>
                <c:pt idx="1">
                  <c:v>2.598696277651653E-2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3.4000000000000002E-2</c:v>
                </c:pt>
                <c:pt idx="5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6-4B1F-81A1-78B10897CD96}"/>
            </c:ext>
          </c:extLst>
        </c:ser>
        <c:ser>
          <c:idx val="2"/>
          <c:order val="2"/>
          <c:tx>
            <c:strRef>
              <c:f>Sheet1!$HE$17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Sheet1!$HF$17:$HK$17</c:f>
              <c:numCache>
                <c:formatCode>General</c:formatCode>
                <c:ptCount val="6"/>
                <c:pt idx="0">
                  <c:v>9.4E-2</c:v>
                </c:pt>
                <c:pt idx="1">
                  <c:v>4.9901523313207061E-2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3.7999999999999999E-2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6-4B1F-81A1-78B10897CD96}"/>
            </c:ext>
          </c:extLst>
        </c:ser>
        <c:ser>
          <c:idx val="3"/>
          <c:order val="3"/>
          <c:tx>
            <c:strRef>
              <c:f>Sheet1!$HE$18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Sheet1!$HF$18:$HK$18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7.2752309913637847E-2</c:v>
                </c:pt>
                <c:pt idx="2">
                  <c:v>6.8000000000000005E-2</c:v>
                </c:pt>
                <c:pt idx="3">
                  <c:v>5.1999999999999998E-2</c:v>
                </c:pt>
                <c:pt idx="4">
                  <c:v>2.9000000000000001E-2</c:v>
                </c:pt>
                <c:pt idx="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6-4B1F-81A1-78B10897CD96}"/>
            </c:ext>
          </c:extLst>
        </c:ser>
        <c:ser>
          <c:idx val="4"/>
          <c:order val="4"/>
          <c:tx>
            <c:strRef>
              <c:f>Sheet1!$HE$19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Sheet1!$HF$19:$HK$19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3.77505388233116E-2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6-4B1F-81A1-78B10897CD96}"/>
            </c:ext>
          </c:extLst>
        </c:ser>
        <c:ser>
          <c:idx val="5"/>
          <c:order val="5"/>
          <c:tx>
            <c:strRef>
              <c:f>Sheet1!$HE$20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Sheet1!$HF$20:$HK$20</c:f>
              <c:numCache>
                <c:formatCode>General</c:formatCode>
                <c:ptCount val="6"/>
                <c:pt idx="0">
                  <c:v>0.152</c:v>
                </c:pt>
                <c:pt idx="1">
                  <c:v>3.2384971932155247E-2</c:v>
                </c:pt>
                <c:pt idx="2">
                  <c:v>3.1E-2</c:v>
                </c:pt>
                <c:pt idx="3">
                  <c:v>4.1000000000000002E-2</c:v>
                </c:pt>
                <c:pt idx="4">
                  <c:v>0.04</c:v>
                </c:pt>
                <c:pt idx="5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6-4B1F-81A1-78B10897CD96}"/>
            </c:ext>
          </c:extLst>
        </c:ser>
        <c:ser>
          <c:idx val="6"/>
          <c:order val="6"/>
          <c:tx>
            <c:strRef>
              <c:f>Sheet1!$HE$21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Sheet1!$HF$21:$HK$21</c:f>
              <c:numCache>
                <c:formatCode>General</c:formatCode>
                <c:ptCount val="6"/>
                <c:pt idx="0">
                  <c:v>0.13500000000000001</c:v>
                </c:pt>
                <c:pt idx="1">
                  <c:v>7.6471060734484134E-2</c:v>
                </c:pt>
                <c:pt idx="2">
                  <c:v>7.1999999999999995E-2</c:v>
                </c:pt>
                <c:pt idx="3">
                  <c:v>9.0999999999999998E-2</c:v>
                </c:pt>
                <c:pt idx="4">
                  <c:v>0.04</c:v>
                </c:pt>
                <c:pt idx="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D6-4B1F-81A1-78B10897CD96}"/>
            </c:ext>
          </c:extLst>
        </c:ser>
        <c:ser>
          <c:idx val="7"/>
          <c:order val="7"/>
          <c:tx>
            <c:strRef>
              <c:f>Sheet1!$HE$22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Sheet1!$HF$22:$HK$22</c:f>
              <c:numCache>
                <c:formatCode>General</c:formatCode>
                <c:ptCount val="6"/>
                <c:pt idx="0">
                  <c:v>0.158</c:v>
                </c:pt>
                <c:pt idx="1">
                  <c:v>6.8727373028370536E-2</c:v>
                </c:pt>
                <c:pt idx="2">
                  <c:v>3.1E-2</c:v>
                </c:pt>
                <c:pt idx="3">
                  <c:v>6.5000000000000002E-2</c:v>
                </c:pt>
                <c:pt idx="4">
                  <c:v>3.4000000000000002E-2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D6-4B1F-81A1-78B10897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140688"/>
        <c:axId val="2008808416"/>
      </c:lineChart>
      <c:catAx>
        <c:axId val="20131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8416"/>
        <c:crosses val="autoZero"/>
        <c:auto val="1"/>
        <c:lblAlgn val="ctr"/>
        <c:lblOffset val="100"/>
        <c:noMultiLvlLbl val="0"/>
      </c:catAx>
      <c:valAx>
        <c:axId val="2008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Sheet1!$FL$26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Sheet1!$FM$26:$FQ$26</c:f>
              <c:numCache>
                <c:formatCode>General</c:formatCode>
                <c:ptCount val="5"/>
                <c:pt idx="0">
                  <c:v>1.391</c:v>
                </c:pt>
                <c:pt idx="1">
                  <c:v>171453068240.11301</c:v>
                </c:pt>
                <c:pt idx="2">
                  <c:v>1060499440.368</c:v>
                </c:pt>
                <c:pt idx="3">
                  <c:v>1.2989999999999999</c:v>
                </c:pt>
                <c:pt idx="4">
                  <c:v>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D19-96A8-0B800E1E5FE9}"/>
            </c:ext>
          </c:extLst>
        </c:ser>
        <c:ser>
          <c:idx val="1"/>
          <c:order val="1"/>
          <c:tx>
            <c:strRef>
              <c:f>Sheet1!$FL$27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Sheet1!$FM$27:$FQ$27</c:f>
              <c:numCache>
                <c:formatCode>General</c:formatCode>
                <c:ptCount val="5"/>
                <c:pt idx="0">
                  <c:v>1.363</c:v>
                </c:pt>
                <c:pt idx="1">
                  <c:v>1.339</c:v>
                </c:pt>
                <c:pt idx="2">
                  <c:v>1.2829999999999999</c:v>
                </c:pt>
                <c:pt idx="3">
                  <c:v>1.268</c:v>
                </c:pt>
                <c:pt idx="4">
                  <c:v>1.284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D19-96A8-0B800E1E5FE9}"/>
            </c:ext>
          </c:extLst>
        </c:ser>
        <c:ser>
          <c:idx val="2"/>
          <c:order val="2"/>
          <c:tx>
            <c:strRef>
              <c:f>Sheet1!$FL$28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Sheet1!$FM$28:$FQ$28</c:f>
              <c:numCache>
                <c:formatCode>General</c:formatCode>
                <c:ptCount val="5"/>
                <c:pt idx="0">
                  <c:v>1.3160000000000001</c:v>
                </c:pt>
                <c:pt idx="1">
                  <c:v>1.569</c:v>
                </c:pt>
                <c:pt idx="2">
                  <c:v>1.4390000000000001</c:v>
                </c:pt>
                <c:pt idx="3">
                  <c:v>1.4390000000000001</c:v>
                </c:pt>
                <c:pt idx="4">
                  <c:v>1.4390000000000001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4-4D19-96A8-0B800E1E5FE9}"/>
            </c:ext>
          </c:extLst>
        </c:ser>
        <c:ser>
          <c:idx val="3"/>
          <c:order val="3"/>
          <c:tx>
            <c:strRef>
              <c:f>Sheet1!$FL$29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Sheet1!$FM$29:$FQ$29</c:f>
              <c:numCache>
                <c:formatCode>General</c:formatCode>
                <c:ptCount val="5"/>
                <c:pt idx="0">
                  <c:v>1.1950000000000001</c:v>
                </c:pt>
                <c:pt idx="1">
                  <c:v>1.18</c:v>
                </c:pt>
                <c:pt idx="2">
                  <c:v>1.1779999999999999</c:v>
                </c:pt>
                <c:pt idx="3">
                  <c:v>1.1579999999999999</c:v>
                </c:pt>
                <c:pt idx="4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D19-96A8-0B800E1E5FE9}"/>
            </c:ext>
          </c:extLst>
        </c:ser>
        <c:ser>
          <c:idx val="4"/>
          <c:order val="4"/>
          <c:tx>
            <c:strRef>
              <c:f>Sheet1!$FL$30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Sheet1!$FM$30:$FQ$30</c:f>
              <c:numCache>
                <c:formatCode>General</c:formatCode>
                <c:ptCount val="5"/>
                <c:pt idx="0">
                  <c:v>1.3109999999999999</c:v>
                </c:pt>
                <c:pt idx="1">
                  <c:v>1.569</c:v>
                </c:pt>
                <c:pt idx="2">
                  <c:v>1.4390000000000001</c:v>
                </c:pt>
                <c:pt idx="3">
                  <c:v>1.391</c:v>
                </c:pt>
                <c:pt idx="4">
                  <c:v>1.351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4-4D19-96A8-0B800E1E5FE9}"/>
            </c:ext>
          </c:extLst>
        </c:ser>
        <c:ser>
          <c:idx val="5"/>
          <c:order val="5"/>
          <c:tx>
            <c:strRef>
              <c:f>Sheet1!$FL$31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Sheet1!$FM$31:$FQ$31</c:f>
              <c:numCache>
                <c:formatCode>General</c:formatCode>
                <c:ptCount val="5"/>
                <c:pt idx="0">
                  <c:v>1.34</c:v>
                </c:pt>
                <c:pt idx="1">
                  <c:v>1.31</c:v>
                </c:pt>
                <c:pt idx="2">
                  <c:v>1.2909999999999999</c:v>
                </c:pt>
                <c:pt idx="3">
                  <c:v>1.284</c:v>
                </c:pt>
                <c:pt idx="4">
                  <c:v>1.2889999999999999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4-4D19-96A8-0B800E1E5FE9}"/>
            </c:ext>
          </c:extLst>
        </c:ser>
        <c:ser>
          <c:idx val="6"/>
          <c:order val="6"/>
          <c:tx>
            <c:strRef>
              <c:f>Sheet1!$FL$32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Sheet1!$FM$32:$FQ$32</c:f>
              <c:numCache>
                <c:formatCode>General</c:formatCode>
                <c:ptCount val="5"/>
                <c:pt idx="0">
                  <c:v>1.5209999999999999</c:v>
                </c:pt>
                <c:pt idx="1">
                  <c:v>1.5209999999999999</c:v>
                </c:pt>
                <c:pt idx="2">
                  <c:v>1.17</c:v>
                </c:pt>
                <c:pt idx="3">
                  <c:v>1.1559999999999999</c:v>
                </c:pt>
                <c:pt idx="4">
                  <c:v>1.167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D19-96A8-0B800E1E5FE9}"/>
            </c:ext>
          </c:extLst>
        </c:ser>
        <c:ser>
          <c:idx val="7"/>
          <c:order val="7"/>
          <c:tx>
            <c:strRef>
              <c:f>Sheet1!$FL$33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Sheet1!$FM$33:$FQ$33</c:f>
              <c:numCache>
                <c:formatCode>General</c:formatCode>
                <c:ptCount val="5"/>
                <c:pt idx="0">
                  <c:v>1.29</c:v>
                </c:pt>
                <c:pt idx="1">
                  <c:v>1.29</c:v>
                </c:pt>
                <c:pt idx="2">
                  <c:v>1.1659999999999999</c:v>
                </c:pt>
                <c:pt idx="3">
                  <c:v>1.1619999999999999</c:v>
                </c:pt>
                <c:pt idx="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54-4D19-96A8-0B800E1E5FE9}"/>
            </c:ext>
          </c:extLst>
        </c:ser>
        <c:ser>
          <c:idx val="8"/>
          <c:order val="8"/>
          <c:tx>
            <c:strRef>
              <c:f>Sheet1!$FL$34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Sheet1!$FM$34:$FQ$34</c:f>
              <c:numCache>
                <c:formatCode>General</c:formatCode>
                <c:ptCount val="5"/>
                <c:pt idx="0">
                  <c:v>1.304</c:v>
                </c:pt>
                <c:pt idx="1">
                  <c:v>1.3049999999999999</c:v>
                </c:pt>
                <c:pt idx="2">
                  <c:v>1.2789999999999999</c:v>
                </c:pt>
                <c:pt idx="3">
                  <c:v>1.284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54-4D19-96A8-0B800E1E5FE9}"/>
            </c:ext>
          </c:extLst>
        </c:ser>
        <c:ser>
          <c:idx val="9"/>
          <c:order val="9"/>
          <c:tx>
            <c:strRef>
              <c:f>Sheet1!$FL$35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Sheet1!$FM$35:$FQ$35</c:f>
              <c:numCache>
                <c:formatCode>General</c:formatCode>
                <c:ptCount val="5"/>
                <c:pt idx="0">
                  <c:v>1.2889999999999999</c:v>
                </c:pt>
                <c:pt idx="1">
                  <c:v>1.2889999999999999</c:v>
                </c:pt>
                <c:pt idx="2">
                  <c:v>1.274</c:v>
                </c:pt>
                <c:pt idx="3">
                  <c:v>1.268</c:v>
                </c:pt>
                <c:pt idx="4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D19-96A8-0B800E1E5FE9}"/>
            </c:ext>
          </c:extLst>
        </c:ser>
        <c:ser>
          <c:idx val="10"/>
          <c:order val="10"/>
          <c:tx>
            <c:strRef>
              <c:f>Sheet1!$FL$36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Sheet1!$FM$36:$FQ$36</c:f>
              <c:numCache>
                <c:formatCode>General</c:formatCode>
                <c:ptCount val="5"/>
                <c:pt idx="0">
                  <c:v>1.353</c:v>
                </c:pt>
                <c:pt idx="1">
                  <c:v>1.4570000000000001</c:v>
                </c:pt>
                <c:pt idx="2">
                  <c:v>1.2889999999999999</c:v>
                </c:pt>
                <c:pt idx="3">
                  <c:v>1.2549999999999999</c:v>
                </c:pt>
                <c:pt idx="4">
                  <c:v>1.278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54-4D19-96A8-0B800E1E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5568"/>
        <c:axId val="2008815904"/>
      </c:lineChart>
      <c:catAx>
        <c:axId val="1774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5904"/>
        <c:crosses val="autoZero"/>
        <c:auto val="1"/>
        <c:lblAlgn val="ctr"/>
        <c:lblOffset val="100"/>
        <c:noMultiLvlLbl val="0"/>
      </c:catAx>
      <c:valAx>
        <c:axId val="2008815904"/>
        <c:scaling>
          <c:orientation val="minMax"/>
          <c:max val="1.2"/>
          <c:min val="1.1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1.391</c:v>
                </c:pt>
                <c:pt idx="1">
                  <c:v>1.7989999999999999</c:v>
                </c:pt>
                <c:pt idx="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79E-816B-7B834439A0E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1.363</c:v>
                </c:pt>
                <c:pt idx="1">
                  <c:v>1.7629999999999999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4-479E-816B-7B834439A0E4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1.3160000000000001</c:v>
                </c:pt>
                <c:pt idx="1">
                  <c:v>1.66</c:v>
                </c:pt>
                <c:pt idx="2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4-479E-816B-7B834439A0E4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1.1950000000000001</c:v>
                </c:pt>
                <c:pt idx="1">
                  <c:v>1.7430000000000001</c:v>
                </c:pt>
                <c:pt idx="2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4-479E-816B-7B834439A0E4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1.3109999999999999</c:v>
                </c:pt>
                <c:pt idx="1">
                  <c:v>1.6579999999999999</c:v>
                </c:pt>
                <c:pt idx="2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4-479E-816B-7B834439A0E4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1.34</c:v>
                </c:pt>
                <c:pt idx="1">
                  <c:v>1.776</c:v>
                </c:pt>
                <c:pt idx="2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4-479E-816B-7B834439A0E4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1.5209999999999999</c:v>
                </c:pt>
                <c:pt idx="1">
                  <c:v>2.2930000000000001</c:v>
                </c:pt>
                <c:pt idx="2">
                  <c:v>-0.50900000000000001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4-479E-816B-7B834439A0E4}"/>
            </c:ext>
          </c:extLst>
        </c:ser>
        <c:ser>
          <c:idx val="7"/>
          <c:order val="7"/>
          <c:tx>
            <c:strRef>
              <c:f>Sheet1!$A$33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1.29</c:v>
                </c:pt>
                <c:pt idx="1">
                  <c:v>1.673</c:v>
                </c:pt>
                <c:pt idx="2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4-479E-816B-7B834439A0E4}"/>
            </c:ext>
          </c:extLst>
        </c:ser>
        <c:ser>
          <c:idx val="8"/>
          <c:order val="8"/>
          <c:tx>
            <c:strRef>
              <c:f>Sheet1!$A$34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1.304</c:v>
                </c:pt>
                <c:pt idx="1">
                  <c:v>1.6970000000000001</c:v>
                </c:pt>
                <c:pt idx="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74-479E-816B-7B834439A0E4}"/>
            </c:ext>
          </c:extLst>
        </c:ser>
        <c:ser>
          <c:idx val="9"/>
          <c:order val="9"/>
          <c:tx>
            <c:strRef>
              <c:f>Sheet1!$A$35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1.2889999999999999</c:v>
                </c:pt>
                <c:pt idx="1">
                  <c:v>1.645</c:v>
                </c:pt>
                <c:pt idx="2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74-479E-816B-7B834439A0E4}"/>
            </c:ext>
          </c:extLst>
        </c:ser>
        <c:ser>
          <c:idx val="10"/>
          <c:order val="10"/>
          <c:tx>
            <c:strRef>
              <c:f>Sheet1!$A$36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1.353</c:v>
                </c:pt>
                <c:pt idx="1">
                  <c:v>1.804</c:v>
                </c:pt>
                <c:pt idx="2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74-479E-816B-7B834439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18415"/>
        <c:axId val="533208431"/>
      </c:barChart>
      <c:catAx>
        <c:axId val="9759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8431"/>
        <c:crosses val="autoZero"/>
        <c:auto val="1"/>
        <c:lblAlgn val="ctr"/>
        <c:lblOffset val="100"/>
        <c:noMultiLvlLbl val="0"/>
      </c:catAx>
      <c:valAx>
        <c:axId val="533208431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Sheet1!$FZ$26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Sheet1!$GA$26:$GE$26</c:f>
              <c:numCache>
                <c:formatCode>General</c:formatCode>
                <c:ptCount val="5"/>
                <c:pt idx="0">
                  <c:v>1.7989999999999999</c:v>
                </c:pt>
                <c:pt idx="1">
                  <c:v>1356669348569.3999</c:v>
                </c:pt>
                <c:pt idx="2">
                  <c:v>9316319367.2439995</c:v>
                </c:pt>
                <c:pt idx="3">
                  <c:v>1.673</c:v>
                </c:pt>
                <c:pt idx="4">
                  <c:v>1.6619999999999999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9FC-8D4A-B123E1CA7D16}"/>
            </c:ext>
          </c:extLst>
        </c:ser>
        <c:ser>
          <c:idx val="1"/>
          <c:order val="1"/>
          <c:tx>
            <c:strRef>
              <c:f>Sheet1!$FZ$27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Sheet1!$GA$27:$GE$27</c:f>
              <c:numCache>
                <c:formatCode>General</c:formatCode>
                <c:ptCount val="5"/>
                <c:pt idx="0">
                  <c:v>1.7629999999999999</c:v>
                </c:pt>
                <c:pt idx="1">
                  <c:v>1.728</c:v>
                </c:pt>
                <c:pt idx="2">
                  <c:v>1.631</c:v>
                </c:pt>
                <c:pt idx="3">
                  <c:v>1.623</c:v>
                </c:pt>
                <c:pt idx="4">
                  <c:v>1.6459999999999999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9FC-8D4A-B123E1CA7D16}"/>
            </c:ext>
          </c:extLst>
        </c:ser>
        <c:ser>
          <c:idx val="2"/>
          <c:order val="2"/>
          <c:tx>
            <c:strRef>
              <c:f>Sheet1!$FZ$28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Sheet1!$GA$28:$GE$28</c:f>
              <c:numCache>
                <c:formatCode>General</c:formatCode>
                <c:ptCount val="5"/>
                <c:pt idx="0">
                  <c:v>1.66</c:v>
                </c:pt>
                <c:pt idx="1">
                  <c:v>1.909</c:v>
                </c:pt>
                <c:pt idx="2">
                  <c:v>2.3780000000000001</c:v>
                </c:pt>
                <c:pt idx="3">
                  <c:v>2.3780000000000001</c:v>
                </c:pt>
                <c:pt idx="4">
                  <c:v>2.3780000000000001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9FC-8D4A-B123E1CA7D16}"/>
            </c:ext>
          </c:extLst>
        </c:ser>
        <c:ser>
          <c:idx val="3"/>
          <c:order val="3"/>
          <c:tx>
            <c:strRef>
              <c:f>Sheet1!$FZ$29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Sheet1!$GA$29:$GE$29</c:f>
              <c:numCache>
                <c:formatCode>General</c:formatCode>
                <c:ptCount val="5"/>
                <c:pt idx="0">
                  <c:v>1.7430000000000001</c:v>
                </c:pt>
                <c:pt idx="1">
                  <c:v>1.6819999999999999</c:v>
                </c:pt>
                <c:pt idx="2">
                  <c:v>1.671</c:v>
                </c:pt>
                <c:pt idx="3">
                  <c:v>1.7070000000000001</c:v>
                </c:pt>
                <c:pt idx="4">
                  <c:v>1.7470000000000001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9FC-8D4A-B123E1CA7D16}"/>
            </c:ext>
          </c:extLst>
        </c:ser>
        <c:ser>
          <c:idx val="4"/>
          <c:order val="4"/>
          <c:tx>
            <c:strRef>
              <c:f>Sheet1!$FZ$30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Sheet1!$GA$30:$GE$30</c:f>
              <c:numCache>
                <c:formatCode>General</c:formatCode>
                <c:ptCount val="5"/>
                <c:pt idx="0">
                  <c:v>1.6579999999999999</c:v>
                </c:pt>
                <c:pt idx="1">
                  <c:v>1.909</c:v>
                </c:pt>
                <c:pt idx="2">
                  <c:v>2.3780000000000001</c:v>
                </c:pt>
                <c:pt idx="3">
                  <c:v>1.7629999999999999</c:v>
                </c:pt>
                <c:pt idx="4">
                  <c:v>1.8029999999999999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C-49FC-8D4A-B123E1CA7D16}"/>
            </c:ext>
          </c:extLst>
        </c:ser>
        <c:ser>
          <c:idx val="5"/>
          <c:order val="5"/>
          <c:tx>
            <c:strRef>
              <c:f>Sheet1!$FZ$31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Sheet1!$GA$31:$GE$31</c:f>
              <c:numCache>
                <c:formatCode>General</c:formatCode>
                <c:ptCount val="5"/>
                <c:pt idx="0">
                  <c:v>1.776</c:v>
                </c:pt>
                <c:pt idx="1">
                  <c:v>1.7589999999999999</c:v>
                </c:pt>
                <c:pt idx="2">
                  <c:v>1.7070000000000001</c:v>
                </c:pt>
                <c:pt idx="3">
                  <c:v>1.677</c:v>
                </c:pt>
                <c:pt idx="4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C-49FC-8D4A-B123E1CA7D16}"/>
            </c:ext>
          </c:extLst>
        </c:ser>
        <c:ser>
          <c:idx val="6"/>
          <c:order val="6"/>
          <c:tx>
            <c:strRef>
              <c:f>Sheet1!$FZ$32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Sheet1!$GA$32:$GE$32</c:f>
              <c:numCache>
                <c:formatCode>General</c:formatCode>
                <c:ptCount val="5"/>
                <c:pt idx="0">
                  <c:v>2.2930000000000001</c:v>
                </c:pt>
                <c:pt idx="1">
                  <c:v>2.29</c:v>
                </c:pt>
                <c:pt idx="2">
                  <c:v>1.885</c:v>
                </c:pt>
                <c:pt idx="3">
                  <c:v>1.86</c:v>
                </c:pt>
                <c:pt idx="4">
                  <c:v>1.865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EC-49FC-8D4A-B123E1CA7D16}"/>
            </c:ext>
          </c:extLst>
        </c:ser>
        <c:ser>
          <c:idx val="7"/>
          <c:order val="7"/>
          <c:tx>
            <c:strRef>
              <c:f>Sheet1!$FZ$33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Sheet1!$GA$33:$GE$33</c:f>
              <c:numCache>
                <c:formatCode>General</c:formatCode>
                <c:ptCount val="5"/>
                <c:pt idx="0">
                  <c:v>1.673</c:v>
                </c:pt>
                <c:pt idx="1">
                  <c:v>1.673</c:v>
                </c:pt>
                <c:pt idx="2">
                  <c:v>1.7410000000000001</c:v>
                </c:pt>
                <c:pt idx="3">
                  <c:v>1.8</c:v>
                </c:pt>
                <c:pt idx="4">
                  <c:v>1.843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EC-49FC-8D4A-B123E1CA7D16}"/>
            </c:ext>
          </c:extLst>
        </c:ser>
        <c:ser>
          <c:idx val="8"/>
          <c:order val="8"/>
          <c:tx>
            <c:strRef>
              <c:f>Sheet1!$FZ$34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Sheet1!$GA$34:$GE$34</c:f>
              <c:numCache>
                <c:formatCode>General</c:formatCode>
                <c:ptCount val="5"/>
                <c:pt idx="0">
                  <c:v>1.6970000000000001</c:v>
                </c:pt>
                <c:pt idx="1">
                  <c:v>1.698</c:v>
                </c:pt>
                <c:pt idx="2">
                  <c:v>1.7</c:v>
                </c:pt>
                <c:pt idx="3">
                  <c:v>1.776</c:v>
                </c:pt>
                <c:pt idx="4">
                  <c:v>1.7549999999999999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EC-49FC-8D4A-B123E1CA7D16}"/>
            </c:ext>
          </c:extLst>
        </c:ser>
        <c:ser>
          <c:idx val="9"/>
          <c:order val="9"/>
          <c:tx>
            <c:strRef>
              <c:f>Sheet1!$FZ$35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Sheet1!$GA$35:$GE$35</c:f>
              <c:numCache>
                <c:formatCode>General</c:formatCode>
                <c:ptCount val="5"/>
                <c:pt idx="0">
                  <c:v>1.645</c:v>
                </c:pt>
                <c:pt idx="1">
                  <c:v>1.645</c:v>
                </c:pt>
                <c:pt idx="2">
                  <c:v>1.629</c:v>
                </c:pt>
                <c:pt idx="3">
                  <c:v>1.633</c:v>
                </c:pt>
                <c:pt idx="4">
                  <c:v>1.645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EC-49FC-8D4A-B123E1CA7D16}"/>
            </c:ext>
          </c:extLst>
        </c:ser>
        <c:ser>
          <c:idx val="10"/>
          <c:order val="10"/>
          <c:tx>
            <c:strRef>
              <c:f>Sheet1!$FZ$36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Sheet1!$GA$36:$GE$36</c:f>
              <c:numCache>
                <c:formatCode>General</c:formatCode>
                <c:ptCount val="5"/>
                <c:pt idx="0">
                  <c:v>1.804</c:v>
                </c:pt>
                <c:pt idx="1">
                  <c:v>1.8939999999999999</c:v>
                </c:pt>
                <c:pt idx="2">
                  <c:v>1.651</c:v>
                </c:pt>
                <c:pt idx="3">
                  <c:v>1.617</c:v>
                </c:pt>
                <c:pt idx="4">
                  <c:v>1.645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EC-49FC-8D4A-B123E1CA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04752"/>
        <c:axId val="2008843360"/>
      </c:lineChart>
      <c:catAx>
        <c:axId val="1054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3360"/>
        <c:crosses val="autoZero"/>
        <c:auto val="1"/>
        <c:lblAlgn val="ctr"/>
        <c:lblOffset val="100"/>
        <c:noMultiLvlLbl val="0"/>
      </c:catAx>
      <c:valAx>
        <c:axId val="2008843360"/>
        <c:scaling>
          <c:orientation val="minMax"/>
          <c:max val="1.7000000000000002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30000"/>
              <a:t>2</a:t>
            </a:r>
            <a:r>
              <a:rPr lang="en-US" baseline="0"/>
              <a:t> - Severity of Complications (Regression)</a:t>
            </a:r>
            <a:endParaRPr lang="en-US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Sheet1!$GN$26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Sheet1!$GO$26:$GS$26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-2.8640438780803798E+24</c:v>
                </c:pt>
                <c:pt idx="2">
                  <c:v>-2.5623807886219602E+20</c:v>
                </c:pt>
                <c:pt idx="3">
                  <c:v>0.20899999999999999</c:v>
                </c:pt>
                <c:pt idx="4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133-B25C-64C3C038E289}"/>
            </c:ext>
          </c:extLst>
        </c:ser>
        <c:ser>
          <c:idx val="1"/>
          <c:order val="1"/>
          <c:tx>
            <c:strRef>
              <c:f>Sheet1!$GN$27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Sheet1!$GO$27:$GS$27</c:f>
              <c:numCache>
                <c:formatCode>General</c:formatCode>
                <c:ptCount val="5"/>
                <c:pt idx="0">
                  <c:v>0.125</c:v>
                </c:pt>
                <c:pt idx="1">
                  <c:v>0.158</c:v>
                </c:pt>
                <c:pt idx="2">
                  <c:v>0.248</c:v>
                </c:pt>
                <c:pt idx="3">
                  <c:v>0.253</c:v>
                </c:pt>
                <c:pt idx="4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133-B25C-64C3C038E289}"/>
            </c:ext>
          </c:extLst>
        </c:ser>
        <c:ser>
          <c:idx val="2"/>
          <c:order val="2"/>
          <c:tx>
            <c:strRef>
              <c:f>Sheet1!$GN$28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Sheet1!$GO$28:$GS$28</c:f>
              <c:numCache>
                <c:formatCode>General</c:formatCode>
                <c:ptCount val="5"/>
                <c:pt idx="0">
                  <c:v>0.221</c:v>
                </c:pt>
                <c:pt idx="1">
                  <c:v>-2.1000000000000001E-2</c:v>
                </c:pt>
                <c:pt idx="2">
                  <c:v>-0.58399999999999996</c:v>
                </c:pt>
                <c:pt idx="3">
                  <c:v>-0.58399999999999996</c:v>
                </c:pt>
                <c:pt idx="4">
                  <c:v>-0.58399999999999996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133-B25C-64C3C038E289}"/>
            </c:ext>
          </c:extLst>
        </c:ser>
        <c:ser>
          <c:idx val="3"/>
          <c:order val="3"/>
          <c:tx>
            <c:strRef>
              <c:f>Sheet1!$GN$29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Sheet1!$GO$29:$GS$29</c:f>
              <c:numCache>
                <c:formatCode>General</c:formatCode>
                <c:ptCount val="5"/>
                <c:pt idx="0">
                  <c:v>0.13800000000000001</c:v>
                </c:pt>
                <c:pt idx="1">
                  <c:v>0.19600000000000001</c:v>
                </c:pt>
                <c:pt idx="2">
                  <c:v>0.20399999999999999</c:v>
                </c:pt>
                <c:pt idx="3">
                  <c:v>0.17199999999999999</c:v>
                </c:pt>
                <c:pt idx="4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133-B25C-64C3C038E289}"/>
            </c:ext>
          </c:extLst>
        </c:ser>
        <c:ser>
          <c:idx val="4"/>
          <c:order val="4"/>
          <c:tx>
            <c:strRef>
              <c:f>Sheet1!$GN$30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Sheet1!$GO$30:$GS$30</c:f>
              <c:numCache>
                <c:formatCode>General</c:formatCode>
                <c:ptCount val="5"/>
                <c:pt idx="0">
                  <c:v>0.222</c:v>
                </c:pt>
                <c:pt idx="1">
                  <c:v>-2.1000000000000001E-2</c:v>
                </c:pt>
                <c:pt idx="2">
                  <c:v>-0.58399999999999996</c:v>
                </c:pt>
                <c:pt idx="3">
                  <c:v>0.13</c:v>
                </c:pt>
                <c:pt idx="4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3-4133-B25C-64C3C038E289}"/>
            </c:ext>
          </c:extLst>
        </c:ser>
        <c:ser>
          <c:idx val="5"/>
          <c:order val="5"/>
          <c:tx>
            <c:strRef>
              <c:f>Sheet1!$GN$31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Sheet1!$GO$31:$GS$31</c:f>
              <c:numCache>
                <c:formatCode>General</c:formatCode>
                <c:ptCount val="5"/>
                <c:pt idx="0">
                  <c:v>0.111</c:v>
                </c:pt>
                <c:pt idx="1">
                  <c:v>0.126</c:v>
                </c:pt>
                <c:pt idx="2">
                  <c:v>0.17799999999999999</c:v>
                </c:pt>
                <c:pt idx="3">
                  <c:v>0.20799999999999999</c:v>
                </c:pt>
                <c:pt idx="4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3-4133-B25C-64C3C038E289}"/>
            </c:ext>
          </c:extLst>
        </c:ser>
        <c:ser>
          <c:idx val="6"/>
          <c:order val="6"/>
          <c:tx>
            <c:strRef>
              <c:f>Sheet1!$GN$32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Sheet1!$GO$32:$GS$32</c:f>
              <c:numCache>
                <c:formatCode>General</c:formatCode>
                <c:ptCount val="5"/>
                <c:pt idx="0">
                  <c:v>-0.50900000000000001</c:v>
                </c:pt>
                <c:pt idx="1">
                  <c:v>-0.50600000000000001</c:v>
                </c:pt>
                <c:pt idx="2">
                  <c:v>-5.0000000000000001E-3</c:v>
                </c:pt>
                <c:pt idx="3">
                  <c:v>1.7000000000000001E-2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3-4133-B25C-64C3C038E289}"/>
            </c:ext>
          </c:extLst>
        </c:ser>
        <c:ser>
          <c:idx val="7"/>
          <c:order val="7"/>
          <c:tx>
            <c:strRef>
              <c:f>Sheet1!$GN$33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Sheet1!$GO$33:$GS$33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0.20200000000000001</c:v>
                </c:pt>
                <c:pt idx="2">
                  <c:v>0.13900000000000001</c:v>
                </c:pt>
                <c:pt idx="3">
                  <c:v>8.2000000000000003E-2</c:v>
                </c:pt>
                <c:pt idx="4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B3-4133-B25C-64C3C038E289}"/>
            </c:ext>
          </c:extLst>
        </c:ser>
        <c:ser>
          <c:idx val="8"/>
          <c:order val="8"/>
          <c:tx>
            <c:strRef>
              <c:f>Sheet1!$GN$34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Sheet1!$GO$34:$GS$34</c:f>
              <c:numCache>
                <c:formatCode>General</c:formatCode>
                <c:ptCount val="5"/>
                <c:pt idx="0">
                  <c:v>0.185</c:v>
                </c:pt>
                <c:pt idx="1">
                  <c:v>0.184</c:v>
                </c:pt>
                <c:pt idx="2">
                  <c:v>0.183</c:v>
                </c:pt>
                <c:pt idx="3">
                  <c:v>0.108</c:v>
                </c:pt>
                <c:pt idx="4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B3-4133-B25C-64C3C038E289}"/>
            </c:ext>
          </c:extLst>
        </c:ser>
        <c:ser>
          <c:idx val="9"/>
          <c:order val="9"/>
          <c:tx>
            <c:strRef>
              <c:f>Sheet1!$GN$35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Sheet1!$GO$35:$GS$35</c:f>
              <c:numCache>
                <c:formatCode>General</c:formatCode>
                <c:ptCount val="5"/>
                <c:pt idx="0">
                  <c:v>0.23300000000000001</c:v>
                </c:pt>
                <c:pt idx="1">
                  <c:v>0.23300000000000001</c:v>
                </c:pt>
                <c:pt idx="2">
                  <c:v>0.248</c:v>
                </c:pt>
                <c:pt idx="3">
                  <c:v>0.24399999999999999</c:v>
                </c:pt>
                <c:pt idx="4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B3-4133-B25C-64C3C038E289}"/>
            </c:ext>
          </c:extLst>
        </c:ser>
        <c:ser>
          <c:idx val="10"/>
          <c:order val="10"/>
          <c:tx>
            <c:strRef>
              <c:f>Sheet1!$GN$36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Sheet1!$GO$36:$GS$36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-2.8000000000000001E-2</c:v>
                </c:pt>
                <c:pt idx="2">
                  <c:v>0.22500000000000001</c:v>
                </c:pt>
                <c:pt idx="3">
                  <c:v>0.25800000000000001</c:v>
                </c:pt>
                <c:pt idx="4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B3-4133-B25C-64C3C038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65504"/>
        <c:axId val="2008848352"/>
      </c:lineChart>
      <c:catAx>
        <c:axId val="927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8352"/>
        <c:crosses val="autoZero"/>
        <c:auto val="1"/>
        <c:lblAlgn val="ctr"/>
        <c:lblOffset val="100"/>
        <c:noMultiLvlLbl val="0"/>
      </c:catAx>
      <c:valAx>
        <c:axId val="2008848352"/>
        <c:scaling>
          <c:orientation val="minMax"/>
          <c:max val="0.30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Sheet1!$HB$26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Sheet1!$HC$26:$HG$26</c:f>
              <c:numCache>
                <c:formatCode>General</c:formatCode>
                <c:ptCount val="5"/>
                <c:pt idx="0">
                  <c:v>0.32500000000000001</c:v>
                </c:pt>
                <c:pt idx="1">
                  <c:v>0.33800000000000002</c:v>
                </c:pt>
                <c:pt idx="2">
                  <c:v>0.318</c:v>
                </c:pt>
                <c:pt idx="3">
                  <c:v>0.34699999999999998</c:v>
                </c:pt>
                <c:pt idx="4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2A5-900B-901AD05C6518}"/>
            </c:ext>
          </c:extLst>
        </c:ser>
        <c:ser>
          <c:idx val="1"/>
          <c:order val="1"/>
          <c:tx>
            <c:strRef>
              <c:f>Sheet1!$HB$27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Sheet1!$HC$27:$HG$27</c:f>
              <c:numCache>
                <c:formatCode>General</c:formatCode>
                <c:ptCount val="5"/>
                <c:pt idx="0">
                  <c:v>0.33700000000000002</c:v>
                </c:pt>
                <c:pt idx="1">
                  <c:v>0.35799999999999998</c:v>
                </c:pt>
                <c:pt idx="2">
                  <c:v>0.32400000000000001</c:v>
                </c:pt>
                <c:pt idx="3">
                  <c:v>0.34200000000000003</c:v>
                </c:pt>
                <c:pt idx="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5-42A5-900B-901AD05C6518}"/>
            </c:ext>
          </c:extLst>
        </c:ser>
        <c:ser>
          <c:idx val="2"/>
          <c:order val="2"/>
          <c:tx>
            <c:strRef>
              <c:f>Sheet1!$HB$28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Sheet1!$HC$28:$HG$28</c:f>
              <c:numCache>
                <c:formatCode>General</c:formatCode>
                <c:ptCount val="5"/>
                <c:pt idx="0">
                  <c:v>0.29499999999999998</c:v>
                </c:pt>
                <c:pt idx="1">
                  <c:v>0.04</c:v>
                </c:pt>
                <c:pt idx="2">
                  <c:v>0.53200000000000003</c:v>
                </c:pt>
                <c:pt idx="3">
                  <c:v>0.53200000000000003</c:v>
                </c:pt>
                <c:pt idx="4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5-42A5-900B-901AD05C6518}"/>
            </c:ext>
          </c:extLst>
        </c:ser>
        <c:ser>
          <c:idx val="3"/>
          <c:order val="3"/>
          <c:tx>
            <c:strRef>
              <c:f>Sheet1!$HB$29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Sheet1!$HC$29:$HG$29</c:f>
              <c:numCache>
                <c:formatCode>General</c:formatCode>
                <c:ptCount val="5"/>
                <c:pt idx="0">
                  <c:v>0.47199999999999998</c:v>
                </c:pt>
                <c:pt idx="1">
                  <c:v>0.46800000000000003</c:v>
                </c:pt>
                <c:pt idx="2">
                  <c:v>0.46600000000000003</c:v>
                </c:pt>
                <c:pt idx="3">
                  <c:v>0.46800000000000003</c:v>
                </c:pt>
                <c:pt idx="4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5-42A5-900B-901AD05C6518}"/>
            </c:ext>
          </c:extLst>
        </c:ser>
        <c:ser>
          <c:idx val="4"/>
          <c:order val="4"/>
          <c:tx>
            <c:strRef>
              <c:f>Sheet1!$HB$30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Sheet1!$HC$30:$HG$30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0.04</c:v>
                </c:pt>
                <c:pt idx="2">
                  <c:v>0.53200000000000003</c:v>
                </c:pt>
                <c:pt idx="3">
                  <c:v>0.248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5-42A5-900B-901AD05C6518}"/>
            </c:ext>
          </c:extLst>
        </c:ser>
        <c:ser>
          <c:idx val="5"/>
          <c:order val="5"/>
          <c:tx>
            <c:strRef>
              <c:f>Sheet1!$HB$31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Sheet1!$HC$31:$HG$31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0.372</c:v>
                </c:pt>
                <c:pt idx="2">
                  <c:v>0.374</c:v>
                </c:pt>
                <c:pt idx="3">
                  <c:v>0.34899999999999998</c:v>
                </c:pt>
                <c:pt idx="4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5-42A5-900B-901AD05C6518}"/>
            </c:ext>
          </c:extLst>
        </c:ser>
        <c:ser>
          <c:idx val="6"/>
          <c:order val="6"/>
          <c:tx>
            <c:strRef>
              <c:f>Sheet1!$HB$32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Sheet1!$HC$32:$HG$32</c:f>
              <c:numCache>
                <c:formatCode>General</c:formatCode>
                <c:ptCount val="5"/>
                <c:pt idx="0">
                  <c:v>0.432</c:v>
                </c:pt>
                <c:pt idx="1">
                  <c:v>0.43099999999999999</c:v>
                </c:pt>
                <c:pt idx="2">
                  <c:v>0.51700000000000002</c:v>
                </c:pt>
                <c:pt idx="3">
                  <c:v>0.502</c:v>
                </c:pt>
                <c:pt idx="4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5-42A5-900B-901AD05C6518}"/>
            </c:ext>
          </c:extLst>
        </c:ser>
        <c:ser>
          <c:idx val="7"/>
          <c:order val="7"/>
          <c:tx>
            <c:strRef>
              <c:f>Sheet1!$HB$33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Sheet1!$HC$33:$HG$33</c:f>
              <c:numCache>
                <c:formatCode>General</c:formatCode>
                <c:ptCount val="5"/>
                <c:pt idx="0">
                  <c:v>0.33400000000000002</c:v>
                </c:pt>
                <c:pt idx="1">
                  <c:v>0.33700000000000002</c:v>
                </c:pt>
                <c:pt idx="2">
                  <c:v>0.48699999999999999</c:v>
                </c:pt>
                <c:pt idx="3">
                  <c:v>0.496</c:v>
                </c:pt>
                <c:pt idx="4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5-42A5-900B-901AD05C6518}"/>
            </c:ext>
          </c:extLst>
        </c:ser>
        <c:ser>
          <c:idx val="8"/>
          <c:order val="8"/>
          <c:tx>
            <c:strRef>
              <c:f>Sheet1!$HB$34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Sheet1!$HC$34:$HG$34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0.40100000000000002</c:v>
                </c:pt>
                <c:pt idx="3">
                  <c:v>0.41699999999999998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5-42A5-900B-901AD05C6518}"/>
            </c:ext>
          </c:extLst>
        </c:ser>
        <c:ser>
          <c:idx val="9"/>
          <c:order val="9"/>
          <c:tx>
            <c:strRef>
              <c:f>Sheet1!$HB$35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Sheet1!$HC$35:$HG$35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0.34200000000000003</c:v>
                </c:pt>
                <c:pt idx="2">
                  <c:v>0.34200000000000003</c:v>
                </c:pt>
                <c:pt idx="3">
                  <c:v>0.35699999999999998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5-42A5-900B-901AD05C6518}"/>
            </c:ext>
          </c:extLst>
        </c:ser>
        <c:ser>
          <c:idx val="10"/>
          <c:order val="10"/>
          <c:tx>
            <c:strRef>
              <c:f>Sheet1!$HB$36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Sheet1!$HC$36:$HG$36</c:f>
              <c:numCache>
                <c:formatCode>General</c:formatCode>
                <c:ptCount val="5"/>
                <c:pt idx="0">
                  <c:v>0.36799999999999999</c:v>
                </c:pt>
                <c:pt idx="1">
                  <c:v>0.36099999999999999</c:v>
                </c:pt>
                <c:pt idx="2">
                  <c:v>0.33500000000000002</c:v>
                </c:pt>
                <c:pt idx="3">
                  <c:v>0.34899999999999998</c:v>
                </c:pt>
                <c:pt idx="4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55-42A5-900B-901AD05C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18960"/>
        <c:axId val="2008857504"/>
      </c:lineChart>
      <c:catAx>
        <c:axId val="2834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7504"/>
        <c:crosses val="autoZero"/>
        <c:auto val="1"/>
        <c:lblAlgn val="ctr"/>
        <c:lblOffset val="100"/>
        <c:noMultiLvlLbl val="0"/>
      </c:catAx>
      <c:valAx>
        <c:axId val="20088575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Severity of</a:t>
            </a:r>
            <a:r>
              <a:rPr lang="en-US" baseline="0"/>
              <a:t> Complications (Regression)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Sheet1!$HP$26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Sheet1!$HQ$26:$HU$26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9.4E-2</c:v>
                </c:pt>
                <c:pt idx="2">
                  <c:v>8.7999999999999995E-2</c:v>
                </c:pt>
                <c:pt idx="3">
                  <c:v>0.12</c:v>
                </c:pt>
                <c:pt idx="4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7-4260-AAD5-723BC425984A}"/>
            </c:ext>
          </c:extLst>
        </c:ser>
        <c:ser>
          <c:idx val="1"/>
          <c:order val="1"/>
          <c:tx>
            <c:strRef>
              <c:f>Sheet1!$HP$27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Sheet1!$HQ$27:$HU$27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0.121</c:v>
                </c:pt>
                <c:pt idx="2">
                  <c:v>0.112</c:v>
                </c:pt>
                <c:pt idx="3">
                  <c:v>0.11799999999999999</c:v>
                </c:pt>
                <c:pt idx="4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7-4260-AAD5-723BC425984A}"/>
            </c:ext>
          </c:extLst>
        </c:ser>
        <c:ser>
          <c:idx val="2"/>
          <c:order val="2"/>
          <c:tx>
            <c:strRef>
              <c:f>Sheet1!$HP$28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Sheet1!$HQ$28:$HU$28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7-4260-AAD5-723BC425984A}"/>
            </c:ext>
          </c:extLst>
        </c:ser>
        <c:ser>
          <c:idx val="3"/>
          <c:order val="3"/>
          <c:tx>
            <c:strRef>
              <c:f>Sheet1!$HP$29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Sheet1!$HQ$29:$HU$29</c:f>
              <c:numCache>
                <c:formatCode>General</c:formatCode>
                <c:ptCount val="5"/>
                <c:pt idx="0">
                  <c:v>0.121</c:v>
                </c:pt>
                <c:pt idx="1">
                  <c:v>0.154</c:v>
                </c:pt>
                <c:pt idx="2">
                  <c:v>0.161</c:v>
                </c:pt>
                <c:pt idx="3">
                  <c:v>0.14000000000000001</c:v>
                </c:pt>
                <c:pt idx="4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7-4260-AAD5-723BC425984A}"/>
            </c:ext>
          </c:extLst>
        </c:ser>
        <c:ser>
          <c:idx val="4"/>
          <c:order val="4"/>
          <c:tx>
            <c:strRef>
              <c:f>Sheet1!$HP$30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Sheet1!$HQ$30:$HU$30</c:f>
              <c:numCache>
                <c:formatCode>General</c:formatCode>
                <c:ptCount val="5"/>
                <c:pt idx="0">
                  <c:v>8.8999999999999996E-2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7-4260-AAD5-723BC425984A}"/>
            </c:ext>
          </c:extLst>
        </c:ser>
        <c:ser>
          <c:idx val="5"/>
          <c:order val="5"/>
          <c:tx>
            <c:strRef>
              <c:f>Sheet1!$HP$31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Sheet1!$HQ$31:$HU$31</c:f>
              <c:numCache>
                <c:formatCode>General</c:formatCode>
                <c:ptCount val="5"/>
                <c:pt idx="0">
                  <c:v>0.113</c:v>
                </c:pt>
                <c:pt idx="1">
                  <c:v>6.7000000000000004E-2</c:v>
                </c:pt>
                <c:pt idx="2">
                  <c:v>0.10299999999999999</c:v>
                </c:pt>
                <c:pt idx="3">
                  <c:v>9.9000000000000005E-2</c:v>
                </c:pt>
                <c:pt idx="4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7-4260-AAD5-723BC425984A}"/>
            </c:ext>
          </c:extLst>
        </c:ser>
        <c:ser>
          <c:idx val="6"/>
          <c:order val="6"/>
          <c:tx>
            <c:strRef>
              <c:f>Sheet1!$HP$32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Sheet1!$HQ$32:$HU$32</c:f>
              <c:numCache>
                <c:formatCode>General</c:formatCode>
                <c:ptCount val="5"/>
                <c:pt idx="0">
                  <c:v>0.105</c:v>
                </c:pt>
                <c:pt idx="1">
                  <c:v>0.105</c:v>
                </c:pt>
                <c:pt idx="2">
                  <c:v>0.191</c:v>
                </c:pt>
                <c:pt idx="3">
                  <c:v>0.19700000000000001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7-4260-AAD5-723BC425984A}"/>
            </c:ext>
          </c:extLst>
        </c:ser>
        <c:ser>
          <c:idx val="7"/>
          <c:order val="7"/>
          <c:tx>
            <c:strRef>
              <c:f>Sheet1!$HP$33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Sheet1!$HQ$33:$HU$33</c:f>
              <c:numCache>
                <c:formatCode>General</c:formatCode>
                <c:ptCount val="5"/>
                <c:pt idx="0">
                  <c:v>0.113</c:v>
                </c:pt>
                <c:pt idx="1">
                  <c:v>0.115</c:v>
                </c:pt>
                <c:pt idx="2">
                  <c:v>0.14199999999999999</c:v>
                </c:pt>
                <c:pt idx="3">
                  <c:v>0.121</c:v>
                </c:pt>
                <c:pt idx="4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7-4260-AAD5-723BC425984A}"/>
            </c:ext>
          </c:extLst>
        </c:ser>
        <c:ser>
          <c:idx val="8"/>
          <c:order val="8"/>
          <c:tx>
            <c:strRef>
              <c:f>Sheet1!$HP$34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Sheet1!$HQ$34:$HU$34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0.13100000000000001</c:v>
                </c:pt>
                <c:pt idx="3">
                  <c:v>0.123</c:v>
                </c:pt>
                <c:pt idx="4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7-4260-AAD5-723BC425984A}"/>
            </c:ext>
          </c:extLst>
        </c:ser>
        <c:ser>
          <c:idx val="9"/>
          <c:order val="9"/>
          <c:tx>
            <c:strRef>
              <c:f>Sheet1!$HP$35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Sheet1!$HQ$35:$HU$35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0.11799999999999999</c:v>
                </c:pt>
                <c:pt idx="2">
                  <c:v>0.126</c:v>
                </c:pt>
                <c:pt idx="3">
                  <c:v>0.11899999999999999</c:v>
                </c:pt>
                <c:pt idx="4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7-4260-AAD5-723BC425984A}"/>
            </c:ext>
          </c:extLst>
        </c:ser>
        <c:ser>
          <c:idx val="10"/>
          <c:order val="10"/>
          <c:tx>
            <c:strRef>
              <c:f>Sheet1!$HP$36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Sheet1!$HQ$36:$HU$36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0.112</c:v>
                </c:pt>
                <c:pt idx="2">
                  <c:v>0.12</c:v>
                </c:pt>
                <c:pt idx="3">
                  <c:v>0.105</c:v>
                </c:pt>
                <c:pt idx="4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7-4260-AAD5-723BC425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79504"/>
        <c:axId val="2008855424"/>
      </c:lineChart>
      <c:catAx>
        <c:axId val="927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5424"/>
        <c:crosses val="autoZero"/>
        <c:auto val="1"/>
        <c:lblAlgn val="ctr"/>
        <c:lblOffset val="100"/>
        <c:noMultiLvlLbl val="0"/>
      </c:catAx>
      <c:valAx>
        <c:axId val="2008855424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Sheet1!$ID$26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Sheet1!$IE$26:$II$26</c:f>
              <c:numCache>
                <c:formatCode>General</c:formatCode>
                <c:ptCount val="5"/>
                <c:pt idx="0">
                  <c:v>0.14944444444444444</c:v>
                </c:pt>
                <c:pt idx="1">
                  <c:v>0.17774999999999999</c:v>
                </c:pt>
                <c:pt idx="2">
                  <c:v>0.172125</c:v>
                </c:pt>
                <c:pt idx="3">
                  <c:v>0.168625</c:v>
                </c:pt>
                <c:pt idx="4">
                  <c:v>0.171125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481D-B5FC-9F1CC633B63F}"/>
            </c:ext>
          </c:extLst>
        </c:ser>
        <c:ser>
          <c:idx val="1"/>
          <c:order val="1"/>
          <c:tx>
            <c:strRef>
              <c:f>Sheet1!$ID$27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Sheet1!$IE$27:$II$27</c:f>
              <c:numCache>
                <c:formatCode>General</c:formatCode>
                <c:ptCount val="5"/>
                <c:pt idx="0">
                  <c:v>0.17000000000000004</c:v>
                </c:pt>
                <c:pt idx="1">
                  <c:v>0.20562500000000003</c:v>
                </c:pt>
                <c:pt idx="2">
                  <c:v>0.18437500000000001</c:v>
                </c:pt>
                <c:pt idx="3">
                  <c:v>0.17762499999999998</c:v>
                </c:pt>
                <c:pt idx="4">
                  <c:v>0.15412500000000001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481D-B5FC-9F1CC633B63F}"/>
            </c:ext>
          </c:extLst>
        </c:ser>
        <c:ser>
          <c:idx val="2"/>
          <c:order val="2"/>
          <c:tx>
            <c:strRef>
              <c:f>Sheet1!$ID$28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Sheet1!$IE$28:$II$28</c:f>
              <c:numCache>
                <c:formatCode>General</c:formatCode>
                <c:ptCount val="5"/>
                <c:pt idx="0">
                  <c:v>0.11966666666666666</c:v>
                </c:pt>
                <c:pt idx="1">
                  <c:v>0.1125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481D-B5FC-9F1CC633B63F}"/>
            </c:ext>
          </c:extLst>
        </c:ser>
        <c:ser>
          <c:idx val="3"/>
          <c:order val="3"/>
          <c:tx>
            <c:strRef>
              <c:f>Sheet1!$ID$29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Sheet1!$IE$29:$II$29</c:f>
              <c:numCache>
                <c:formatCode>General</c:formatCode>
                <c:ptCount val="5"/>
                <c:pt idx="0">
                  <c:v>0.1401111111111111</c:v>
                </c:pt>
                <c:pt idx="1">
                  <c:v>0.145125</c:v>
                </c:pt>
                <c:pt idx="2">
                  <c:v>0.15525</c:v>
                </c:pt>
                <c:pt idx="3">
                  <c:v>0.17162500000000003</c:v>
                </c:pt>
                <c:pt idx="4">
                  <c:v>0.15737500000000001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0-481D-B5FC-9F1CC633B63F}"/>
            </c:ext>
          </c:extLst>
        </c:ser>
        <c:ser>
          <c:idx val="4"/>
          <c:order val="4"/>
          <c:tx>
            <c:strRef>
              <c:f>Sheet1!$ID$30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Sheet1!$IE$30:$II$30</c:f>
              <c:numCache>
                <c:formatCode>General</c:formatCode>
                <c:ptCount val="5"/>
                <c:pt idx="0">
                  <c:v>0.13444444444444445</c:v>
                </c:pt>
                <c:pt idx="1">
                  <c:v>0.1125</c:v>
                </c:pt>
                <c:pt idx="2">
                  <c:v>0.125</c:v>
                </c:pt>
                <c:pt idx="3">
                  <c:v>0.113125</c:v>
                </c:pt>
                <c:pt idx="4">
                  <c:v>0.13012499999999999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0-481D-B5FC-9F1CC633B63F}"/>
            </c:ext>
          </c:extLst>
        </c:ser>
        <c:ser>
          <c:idx val="5"/>
          <c:order val="5"/>
          <c:tx>
            <c:strRef>
              <c:f>Sheet1!$ID$31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Sheet1!$IE$31:$II$31</c:f>
              <c:numCache>
                <c:formatCode>General</c:formatCode>
                <c:ptCount val="5"/>
                <c:pt idx="0">
                  <c:v>0.16922222222222227</c:v>
                </c:pt>
                <c:pt idx="1">
                  <c:v>0.14987500000000001</c:v>
                </c:pt>
                <c:pt idx="2">
                  <c:v>0.14212500000000003</c:v>
                </c:pt>
                <c:pt idx="3">
                  <c:v>0.13325000000000001</c:v>
                </c:pt>
                <c:pt idx="4">
                  <c:v>0.15862499999999999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0-481D-B5FC-9F1CC633B63F}"/>
            </c:ext>
          </c:extLst>
        </c:ser>
        <c:ser>
          <c:idx val="6"/>
          <c:order val="6"/>
          <c:tx>
            <c:strRef>
              <c:f>Sheet1!$ID$32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Sheet1!$IE$32:$II$32</c:f>
              <c:numCache>
                <c:formatCode>General</c:formatCode>
                <c:ptCount val="5"/>
                <c:pt idx="0">
                  <c:v>0.17737500000000003</c:v>
                </c:pt>
                <c:pt idx="1">
                  <c:v>0.17712500000000003</c:v>
                </c:pt>
                <c:pt idx="2">
                  <c:v>0.173625</c:v>
                </c:pt>
                <c:pt idx="3">
                  <c:v>0.20750000000000002</c:v>
                </c:pt>
                <c:pt idx="4">
                  <c:v>0.15812499999999999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0-481D-B5FC-9F1CC633B63F}"/>
            </c:ext>
          </c:extLst>
        </c:ser>
        <c:ser>
          <c:idx val="7"/>
          <c:order val="7"/>
          <c:tx>
            <c:strRef>
              <c:f>Sheet1!$ID$33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Sheet1!$IE$33:$II$33</c:f>
              <c:numCache>
                <c:formatCode>General</c:formatCode>
                <c:ptCount val="5"/>
                <c:pt idx="0">
                  <c:v>0.15466666666666665</c:v>
                </c:pt>
                <c:pt idx="1">
                  <c:v>0.17475000000000002</c:v>
                </c:pt>
                <c:pt idx="2">
                  <c:v>0.13749999999999998</c:v>
                </c:pt>
                <c:pt idx="3">
                  <c:v>0.15487500000000001</c:v>
                </c:pt>
                <c:pt idx="4">
                  <c:v>0.144875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0-481D-B5FC-9F1CC633B63F}"/>
            </c:ext>
          </c:extLst>
        </c:ser>
        <c:ser>
          <c:idx val="8"/>
          <c:order val="8"/>
          <c:tx>
            <c:strRef>
              <c:f>Sheet1!$ID$34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Sheet1!$IE$34:$II$34</c:f>
              <c:numCache>
                <c:formatCode>General</c:formatCode>
                <c:ptCount val="5"/>
                <c:pt idx="0">
                  <c:v>0.15111111111111108</c:v>
                </c:pt>
                <c:pt idx="1">
                  <c:v>0.16999999999999998</c:v>
                </c:pt>
                <c:pt idx="2">
                  <c:v>0.17675000000000002</c:v>
                </c:pt>
                <c:pt idx="3">
                  <c:v>0.13912499999999997</c:v>
                </c:pt>
                <c:pt idx="4">
                  <c:v>0.15275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0-481D-B5FC-9F1CC633B63F}"/>
            </c:ext>
          </c:extLst>
        </c:ser>
        <c:ser>
          <c:idx val="9"/>
          <c:order val="9"/>
          <c:tx>
            <c:strRef>
              <c:f>Sheet1!$ID$35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Sheet1!$IE$35:$II$35</c:f>
              <c:numCache>
                <c:formatCode>General</c:formatCode>
                <c:ptCount val="5"/>
                <c:pt idx="0">
                  <c:v>0.16533333333333333</c:v>
                </c:pt>
                <c:pt idx="1">
                  <c:v>0.186</c:v>
                </c:pt>
                <c:pt idx="2">
                  <c:v>0.1865</c:v>
                </c:pt>
                <c:pt idx="3">
                  <c:v>0.16949999999999998</c:v>
                </c:pt>
                <c:pt idx="4">
                  <c:v>0.16225000000000001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40-481D-B5FC-9F1CC633B63F}"/>
            </c:ext>
          </c:extLst>
        </c:ser>
        <c:ser>
          <c:idx val="10"/>
          <c:order val="10"/>
          <c:tx>
            <c:strRef>
              <c:f>Sheet1!$ID$36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Sheet1!$IE$36:$II$36</c:f>
              <c:numCache>
                <c:formatCode>General</c:formatCode>
                <c:ptCount val="5"/>
                <c:pt idx="0">
                  <c:v>0.19133333333333336</c:v>
                </c:pt>
                <c:pt idx="1">
                  <c:v>0.18999999999999997</c:v>
                </c:pt>
                <c:pt idx="2">
                  <c:v>0.14512499999999998</c:v>
                </c:pt>
                <c:pt idx="3">
                  <c:v>0.15337500000000001</c:v>
                </c:pt>
                <c:pt idx="4">
                  <c:v>0.18312499999999998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40-481D-B5FC-9F1CC633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6256"/>
        <c:axId val="2012595056"/>
      </c:lineChart>
      <c:catAx>
        <c:axId val="1985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95056"/>
        <c:crosses val="autoZero"/>
        <c:auto val="1"/>
        <c:lblAlgn val="ctr"/>
        <c:lblOffset val="100"/>
        <c:noMultiLvlLbl val="0"/>
      </c:catAx>
      <c:valAx>
        <c:axId val="2012595056"/>
        <c:scaling>
          <c:orientation val="minMax"/>
          <c:max val="0.21000000000000002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Sheet1!$O$26:$Q$26</c:f>
              <c:numCache>
                <c:formatCode>General</c:formatCode>
                <c:ptCount val="3"/>
                <c:pt idx="0">
                  <c:v>0.32500000000000001</c:v>
                </c:pt>
                <c:pt idx="1">
                  <c:v>8.5999999999999993E-2</c:v>
                </c:pt>
                <c:pt idx="2">
                  <c:v>0.14944444444444444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A-4755-AC68-02B14A03F5CB}"/>
            </c:ext>
          </c:extLst>
        </c:ser>
        <c:ser>
          <c:idx val="1"/>
          <c:order val="1"/>
          <c:tx>
            <c:strRef>
              <c:f>Sheet1!$N$27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Sheet1!$O$27:$Q$27</c:f>
              <c:numCache>
                <c:formatCode>General</c:formatCode>
                <c:ptCount val="3"/>
                <c:pt idx="0">
                  <c:v>0.33700000000000002</c:v>
                </c:pt>
                <c:pt idx="1">
                  <c:v>0.10100000000000001</c:v>
                </c:pt>
                <c:pt idx="2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A-4755-AC68-02B14A03F5CB}"/>
            </c:ext>
          </c:extLst>
        </c:ser>
        <c:ser>
          <c:idx val="2"/>
          <c:order val="2"/>
          <c:tx>
            <c:strRef>
              <c:f>Sheet1!$N$28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Sheet1!$O$28:$Q$28</c:f>
              <c:numCache>
                <c:formatCode>General</c:formatCode>
                <c:ptCount val="3"/>
                <c:pt idx="0">
                  <c:v>0.29499999999999998</c:v>
                </c:pt>
                <c:pt idx="1">
                  <c:v>9.1999999999999998E-2</c:v>
                </c:pt>
                <c:pt idx="2">
                  <c:v>0.11966666666666666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A-4755-AC68-02B14A03F5CB}"/>
            </c:ext>
          </c:extLst>
        </c:ser>
        <c:ser>
          <c:idx val="3"/>
          <c:order val="3"/>
          <c:tx>
            <c:strRef>
              <c:f>Sheet1!$N$29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Sheet1!$O$29:$Q$29</c:f>
              <c:numCache>
                <c:formatCode>General</c:formatCode>
                <c:ptCount val="3"/>
                <c:pt idx="0">
                  <c:v>0.47199999999999998</c:v>
                </c:pt>
                <c:pt idx="1">
                  <c:v>0.121</c:v>
                </c:pt>
                <c:pt idx="2">
                  <c:v>0.1401111111111111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A-4755-AC68-02B14A03F5CB}"/>
            </c:ext>
          </c:extLst>
        </c:ser>
        <c:ser>
          <c:idx val="4"/>
          <c:order val="4"/>
          <c:tx>
            <c:strRef>
              <c:f>Sheet1!$N$30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Sheet1!$O$30:$Q$30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8.8999999999999996E-2</c:v>
                </c:pt>
                <c:pt idx="2">
                  <c:v>0.13444444444444445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A-4755-AC68-02B14A03F5CB}"/>
            </c:ext>
          </c:extLst>
        </c:ser>
        <c:ser>
          <c:idx val="5"/>
          <c:order val="5"/>
          <c:tx>
            <c:strRef>
              <c:f>Sheet1!$N$31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Sheet1!$O$31:$Q$31</c:f>
              <c:numCache>
                <c:formatCode>General</c:formatCode>
                <c:ptCount val="3"/>
                <c:pt idx="0">
                  <c:v>0.36599999999999999</c:v>
                </c:pt>
                <c:pt idx="1">
                  <c:v>0.113</c:v>
                </c:pt>
                <c:pt idx="2">
                  <c:v>0.16922222222222227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A-4755-AC68-02B14A03F5CB}"/>
            </c:ext>
          </c:extLst>
        </c:ser>
        <c:ser>
          <c:idx val="6"/>
          <c:order val="6"/>
          <c:tx>
            <c:strRef>
              <c:f>Sheet1!$N$32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Sheet1!$O$32:$Q$32</c:f>
              <c:numCache>
                <c:formatCode>General</c:formatCode>
                <c:ptCount val="3"/>
                <c:pt idx="0">
                  <c:v>0.432</c:v>
                </c:pt>
                <c:pt idx="1">
                  <c:v>0.105</c:v>
                </c:pt>
                <c:pt idx="2">
                  <c:v>0.17737500000000003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A-4755-AC68-02B14A03F5CB}"/>
            </c:ext>
          </c:extLst>
        </c:ser>
        <c:ser>
          <c:idx val="7"/>
          <c:order val="7"/>
          <c:tx>
            <c:strRef>
              <c:f>Sheet1!$N$33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Sheet1!$O$33:$Q$33</c:f>
              <c:numCache>
                <c:formatCode>General</c:formatCode>
                <c:ptCount val="3"/>
                <c:pt idx="0">
                  <c:v>0.33400000000000002</c:v>
                </c:pt>
                <c:pt idx="1">
                  <c:v>0.113</c:v>
                </c:pt>
                <c:pt idx="2">
                  <c:v>0.15466666666666665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A-4755-AC68-02B14A03F5CB}"/>
            </c:ext>
          </c:extLst>
        </c:ser>
        <c:ser>
          <c:idx val="8"/>
          <c:order val="8"/>
          <c:tx>
            <c:strRef>
              <c:f>Sheet1!$N$34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Sheet1!$O$34:$Q$34</c:f>
              <c:numCache>
                <c:formatCode>General</c:formatCode>
                <c:ptCount val="3"/>
                <c:pt idx="0">
                  <c:v>0.35</c:v>
                </c:pt>
                <c:pt idx="1">
                  <c:v>0.12</c:v>
                </c:pt>
                <c:pt idx="2">
                  <c:v>0.15111111111111108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A-4755-AC68-02B14A03F5CB}"/>
            </c:ext>
          </c:extLst>
        </c:ser>
        <c:ser>
          <c:idx val="9"/>
          <c:order val="9"/>
          <c:tx>
            <c:strRef>
              <c:f>Sheet1!$N$35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Sheet1!$O$35:$Q$35</c:f>
              <c:numCache>
                <c:formatCode>General</c:formatCode>
                <c:ptCount val="3"/>
                <c:pt idx="0">
                  <c:v>0.34200000000000003</c:v>
                </c:pt>
                <c:pt idx="1">
                  <c:v>0.11799999999999999</c:v>
                </c:pt>
                <c:pt idx="2">
                  <c:v>0.16533333333333333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A-4755-AC68-02B14A03F5CB}"/>
            </c:ext>
          </c:extLst>
        </c:ser>
        <c:ser>
          <c:idx val="10"/>
          <c:order val="10"/>
          <c:tx>
            <c:strRef>
              <c:f>Sheet1!$N$36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Sheet1!$O$36:$Q$36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0.11799999999999999</c:v>
                </c:pt>
                <c:pt idx="2">
                  <c:v>0.19133333333333336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A-4755-AC68-02B14A03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9311"/>
        <c:axId val="522722543"/>
      </c:barChart>
      <c:catAx>
        <c:axId val="6739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2543"/>
        <c:crosses val="autoZero"/>
        <c:auto val="1"/>
        <c:lblAlgn val="ctr"/>
        <c:lblOffset val="100"/>
        <c:noMultiLvlLbl val="0"/>
      </c:catAx>
      <c:valAx>
        <c:axId val="5227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Sheet1!$AR$4:$AR$11</c:f>
              <c:numCache>
                <c:formatCode>General</c:formatCode>
                <c:ptCount val="8"/>
                <c:pt idx="0">
                  <c:v>2.1000000000000019E-2</c:v>
                </c:pt>
                <c:pt idx="1">
                  <c:v>-4.0000000000000036E-3</c:v>
                </c:pt>
                <c:pt idx="2">
                  <c:v>1.100000000000001E-2</c:v>
                </c:pt>
                <c:pt idx="3">
                  <c:v>-1.3000000000000012E-2</c:v>
                </c:pt>
                <c:pt idx="4">
                  <c:v>-1.100000000000001E-2</c:v>
                </c:pt>
                <c:pt idx="5">
                  <c:v>-2.4000000000000021E-2</c:v>
                </c:pt>
                <c:pt idx="6">
                  <c:v>-1.100000000000001E-2</c:v>
                </c:pt>
                <c:pt idx="7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8-4F83-9DC8-3D4120EDBA4B}"/>
            </c:ext>
          </c:extLst>
        </c:ser>
        <c:ser>
          <c:idx val="1"/>
          <c:order val="1"/>
          <c:tx>
            <c:strRef>
              <c:f>Sheet1!$AS$3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Sheet1!$AS$4:$AS$11</c:f>
              <c:numCache>
                <c:formatCode>General</c:formatCode>
                <c:ptCount val="8"/>
                <c:pt idx="0">
                  <c:v>1.0000000000000009E-3</c:v>
                </c:pt>
                <c:pt idx="1">
                  <c:v>1.100000000000001E-2</c:v>
                </c:pt>
                <c:pt idx="2">
                  <c:v>1.5000000000000013E-2</c:v>
                </c:pt>
                <c:pt idx="3">
                  <c:v>-2.200000000000002E-2</c:v>
                </c:pt>
                <c:pt idx="4">
                  <c:v>-1.2000000000000011E-2</c:v>
                </c:pt>
                <c:pt idx="5">
                  <c:v>-1.9999999999999907E-2</c:v>
                </c:pt>
                <c:pt idx="6">
                  <c:v>-3.0000000000000027E-3</c:v>
                </c:pt>
                <c:pt idx="7">
                  <c:v>2.5999999999999912E-2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8-4F83-9DC8-3D4120EDBA4B}"/>
            </c:ext>
          </c:extLst>
        </c:ser>
        <c:ser>
          <c:idx val="2"/>
          <c:order val="2"/>
          <c:tx>
            <c:strRef>
              <c:f>Sheet1!$AT$3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Sheet1!$AT$4:$AT$11</c:f>
              <c:numCache>
                <c:formatCode>General</c:formatCode>
                <c:ptCount val="8"/>
                <c:pt idx="0">
                  <c:v>2.6000000000000023E-2</c:v>
                </c:pt>
                <c:pt idx="1">
                  <c:v>5.9999999999998943E-3</c:v>
                </c:pt>
                <c:pt idx="2">
                  <c:v>1.4499999999999957E-2</c:v>
                </c:pt>
                <c:pt idx="3">
                  <c:v>-1.0000000000000009E-3</c:v>
                </c:pt>
                <c:pt idx="4">
                  <c:v>4.0000000000000036E-3</c:v>
                </c:pt>
                <c:pt idx="5">
                  <c:v>-1.5499999999999847E-2</c:v>
                </c:pt>
                <c:pt idx="6">
                  <c:v>-2.4999999999999467E-3</c:v>
                </c:pt>
                <c:pt idx="7">
                  <c:v>3.5999999999999921E-2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8-4F83-9DC8-3D4120EDBA4B}"/>
            </c:ext>
          </c:extLst>
        </c:ser>
        <c:ser>
          <c:idx val="3"/>
          <c:order val="3"/>
          <c:tx>
            <c:strRef>
              <c:f>Sheet1!$AU$3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Sheet1!$AU$4:$AU$11</c:f>
              <c:numCache>
                <c:formatCode>General</c:formatCode>
                <c:ptCount val="8"/>
                <c:pt idx="0">
                  <c:v>5.2999999999999992E-2</c:v>
                </c:pt>
                <c:pt idx="1">
                  <c:v>7.9999999999999793E-3</c:v>
                </c:pt>
                <c:pt idx="2">
                  <c:v>2.7999999999999997E-2</c:v>
                </c:pt>
                <c:pt idx="3">
                  <c:v>-8.0000000000000071E-3</c:v>
                </c:pt>
                <c:pt idx="4">
                  <c:v>-1.0000000000000009E-3</c:v>
                </c:pt>
                <c:pt idx="5">
                  <c:v>-3.6000000000000032E-2</c:v>
                </c:pt>
                <c:pt idx="6">
                  <c:v>-1.0000000000000009E-2</c:v>
                </c:pt>
                <c:pt idx="7">
                  <c:v>6.8999999999999978E-2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8-4F83-9DC8-3D4120ED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311120"/>
        <c:axId val="1506891312"/>
      </c:barChart>
      <c:catAx>
        <c:axId val="1513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91312"/>
        <c:crosses val="autoZero"/>
        <c:auto val="1"/>
        <c:lblAlgn val="ctr"/>
        <c:lblOffset val="100"/>
        <c:noMultiLvlLbl val="0"/>
      </c:catAx>
      <c:valAx>
        <c:axId val="1506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Sheet1!$AR$15:$AR$22</c:f>
              <c:numCache>
                <c:formatCode>General</c:formatCode>
                <c:ptCount val="8"/>
                <c:pt idx="0">
                  <c:v>0.25252215189873417</c:v>
                </c:pt>
                <c:pt idx="1">
                  <c:v>-0.40388924050632913</c:v>
                </c:pt>
                <c:pt idx="2">
                  <c:v>-0.21302848101265823</c:v>
                </c:pt>
                <c:pt idx="3">
                  <c:v>-0.32621518987341774</c:v>
                </c:pt>
                <c:pt idx="4">
                  <c:v>-0.4478575949367089</c:v>
                </c:pt>
                <c:pt idx="5">
                  <c:v>-0.40959177215189874</c:v>
                </c:pt>
                <c:pt idx="6">
                  <c:v>-0.30518354430379752</c:v>
                </c:pt>
                <c:pt idx="7">
                  <c:v>-0.27673101265822786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4-A641-127CB52D122E}"/>
            </c:ext>
          </c:extLst>
        </c:ser>
        <c:ser>
          <c:idx val="1"/>
          <c:order val="1"/>
          <c:tx>
            <c:strRef>
              <c:f>Sheet1!$AS$14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Sheet1!$AS$15:$AS$22</c:f>
              <c:numCache>
                <c:formatCode>General</c:formatCode>
                <c:ptCount val="8"/>
                <c:pt idx="0">
                  <c:v>-3.0736391040359079E-3</c:v>
                </c:pt>
                <c:pt idx="1">
                  <c:v>-2.7444862937330616E-2</c:v>
                </c:pt>
                <c:pt idx="2">
                  <c:v>4.9132676326344438E-3</c:v>
                </c:pt>
                <c:pt idx="3">
                  <c:v>2.135964568782478E-2</c:v>
                </c:pt>
                <c:pt idx="4">
                  <c:v>1.1267447238216044E-2</c:v>
                </c:pt>
                <c:pt idx="5">
                  <c:v>-4.7330331172705797E-3</c:v>
                </c:pt>
                <c:pt idx="6">
                  <c:v>-7.232713628086862E-3</c:v>
                </c:pt>
                <c:pt idx="7">
                  <c:v>1.0510892992302123E-2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4-A641-127CB52D122E}"/>
            </c:ext>
          </c:extLst>
        </c:ser>
        <c:ser>
          <c:idx val="2"/>
          <c:order val="2"/>
          <c:tx>
            <c:strRef>
              <c:f>Sheet1!$AT$14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Sheet1!$AT$15:$AT$22</c:f>
              <c:numCache>
                <c:formatCode>General</c:formatCode>
                <c:ptCount val="8"/>
                <c:pt idx="0">
                  <c:v>2.5000000000002798E-4</c:v>
                </c:pt>
                <c:pt idx="1">
                  <c:v>2.0125000000000032E-2</c:v>
                </c:pt>
                <c:pt idx="2">
                  <c:v>8.1250000000000488E-3</c:v>
                </c:pt>
                <c:pt idx="3">
                  <c:v>4.6875E-2</c:v>
                </c:pt>
                <c:pt idx="4">
                  <c:v>0.1219722222222222</c:v>
                </c:pt>
                <c:pt idx="5">
                  <c:v>8.4152777777777854E-2</c:v>
                </c:pt>
                <c:pt idx="6">
                  <c:v>4.0500000000000008E-2</c:v>
                </c:pt>
                <c:pt idx="7">
                  <c:v>4.2874999999999996E-2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B-4EF4-A641-127CB52D122E}"/>
            </c:ext>
          </c:extLst>
        </c:ser>
        <c:ser>
          <c:idx val="3"/>
          <c:order val="3"/>
          <c:tx>
            <c:strRef>
              <c:f>Sheet1!$AU$14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Sheet1!$AU$15:$AU$22</c:f>
              <c:numCache>
                <c:formatCode>General</c:formatCode>
                <c:ptCount val="8"/>
                <c:pt idx="0">
                  <c:v>7.3212572150895577E-2</c:v>
                </c:pt>
                <c:pt idx="1">
                  <c:v>-9.6013037223483463E-2</c:v>
                </c:pt>
                <c:pt idx="2">
                  <c:v>-4.409847668679294E-2</c:v>
                </c:pt>
                <c:pt idx="3">
                  <c:v>-7.2247690086362143E-2</c:v>
                </c:pt>
                <c:pt idx="4">
                  <c:v>1.6750538823311598E-2</c:v>
                </c:pt>
                <c:pt idx="5">
                  <c:v>-0.11961502806784474</c:v>
                </c:pt>
                <c:pt idx="6">
                  <c:v>-5.8528939265515875E-2</c:v>
                </c:pt>
                <c:pt idx="7">
                  <c:v>-8.9272626971629465E-2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B-4EF4-A641-127CB52D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19711"/>
        <c:axId val="1794437967"/>
      </c:barChart>
      <c:catAx>
        <c:axId val="18424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7967"/>
        <c:crosses val="autoZero"/>
        <c:auto val="1"/>
        <c:lblAlgn val="ctr"/>
        <c:lblOffset val="100"/>
        <c:noMultiLvlLbl val="0"/>
      </c:catAx>
      <c:valAx>
        <c:axId val="17944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Sheet1!$AR$40:$AR$47</c:f>
              <c:numCache>
                <c:formatCode>General</c:formatCode>
                <c:ptCount val="8"/>
                <c:pt idx="0">
                  <c:v>0.45399999999999996</c:v>
                </c:pt>
                <c:pt idx="1">
                  <c:v>-0.28100000000000003</c:v>
                </c:pt>
                <c:pt idx="2">
                  <c:v>-6.4999999999999947E-2</c:v>
                </c:pt>
                <c:pt idx="3">
                  <c:v>-8.8999999999999968E-2</c:v>
                </c:pt>
                <c:pt idx="4">
                  <c:v>-0.36199999999999993</c:v>
                </c:pt>
                <c:pt idx="5">
                  <c:v>-0.18400000000000005</c:v>
                </c:pt>
                <c:pt idx="6">
                  <c:v>-6.6999999999999948E-2</c:v>
                </c:pt>
                <c:pt idx="7">
                  <c:v>-9.6000000000000085E-2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101-B74F-36F30B457692}"/>
            </c:ext>
          </c:extLst>
        </c:ser>
        <c:ser>
          <c:idx val="1"/>
          <c:order val="1"/>
          <c:tx>
            <c:strRef>
              <c:f>Sheet1!$AS$39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Sheet1!$AS$40:$AS$47</c:f>
              <c:numCache>
                <c:formatCode>General</c:formatCode>
                <c:ptCount val="8"/>
                <c:pt idx="0">
                  <c:v>0.13100000000000001</c:v>
                </c:pt>
                <c:pt idx="1">
                  <c:v>4.0000000000000036E-3</c:v>
                </c:pt>
                <c:pt idx="2">
                  <c:v>4.500000000000004E-2</c:v>
                </c:pt>
                <c:pt idx="3">
                  <c:v>-1.5000000000000013E-2</c:v>
                </c:pt>
                <c:pt idx="4">
                  <c:v>3.0000000000000027E-3</c:v>
                </c:pt>
                <c:pt idx="5">
                  <c:v>-3.0000000000000027E-3</c:v>
                </c:pt>
                <c:pt idx="6">
                  <c:v>2.300000000000002E-2</c:v>
                </c:pt>
                <c:pt idx="7">
                  <c:v>9.000000000000008E-3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3-4101-B74F-36F30B457692}"/>
            </c:ext>
          </c:extLst>
        </c:ser>
        <c:ser>
          <c:idx val="2"/>
          <c:order val="2"/>
          <c:tx>
            <c:strRef>
              <c:f>Sheet1!$AT$39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Sheet1!$AT$40:$AT$47</c:f>
              <c:numCache>
                <c:formatCode>General</c:formatCode>
                <c:ptCount val="8"/>
                <c:pt idx="0">
                  <c:v>3.900000000000009E-2</c:v>
                </c:pt>
                <c:pt idx="1">
                  <c:v>7.2500000000000009E-2</c:v>
                </c:pt>
                <c:pt idx="2">
                  <c:v>4.4499999999999984E-2</c:v>
                </c:pt>
                <c:pt idx="3">
                  <c:v>0.1100000000000001</c:v>
                </c:pt>
                <c:pt idx="4">
                  <c:v>0.128</c:v>
                </c:pt>
                <c:pt idx="5">
                  <c:v>7.6499999999999901E-2</c:v>
                </c:pt>
                <c:pt idx="6">
                  <c:v>8.450000000000002E-2</c:v>
                </c:pt>
                <c:pt idx="7">
                  <c:v>9.3499999999999917E-2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3-4101-B74F-36F30B457692}"/>
            </c:ext>
          </c:extLst>
        </c:ser>
        <c:ser>
          <c:idx val="3"/>
          <c:order val="3"/>
          <c:tx>
            <c:strRef>
              <c:f>Sheet1!$AU$39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Sheet1!$AU$40:$AU$47</c:f>
              <c:numCache>
                <c:formatCode>General</c:formatCode>
                <c:ptCount val="8"/>
                <c:pt idx="0">
                  <c:v>7.9000000000000001E-2</c:v>
                </c:pt>
                <c:pt idx="1">
                  <c:v>-2.0000000000000018E-3</c:v>
                </c:pt>
                <c:pt idx="2">
                  <c:v>2.200000000000002E-2</c:v>
                </c:pt>
                <c:pt idx="3">
                  <c:v>0.11000000000000001</c:v>
                </c:pt>
                <c:pt idx="4">
                  <c:v>0.123</c:v>
                </c:pt>
                <c:pt idx="5">
                  <c:v>-1.0000000000000009E-2</c:v>
                </c:pt>
                <c:pt idx="6">
                  <c:v>6.0999999999999999E-2</c:v>
                </c:pt>
                <c:pt idx="7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3-4101-B74F-36F30B45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853583"/>
        <c:axId val="1794440879"/>
      </c:barChart>
      <c:catAx>
        <c:axId val="16868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0879"/>
        <c:crosses val="autoZero"/>
        <c:auto val="1"/>
        <c:lblAlgn val="ctr"/>
        <c:lblOffset val="100"/>
        <c:noMultiLvlLbl val="0"/>
      </c:catAx>
      <c:valAx>
        <c:axId val="1794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384628</xdr:colOff>
      <xdr:row>3</xdr:row>
      <xdr:rowOff>181125</xdr:rowOff>
    </xdr:from>
    <xdr:to>
      <xdr:col>13</xdr:col>
      <xdr:colOff>79828</xdr:colOff>
      <xdr:row>10</xdr:row>
      <xdr:rowOff>257325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B190-86E3-4C31-BF2F-4ED2A8DF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357656</xdr:colOff>
      <xdr:row>14</xdr:row>
      <xdr:rowOff>84002</xdr:rowOff>
    </xdr:from>
    <xdr:to>
      <xdr:col>13</xdr:col>
      <xdr:colOff>52856</xdr:colOff>
      <xdr:row>21</xdr:row>
      <xdr:rowOff>160202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4032A-0121-4462-81FB-9521A851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552995</xdr:colOff>
      <xdr:row>38</xdr:row>
      <xdr:rowOff>211001</xdr:rowOff>
    </xdr:from>
    <xdr:to>
      <xdr:col>13</xdr:col>
      <xdr:colOff>248195</xdr:colOff>
      <xdr:row>45</xdr:row>
      <xdr:rowOff>287201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14CD8-C853-456E-9ADD-C59372B6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</xdr:colOff>
      <xdr:row>52</xdr:row>
      <xdr:rowOff>3084</xdr:rowOff>
    </xdr:from>
    <xdr:to>
      <xdr:col>12</xdr:col>
      <xdr:colOff>335280</xdr:colOff>
      <xdr:row>59</xdr:row>
      <xdr:rowOff>79284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05BD4-7C68-4882-A791-B0A20770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508000</xdr:colOff>
      <xdr:row>26</xdr:row>
      <xdr:rowOff>306433</xdr:rowOff>
    </xdr:from>
    <xdr:to>
      <xdr:col>12</xdr:col>
      <xdr:colOff>203200</xdr:colOff>
      <xdr:row>34</xdr:row>
      <xdr:rowOff>1633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E9F865-6FC3-439C-98BC-15F28869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417286</xdr:colOff>
      <xdr:row>26</xdr:row>
      <xdr:rowOff>23404</xdr:rowOff>
    </xdr:from>
    <xdr:to>
      <xdr:col>25</xdr:col>
      <xdr:colOff>112486</xdr:colOff>
      <xdr:row>34</xdr:row>
      <xdr:rowOff>99604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F17B50-40AE-485C-85EF-70DC5A5B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5942</xdr:colOff>
      <xdr:row>2</xdr:row>
      <xdr:rowOff>385984</xdr:rowOff>
    </xdr:from>
    <xdr:to>
      <xdr:col>56</xdr:col>
      <xdr:colOff>310742</xdr:colOff>
      <xdr:row>10</xdr:row>
      <xdr:rowOff>73995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1D5741-7725-4AB5-BAD4-A005E9F7E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7190</xdr:colOff>
      <xdr:row>13</xdr:row>
      <xdr:rowOff>8626</xdr:rowOff>
    </xdr:from>
    <xdr:to>
      <xdr:col>56</xdr:col>
      <xdr:colOff>352247</xdr:colOff>
      <xdr:row>20</xdr:row>
      <xdr:rowOff>34505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857577-810F-4B12-A90A-243EB09E7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7189</xdr:colOff>
      <xdr:row>38</xdr:row>
      <xdr:rowOff>382439</xdr:rowOff>
    </xdr:from>
    <xdr:to>
      <xdr:col>56</xdr:col>
      <xdr:colOff>352246</xdr:colOff>
      <xdr:row>46</xdr:row>
      <xdr:rowOff>20129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2D4465-E6C6-4A39-9E8C-6A264516A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15240</xdr:colOff>
      <xdr:row>50</xdr:row>
      <xdr:rowOff>7620</xdr:rowOff>
    </xdr:from>
    <xdr:to>
      <xdr:col>84</xdr:col>
      <xdr:colOff>320040</xdr:colOff>
      <xdr:row>57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DC880E-CF5F-4262-B9D9-4E546E1D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15240</xdr:colOff>
      <xdr:row>21</xdr:row>
      <xdr:rowOff>373380</xdr:rowOff>
    </xdr:from>
    <xdr:to>
      <xdr:col>84</xdr:col>
      <xdr:colOff>320040</xdr:colOff>
      <xdr:row>29</xdr:row>
      <xdr:rowOff>68580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5443AB-1AC9-428F-9827-729853A2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0</xdr:colOff>
      <xdr:row>29</xdr:row>
      <xdr:rowOff>373380</xdr:rowOff>
    </xdr:from>
    <xdr:to>
      <xdr:col>84</xdr:col>
      <xdr:colOff>304800</xdr:colOff>
      <xdr:row>37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E7CCC6-73AE-4C86-8F1A-F10F86A49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76</xdr:col>
      <xdr:colOff>594360</xdr:colOff>
      <xdr:row>38</xdr:row>
      <xdr:rowOff>373380</xdr:rowOff>
    </xdr:from>
    <xdr:to>
      <xdr:col>84</xdr:col>
      <xdr:colOff>289560</xdr:colOff>
      <xdr:row>46</xdr:row>
      <xdr:rowOff>68580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45F36BF-098D-408D-91AE-4029200B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77</xdr:col>
      <xdr:colOff>15240</xdr:colOff>
      <xdr:row>13</xdr:row>
      <xdr:rowOff>7620</xdr:rowOff>
    </xdr:from>
    <xdr:to>
      <xdr:col>84</xdr:col>
      <xdr:colOff>320040</xdr:colOff>
      <xdr:row>20</xdr:row>
      <xdr:rowOff>83820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66F266-F46A-4263-971D-6001AD9C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15240</xdr:colOff>
      <xdr:row>2</xdr:row>
      <xdr:rowOff>373380</xdr:rowOff>
    </xdr:from>
    <xdr:to>
      <xdr:col>84</xdr:col>
      <xdr:colOff>320040</xdr:colOff>
      <xdr:row>10</xdr:row>
      <xdr:rowOff>68580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F912873-CA7F-48D0-9CBB-34E68577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103</xdr:col>
      <xdr:colOff>600075</xdr:colOff>
      <xdr:row>2</xdr:row>
      <xdr:rowOff>361950</xdr:rowOff>
    </xdr:from>
    <xdr:to>
      <xdr:col>111</xdr:col>
      <xdr:colOff>295275</xdr:colOff>
      <xdr:row>10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011692-EDA2-42B1-B1CA-056725F9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103</xdr:col>
      <xdr:colOff>600075</xdr:colOff>
      <xdr:row>13</xdr:row>
      <xdr:rowOff>19050</xdr:rowOff>
    </xdr:from>
    <xdr:to>
      <xdr:col>111</xdr:col>
      <xdr:colOff>295275</xdr:colOff>
      <xdr:row>20</xdr:row>
      <xdr:rowOff>95250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1ADACE0-083C-4205-8FAD-207521CB1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103</xdr:col>
      <xdr:colOff>600075</xdr:colOff>
      <xdr:row>22</xdr:row>
      <xdr:rowOff>0</xdr:rowOff>
    </xdr:from>
    <xdr:to>
      <xdr:col>111</xdr:col>
      <xdr:colOff>295275</xdr:colOff>
      <xdr:row>29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F849684-42EE-4C0C-9226-B7A8097C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103</xdr:col>
      <xdr:colOff>600075</xdr:colOff>
      <xdr:row>30</xdr:row>
      <xdr:rowOff>19050</xdr:rowOff>
    </xdr:from>
    <xdr:to>
      <xdr:col>111</xdr:col>
      <xdr:colOff>295275</xdr:colOff>
      <xdr:row>37</xdr:row>
      <xdr:rowOff>95250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7931937-D1CC-4A88-90F5-4242BCB1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104</xdr:col>
      <xdr:colOff>9525</xdr:colOff>
      <xdr:row>39</xdr:row>
      <xdr:rowOff>19050</xdr:rowOff>
    </xdr:from>
    <xdr:to>
      <xdr:col>111</xdr:col>
      <xdr:colOff>314325</xdr:colOff>
      <xdr:row>46</xdr:row>
      <xdr:rowOff>95250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BBFAEE7-09BA-4621-8FB9-F4947D3C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103</xdr:col>
      <xdr:colOff>600075</xdr:colOff>
      <xdr:row>50</xdr:row>
      <xdr:rowOff>19050</xdr:rowOff>
    </xdr:from>
    <xdr:to>
      <xdr:col>111</xdr:col>
      <xdr:colOff>295275</xdr:colOff>
      <xdr:row>57</xdr:row>
      <xdr:rowOff>95250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06AB01D-F453-4651-B286-690B3D5A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130</xdr:col>
      <xdr:colOff>600075</xdr:colOff>
      <xdr:row>50</xdr:row>
      <xdr:rowOff>0</xdr:rowOff>
    </xdr:from>
    <xdr:to>
      <xdr:col>138</xdr:col>
      <xdr:colOff>295275</xdr:colOff>
      <xdr:row>57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19127F0-3FA6-4F78-BCED-95D3A884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130</xdr:col>
      <xdr:colOff>600075</xdr:colOff>
      <xdr:row>39</xdr:row>
      <xdr:rowOff>0</xdr:rowOff>
    </xdr:from>
    <xdr:to>
      <xdr:col>138</xdr:col>
      <xdr:colOff>295275</xdr:colOff>
      <xdr:row>46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FF579CD-CD9C-47C0-9123-D3A962CF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130</xdr:col>
      <xdr:colOff>600075</xdr:colOff>
      <xdr:row>30</xdr:row>
      <xdr:rowOff>0</xdr:rowOff>
    </xdr:from>
    <xdr:to>
      <xdr:col>138</xdr:col>
      <xdr:colOff>295275</xdr:colOff>
      <xdr:row>37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88C787-05D0-460D-B5B7-638E626C5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131</xdr:col>
      <xdr:colOff>9525</xdr:colOff>
      <xdr:row>22</xdr:row>
      <xdr:rowOff>0</xdr:rowOff>
    </xdr:from>
    <xdr:to>
      <xdr:col>138</xdr:col>
      <xdr:colOff>314325</xdr:colOff>
      <xdr:row>29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E8E0392-80E0-4E2E-8B9C-732F2520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130</xdr:col>
      <xdr:colOff>600075</xdr:colOff>
      <xdr:row>14</xdr:row>
      <xdr:rowOff>0</xdr:rowOff>
    </xdr:from>
    <xdr:to>
      <xdr:col>138</xdr:col>
      <xdr:colOff>295275</xdr:colOff>
      <xdr:row>21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FDE6579-04DA-4E5B-AD53-7A2D54F54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130</xdr:col>
      <xdr:colOff>600075</xdr:colOff>
      <xdr:row>3</xdr:row>
      <xdr:rowOff>0</xdr:rowOff>
    </xdr:from>
    <xdr:to>
      <xdr:col>138</xdr:col>
      <xdr:colOff>295275</xdr:colOff>
      <xdr:row>10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511390C-7E57-484B-88C0-6A802438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157</xdr:col>
      <xdr:colOff>600075</xdr:colOff>
      <xdr:row>3</xdr:row>
      <xdr:rowOff>0</xdr:rowOff>
    </xdr:from>
    <xdr:to>
      <xdr:col>165</xdr:col>
      <xdr:colOff>295275</xdr:colOff>
      <xdr:row>10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079503C-115D-4048-90BC-6C37E7CB6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157</xdr:col>
      <xdr:colOff>600075</xdr:colOff>
      <xdr:row>14</xdr:row>
      <xdr:rowOff>19050</xdr:rowOff>
    </xdr:from>
    <xdr:to>
      <xdr:col>165</xdr:col>
      <xdr:colOff>295275</xdr:colOff>
      <xdr:row>21</xdr:row>
      <xdr:rowOff>95250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9083CC3-CDBB-4751-AEE0-A01179D8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158</xdr:col>
      <xdr:colOff>9525</xdr:colOff>
      <xdr:row>22</xdr:row>
      <xdr:rowOff>0</xdr:rowOff>
    </xdr:from>
    <xdr:to>
      <xdr:col>165</xdr:col>
      <xdr:colOff>314325</xdr:colOff>
      <xdr:row>29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EE1340B-FCFD-49CA-A530-FD99C6A04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157</xdr:col>
      <xdr:colOff>600075</xdr:colOff>
      <xdr:row>30</xdr:row>
      <xdr:rowOff>0</xdr:rowOff>
    </xdr:from>
    <xdr:to>
      <xdr:col>165</xdr:col>
      <xdr:colOff>295275</xdr:colOff>
      <xdr:row>37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BDA34E5-8A97-45BC-AA1E-CAB61B1F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157</xdr:col>
      <xdr:colOff>600075</xdr:colOff>
      <xdr:row>39</xdr:row>
      <xdr:rowOff>0</xdr:rowOff>
    </xdr:from>
    <xdr:to>
      <xdr:col>165</xdr:col>
      <xdr:colOff>295275</xdr:colOff>
      <xdr:row>46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70D6F4E-DF1E-43EF-9E8E-9B510862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157</xdr:col>
      <xdr:colOff>600075</xdr:colOff>
      <xdr:row>50</xdr:row>
      <xdr:rowOff>0</xdr:rowOff>
    </xdr:from>
    <xdr:to>
      <xdr:col>165</xdr:col>
      <xdr:colOff>295275</xdr:colOff>
      <xdr:row>57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A79F1CC-3B0D-44B8-916F-0AB5CA6B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174</xdr:col>
      <xdr:colOff>162560</xdr:colOff>
      <xdr:row>3</xdr:row>
      <xdr:rowOff>0</xdr:rowOff>
    </xdr:from>
    <xdr:to>
      <xdr:col>181</xdr:col>
      <xdr:colOff>467360</xdr:colOff>
      <xdr:row>10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F5E131-6600-4A15-B390-C230CAA0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189</xdr:col>
      <xdr:colOff>142240</xdr:colOff>
      <xdr:row>3</xdr:row>
      <xdr:rowOff>10160</xdr:rowOff>
    </xdr:from>
    <xdr:to>
      <xdr:col>196</xdr:col>
      <xdr:colOff>447040</xdr:colOff>
      <xdr:row>10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9DCAC-6EEE-43DF-ACF7-7772B750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204</xdr:col>
      <xdr:colOff>40640</xdr:colOff>
      <xdr:row>3</xdr:row>
      <xdr:rowOff>30480</xdr:rowOff>
    </xdr:from>
    <xdr:to>
      <xdr:col>211</xdr:col>
      <xdr:colOff>345440</xdr:colOff>
      <xdr:row>10</xdr:row>
      <xdr:rowOff>71120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129EE7-40E9-4602-8AEC-DCB372DC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219</xdr:col>
      <xdr:colOff>121920</xdr:colOff>
      <xdr:row>3</xdr:row>
      <xdr:rowOff>20320</xdr:rowOff>
    </xdr:from>
    <xdr:to>
      <xdr:col>226</xdr:col>
      <xdr:colOff>426720</xdr:colOff>
      <xdr:row>10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E577BC-28B2-4916-B27A-BC5CD3E8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173</xdr:col>
      <xdr:colOff>81280</xdr:colOff>
      <xdr:row>50</xdr:row>
      <xdr:rowOff>20320</xdr:rowOff>
    </xdr:from>
    <xdr:to>
      <xdr:col>180</xdr:col>
      <xdr:colOff>386080</xdr:colOff>
      <xdr:row>57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095F85-970A-4184-87F6-EDA0606C0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187</xdr:col>
      <xdr:colOff>57979</xdr:colOff>
      <xdr:row>50</xdr:row>
      <xdr:rowOff>28161</xdr:rowOff>
    </xdr:from>
    <xdr:to>
      <xdr:col>194</xdr:col>
      <xdr:colOff>339587</xdr:colOff>
      <xdr:row>57</xdr:row>
      <xdr:rowOff>104361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784870-23C9-47FB-8A67-D33D378C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201</xdr:col>
      <xdr:colOff>33130</xdr:colOff>
      <xdr:row>50</xdr:row>
      <xdr:rowOff>28161</xdr:rowOff>
    </xdr:from>
    <xdr:to>
      <xdr:col>208</xdr:col>
      <xdr:colOff>314739</xdr:colOff>
      <xdr:row>57</xdr:row>
      <xdr:rowOff>104361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79F79B-7478-421D-B715-1C43C3AE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174</xdr:col>
      <xdr:colOff>82550</xdr:colOff>
      <xdr:row>39</xdr:row>
      <xdr:rowOff>19050</xdr:rowOff>
    </xdr:from>
    <xdr:to>
      <xdr:col>181</xdr:col>
      <xdr:colOff>387350</xdr:colOff>
      <xdr:row>46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6A6921-E91C-4E1F-9CCC-4F1F78AE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189</xdr:col>
      <xdr:colOff>57150</xdr:colOff>
      <xdr:row>38</xdr:row>
      <xdr:rowOff>374650</xdr:rowOff>
    </xdr:from>
    <xdr:to>
      <xdr:col>196</xdr:col>
      <xdr:colOff>361950</xdr:colOff>
      <xdr:row>46</xdr:row>
      <xdr:rowOff>69850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4428F5-1348-4B19-B9BD-D50266974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204</xdr:col>
      <xdr:colOff>31750</xdr:colOff>
      <xdr:row>39</xdr:row>
      <xdr:rowOff>6350</xdr:rowOff>
    </xdr:from>
    <xdr:to>
      <xdr:col>211</xdr:col>
      <xdr:colOff>336550</xdr:colOff>
      <xdr:row>46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FFA908-4889-4C02-BB93-EE500755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219</xdr:col>
      <xdr:colOff>31750</xdr:colOff>
      <xdr:row>38</xdr:row>
      <xdr:rowOff>361950</xdr:rowOff>
    </xdr:from>
    <xdr:to>
      <xdr:col>226</xdr:col>
      <xdr:colOff>336550</xdr:colOff>
      <xdr:row>46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09CF1B-1508-47D8-A4F4-35C47F0A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174</xdr:col>
      <xdr:colOff>69850</xdr:colOff>
      <xdr:row>14</xdr:row>
      <xdr:rowOff>19050</xdr:rowOff>
    </xdr:from>
    <xdr:to>
      <xdr:col>181</xdr:col>
      <xdr:colOff>374650</xdr:colOff>
      <xdr:row>21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80ABA52-C618-4B58-8D1D-1BAE6990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189</xdr:col>
      <xdr:colOff>19050</xdr:colOff>
      <xdr:row>13</xdr:row>
      <xdr:rowOff>374650</xdr:rowOff>
    </xdr:from>
    <xdr:to>
      <xdr:col>196</xdr:col>
      <xdr:colOff>323850</xdr:colOff>
      <xdr:row>21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B13B620-C2E6-4C49-BE9D-6593F26D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204</xdr:col>
      <xdr:colOff>44450</xdr:colOff>
      <xdr:row>14</xdr:row>
      <xdr:rowOff>6350</xdr:rowOff>
    </xdr:from>
    <xdr:to>
      <xdr:col>211</xdr:col>
      <xdr:colOff>349250</xdr:colOff>
      <xdr:row>21</xdr:row>
      <xdr:rowOff>82550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DB9D195-B381-47F4-9038-884E54F3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219</xdr:col>
      <xdr:colOff>31750</xdr:colOff>
      <xdr:row>13</xdr:row>
      <xdr:rowOff>349250</xdr:rowOff>
    </xdr:from>
    <xdr:to>
      <xdr:col>226</xdr:col>
      <xdr:colOff>336550</xdr:colOff>
      <xdr:row>21</xdr:row>
      <xdr:rowOff>44450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19F01E-9E44-4E42-B50C-D7D3E43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173</xdr:col>
      <xdr:colOff>31750</xdr:colOff>
      <xdr:row>24</xdr:row>
      <xdr:rowOff>374650</xdr:rowOff>
    </xdr:from>
    <xdr:to>
      <xdr:col>180</xdr:col>
      <xdr:colOff>336550</xdr:colOff>
      <xdr:row>32</xdr:row>
      <xdr:rowOff>69850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EAA51A0-68E0-4E1C-8A05-2AA3E489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187</xdr:col>
      <xdr:colOff>35943</xdr:colOff>
      <xdr:row>24</xdr:row>
      <xdr:rowOff>368060</xdr:rowOff>
    </xdr:from>
    <xdr:to>
      <xdr:col>194</xdr:col>
      <xdr:colOff>381000</xdr:colOff>
      <xdr:row>32</xdr:row>
      <xdr:rowOff>5750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83BBCAD-36CC-44A5-89FA-34EA4F07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201</xdr:col>
      <xdr:colOff>50321</xdr:colOff>
      <xdr:row>24</xdr:row>
      <xdr:rowOff>382438</xdr:rowOff>
    </xdr:from>
    <xdr:to>
      <xdr:col>208</xdr:col>
      <xdr:colOff>395378</xdr:colOff>
      <xdr:row>32</xdr:row>
      <xdr:rowOff>20128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FE6CC56-C9DC-49A3-8D49-EF9B768B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215</xdr:col>
      <xdr:colOff>21566</xdr:colOff>
      <xdr:row>24</xdr:row>
      <xdr:rowOff>382438</xdr:rowOff>
    </xdr:from>
    <xdr:to>
      <xdr:col>222</xdr:col>
      <xdr:colOff>366623</xdr:colOff>
      <xdr:row>32</xdr:row>
      <xdr:rowOff>20128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F4D4D16-D794-4355-9B08-F2E5FDBA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229</xdr:col>
      <xdr:colOff>35942</xdr:colOff>
      <xdr:row>24</xdr:row>
      <xdr:rowOff>368061</xdr:rowOff>
    </xdr:from>
    <xdr:to>
      <xdr:col>236</xdr:col>
      <xdr:colOff>380999</xdr:colOff>
      <xdr:row>32</xdr:row>
      <xdr:rowOff>5751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91898A3-A9F4-494E-B459-CE5FD50B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243</xdr:col>
      <xdr:colOff>50321</xdr:colOff>
      <xdr:row>24</xdr:row>
      <xdr:rowOff>368061</xdr:rowOff>
    </xdr:from>
    <xdr:to>
      <xdr:col>250</xdr:col>
      <xdr:colOff>395377</xdr:colOff>
      <xdr:row>32</xdr:row>
      <xdr:rowOff>5751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1718033-733F-4510-81D3-C9DD8D970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B94A-5CF6-485D-AA82-081A06254217}">
  <dimension ref="A1:II61"/>
  <sheetViews>
    <sheetView tabSelected="1" zoomScale="20" zoomScaleNormal="20" workbookViewId="0">
      <selection activeCell="EZ25" sqref="EZ25:FA25"/>
    </sheetView>
  </sheetViews>
  <sheetFormatPr defaultRowHeight="14.4" x14ac:dyDescent="0.3"/>
  <cols>
    <col min="1" max="1" width="8.88671875" style="38"/>
    <col min="2" max="3" width="9" style="33" bestFit="1" customWidth="1"/>
    <col min="4" max="4" width="11.77734375" style="33" bestFit="1" customWidth="1"/>
    <col min="5" max="5" width="9" style="33" bestFit="1" customWidth="1"/>
    <col min="6" max="14" width="8.88671875" style="33"/>
    <col min="15" max="16" width="9" style="33" bestFit="1" customWidth="1"/>
    <col min="17" max="17" width="11.77734375" style="33" bestFit="1" customWidth="1"/>
    <col min="18" max="25" width="8.88671875" style="33"/>
    <col min="26" max="26" width="8.88671875" style="34"/>
    <col min="27" max="27" width="8.88671875" style="38"/>
    <col min="28" max="34" width="8.88671875" style="33"/>
    <col min="35" max="35" width="8.88671875" style="34"/>
    <col min="36" max="36" width="8.88671875" style="38"/>
    <col min="37" max="37" width="8.88671875" style="33"/>
    <col min="38" max="41" width="9.109375" style="33" bestFit="1" customWidth="1"/>
    <col min="42" max="43" width="8.88671875" style="33"/>
    <col min="44" max="45" width="12.77734375" style="33" bestFit="1" customWidth="1"/>
    <col min="46" max="46" width="11.77734375" style="33" bestFit="1" customWidth="1"/>
    <col min="47" max="47" width="13.21875" style="33" bestFit="1" customWidth="1"/>
    <col min="48" max="58" width="8.88671875" style="33"/>
    <col min="59" max="59" width="8.88671875" style="34"/>
    <col min="60" max="60" width="8.88671875" style="38"/>
    <col min="61" max="61" width="8.88671875" style="33"/>
    <col min="62" max="62" width="12" style="33" bestFit="1" customWidth="1"/>
    <col min="63" max="64" width="13.21875" style="33" bestFit="1" customWidth="1"/>
    <col min="65" max="65" width="9.109375" style="33" bestFit="1" customWidth="1"/>
    <col min="66" max="66" width="9.5546875" style="33" bestFit="1" customWidth="1"/>
    <col min="67" max="67" width="9.21875" style="33" bestFit="1" customWidth="1"/>
    <col min="68" max="69" width="8.88671875" style="33"/>
    <col min="70" max="70" width="13.33203125" style="33" bestFit="1" customWidth="1"/>
    <col min="71" max="71" width="12.5546875" style="33" bestFit="1" customWidth="1"/>
    <col min="72" max="72" width="12.6640625" style="33" bestFit="1" customWidth="1"/>
    <col min="73" max="73" width="12.21875" style="33" bestFit="1" customWidth="1"/>
    <col min="74" max="74" width="9.109375" style="33" bestFit="1" customWidth="1"/>
    <col min="75" max="75" width="13.6640625" style="33" bestFit="1" customWidth="1"/>
    <col min="76" max="76" width="12.5546875" style="33" bestFit="1" customWidth="1"/>
    <col min="77" max="85" width="8.88671875" style="33"/>
    <col min="86" max="86" width="8.88671875" style="34"/>
    <col min="89" max="89" width="12.21875" bestFit="1" customWidth="1"/>
    <col min="90" max="90" width="11" bestFit="1" customWidth="1"/>
    <col min="91" max="91" width="12.5546875" bestFit="1" customWidth="1"/>
    <col min="92" max="94" width="9" bestFit="1" customWidth="1"/>
    <col min="97" max="98" width="12.5546875" bestFit="1" customWidth="1"/>
    <col min="99" max="99" width="11.88671875" bestFit="1" customWidth="1"/>
    <col min="116" max="121" width="9" bestFit="1" customWidth="1"/>
    <col min="124" max="124" width="12.88671875" bestFit="1" customWidth="1"/>
    <col min="125" max="126" width="12.5546875" bestFit="1" customWidth="1"/>
    <col min="127" max="128" width="9" bestFit="1" customWidth="1"/>
    <col min="129" max="129" width="9.77734375" bestFit="1" customWidth="1"/>
    <col min="130" max="130" width="9" bestFit="1" customWidth="1"/>
    <col min="143" max="148" width="9" bestFit="1" customWidth="1"/>
    <col min="151" max="152" width="9" bestFit="1" customWidth="1"/>
    <col min="153" max="153" width="9.77734375" bestFit="1" customWidth="1"/>
    <col min="154" max="155" width="9" bestFit="1" customWidth="1"/>
    <col min="156" max="156" width="9.6640625" bestFit="1" customWidth="1"/>
    <col min="157" max="157" width="9" bestFit="1" customWidth="1"/>
    <col min="169" max="169" width="9.109375" bestFit="1" customWidth="1"/>
    <col min="170" max="170" width="11.88671875" bestFit="1" customWidth="1"/>
    <col min="171" max="171" width="11.21875" bestFit="1" customWidth="1"/>
    <col min="172" max="172" width="11.77734375" bestFit="1" customWidth="1"/>
    <col min="173" max="173" width="11.33203125" bestFit="1" customWidth="1"/>
    <col min="174" max="174" width="9" bestFit="1" customWidth="1"/>
    <col min="183" max="183" width="9" bestFit="1" customWidth="1"/>
    <col min="184" max="185" width="9.109375" bestFit="1" customWidth="1"/>
    <col min="186" max="186" width="12.109375" bestFit="1" customWidth="1"/>
    <col min="187" max="187" width="12.44140625" bestFit="1" customWidth="1"/>
    <col min="197" max="199" width="9.109375" bestFit="1" customWidth="1"/>
    <col min="200" max="200" width="13.21875" bestFit="1" customWidth="1"/>
    <col min="201" max="201" width="12.109375" bestFit="1" customWidth="1"/>
    <col min="239" max="239" width="11.5546875" bestFit="1" customWidth="1"/>
    <col min="240" max="243" width="9" bestFit="1" customWidth="1"/>
  </cols>
  <sheetData>
    <row r="1" spans="1:219" s="39" customFormat="1" ht="61.8" customHeight="1" thickBot="1" x14ac:dyDescent="0.35">
      <c r="A1" s="80" t="s">
        <v>85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94"/>
      <c r="AA1" s="90" t="s">
        <v>86</v>
      </c>
      <c r="AB1" s="91"/>
      <c r="AC1" s="91"/>
      <c r="AD1" s="91"/>
      <c r="AE1" s="91"/>
      <c r="AF1" s="91"/>
      <c r="AG1" s="91"/>
      <c r="AH1" s="91"/>
      <c r="AI1" s="95"/>
      <c r="AJ1" s="88" t="s">
        <v>87</v>
      </c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92" t="s">
        <v>121</v>
      </c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0" t="s">
        <v>122</v>
      </c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88" t="s">
        <v>123</v>
      </c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0" t="s">
        <v>124</v>
      </c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</row>
    <row r="2" spans="1:219" ht="30" customHeight="1" thickBot="1" x14ac:dyDescent="0.35">
      <c r="A2" s="82" t="s">
        <v>21</v>
      </c>
      <c r="B2" s="83"/>
      <c r="C2" s="83"/>
      <c r="D2" s="83"/>
      <c r="E2" s="84"/>
      <c r="AB2" s="82" t="s">
        <v>21</v>
      </c>
      <c r="AC2" s="83"/>
      <c r="AD2" s="83"/>
      <c r="AE2" s="83"/>
      <c r="AF2" s="84"/>
      <c r="AK2" s="82" t="s">
        <v>21</v>
      </c>
      <c r="AL2" s="83"/>
      <c r="AM2" s="83"/>
      <c r="AN2" s="83"/>
      <c r="AO2" s="84"/>
      <c r="AQ2" s="71" t="s">
        <v>120</v>
      </c>
      <c r="AR2" s="72"/>
      <c r="AS2" s="72"/>
      <c r="AT2" s="72"/>
      <c r="AU2" s="73"/>
      <c r="BI2" s="82" t="s">
        <v>21</v>
      </c>
      <c r="BJ2" s="83"/>
      <c r="BK2" s="83"/>
      <c r="BL2" s="83"/>
      <c r="BM2" s="84"/>
      <c r="BQ2" s="71" t="s">
        <v>120</v>
      </c>
      <c r="BR2" s="72"/>
      <c r="BS2" s="72"/>
      <c r="BT2" s="72"/>
      <c r="BU2" s="73"/>
      <c r="CI2" s="38"/>
      <c r="CJ2" s="82" t="s">
        <v>21</v>
      </c>
      <c r="CK2" s="83"/>
      <c r="CL2" s="83"/>
      <c r="CM2" s="83"/>
      <c r="CN2" s="84"/>
      <c r="CO2" s="33"/>
      <c r="CP2" s="33"/>
      <c r="CQ2" s="33"/>
      <c r="CR2" s="71" t="s">
        <v>120</v>
      </c>
      <c r="CS2" s="72"/>
      <c r="CT2" s="72"/>
      <c r="CU2" s="72"/>
      <c r="CV2" s="7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4"/>
      <c r="DJ2" s="38"/>
      <c r="DK2" s="82" t="s">
        <v>21</v>
      </c>
      <c r="DL2" s="83"/>
      <c r="DM2" s="83"/>
      <c r="DN2" s="83"/>
      <c r="DO2" s="84"/>
      <c r="DP2" s="33"/>
      <c r="DQ2" s="33"/>
      <c r="DR2" s="33"/>
      <c r="DS2" s="71" t="s">
        <v>120</v>
      </c>
      <c r="DT2" s="72"/>
      <c r="DU2" s="72"/>
      <c r="DV2" s="72"/>
      <c r="DW2" s="7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4"/>
      <c r="EK2" s="38"/>
      <c r="EL2" s="82" t="s">
        <v>21</v>
      </c>
      <c r="EM2" s="83"/>
      <c r="EN2" s="83"/>
      <c r="EO2" s="83"/>
      <c r="EP2" s="84"/>
      <c r="EQ2" s="33"/>
      <c r="ER2" s="33"/>
      <c r="ES2" s="33"/>
      <c r="ET2" s="71" t="s">
        <v>120</v>
      </c>
      <c r="EU2" s="72"/>
      <c r="EV2" s="72"/>
      <c r="EW2" s="72"/>
      <c r="EX2" s="7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4"/>
    </row>
    <row r="3" spans="1:219" ht="30" customHeight="1" thickBot="1" x14ac:dyDescent="0.35">
      <c r="A3" s="35"/>
      <c r="B3" s="10" t="s">
        <v>0</v>
      </c>
      <c r="C3" s="10" t="s">
        <v>1</v>
      </c>
      <c r="D3" s="10" t="s">
        <v>2</v>
      </c>
      <c r="E3" s="11" t="s">
        <v>3</v>
      </c>
      <c r="AB3" s="9"/>
      <c r="AC3" s="20" t="s">
        <v>0</v>
      </c>
      <c r="AD3" s="20" t="s">
        <v>1</v>
      </c>
      <c r="AE3" s="20" t="s">
        <v>2</v>
      </c>
      <c r="AF3" s="21" t="s">
        <v>3</v>
      </c>
      <c r="AK3" s="9"/>
      <c r="AL3" s="20" t="s">
        <v>0</v>
      </c>
      <c r="AM3" s="20" t="s">
        <v>1</v>
      </c>
      <c r="AN3" s="20" t="s">
        <v>2</v>
      </c>
      <c r="AO3" s="21" t="s">
        <v>3</v>
      </c>
      <c r="AQ3" s="41"/>
      <c r="AR3" s="42" t="s">
        <v>0</v>
      </c>
      <c r="AS3" s="42" t="s">
        <v>1</v>
      </c>
      <c r="AT3" s="42" t="s">
        <v>2</v>
      </c>
      <c r="AU3" s="43" t="s">
        <v>3</v>
      </c>
      <c r="BI3" s="9"/>
      <c r="BJ3" s="20" t="s">
        <v>0</v>
      </c>
      <c r="BK3" s="20" t="s">
        <v>1</v>
      </c>
      <c r="BL3" s="20" t="s">
        <v>2</v>
      </c>
      <c r="BM3" s="21" t="s">
        <v>3</v>
      </c>
      <c r="BQ3" s="41"/>
      <c r="BR3" s="42" t="s">
        <v>0</v>
      </c>
      <c r="BS3" s="42" t="s">
        <v>1</v>
      </c>
      <c r="BT3" s="42" t="s">
        <v>2</v>
      </c>
      <c r="BU3" s="43" t="s">
        <v>3</v>
      </c>
      <c r="CI3" s="38"/>
      <c r="CJ3" s="9"/>
      <c r="CK3" s="20" t="s">
        <v>0</v>
      </c>
      <c r="CL3" s="20" t="s">
        <v>1</v>
      </c>
      <c r="CM3" s="20" t="s">
        <v>2</v>
      </c>
      <c r="CN3" s="21" t="s">
        <v>3</v>
      </c>
      <c r="CO3" s="33"/>
      <c r="CP3" s="33"/>
      <c r="CQ3" s="33"/>
      <c r="CR3" s="41"/>
      <c r="CS3" s="42" t="s">
        <v>0</v>
      </c>
      <c r="CT3" s="42" t="s">
        <v>1</v>
      </c>
      <c r="CU3" s="42" t="s">
        <v>2</v>
      </c>
      <c r="CV3" s="43" t="s">
        <v>3</v>
      </c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4"/>
      <c r="DJ3" s="38"/>
      <c r="DK3" s="9"/>
      <c r="DL3" s="20" t="s">
        <v>0</v>
      </c>
      <c r="DM3" s="20" t="s">
        <v>1</v>
      </c>
      <c r="DN3" s="20" t="s">
        <v>2</v>
      </c>
      <c r="DO3" s="21" t="s">
        <v>3</v>
      </c>
      <c r="DP3" s="33"/>
      <c r="DQ3" s="33"/>
      <c r="DR3" s="33"/>
      <c r="DS3" s="41"/>
      <c r="DT3" s="42" t="s">
        <v>0</v>
      </c>
      <c r="DU3" s="42" t="s">
        <v>1</v>
      </c>
      <c r="DV3" s="42" t="s">
        <v>2</v>
      </c>
      <c r="DW3" s="43" t="s">
        <v>3</v>
      </c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4"/>
      <c r="EK3" s="38"/>
      <c r="EL3" s="9"/>
      <c r="EM3" s="20" t="s">
        <v>0</v>
      </c>
      <c r="EN3" s="20" t="s">
        <v>1</v>
      </c>
      <c r="EO3" s="20" t="s">
        <v>2</v>
      </c>
      <c r="EP3" s="21" t="s">
        <v>3</v>
      </c>
      <c r="EQ3" s="33"/>
      <c r="ER3" s="33"/>
      <c r="ES3" s="33"/>
      <c r="ET3" s="41"/>
      <c r="EU3" s="42" t="s">
        <v>0</v>
      </c>
      <c r="EV3" s="42" t="s">
        <v>1</v>
      </c>
      <c r="EW3" s="42" t="s">
        <v>2</v>
      </c>
      <c r="EX3" s="43" t="s">
        <v>3</v>
      </c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4"/>
    </row>
    <row r="4" spans="1:219" ht="30" customHeight="1" thickBot="1" x14ac:dyDescent="0.35">
      <c r="A4" s="36" t="s">
        <v>4</v>
      </c>
      <c r="B4" s="2">
        <v>0.64300000000000002</v>
      </c>
      <c r="C4" s="2">
        <v>0.71</v>
      </c>
      <c r="D4" s="3">
        <f>AVERAGE(0.918,0.312)</f>
        <v>0.61499999999999999</v>
      </c>
      <c r="E4" s="4">
        <v>0.24</v>
      </c>
      <c r="AB4" s="18" t="s">
        <v>4</v>
      </c>
      <c r="AC4" s="22" t="s">
        <v>29</v>
      </c>
      <c r="AD4" s="23" t="s">
        <v>28</v>
      </c>
      <c r="AE4" s="24" t="s">
        <v>27</v>
      </c>
      <c r="AF4" s="25" t="s">
        <v>26</v>
      </c>
      <c r="AK4" s="18" t="s">
        <v>4</v>
      </c>
      <c r="AL4" s="12">
        <v>0.66400000000000003</v>
      </c>
      <c r="AM4" s="13">
        <v>0.71099999999999997</v>
      </c>
      <c r="AN4" s="16">
        <f>AVERAGE(0.88,0.402)</f>
        <v>0.64100000000000001</v>
      </c>
      <c r="AO4" s="14">
        <v>0.29299999999999998</v>
      </c>
      <c r="AQ4" s="18" t="s">
        <v>4</v>
      </c>
      <c r="AR4" s="69">
        <f t="shared" ref="AR4:AU11" si="0">AL4-B4</f>
        <v>2.1000000000000019E-2</v>
      </c>
      <c r="AS4" s="12">
        <f t="shared" si="0"/>
        <v>1.0000000000000009E-3</v>
      </c>
      <c r="AT4" s="69">
        <f t="shared" si="0"/>
        <v>2.6000000000000023E-2</v>
      </c>
      <c r="AU4" s="69">
        <f t="shared" si="0"/>
        <v>5.2999999999999992E-2</v>
      </c>
      <c r="BI4" s="18" t="s">
        <v>4</v>
      </c>
      <c r="BJ4" s="12">
        <v>0.64800000000000002</v>
      </c>
      <c r="BK4" s="13">
        <v>0.70699999999999996</v>
      </c>
      <c r="BL4" s="16">
        <f>AVERAGE(0.9,0.343)</f>
        <v>0.62150000000000005</v>
      </c>
      <c r="BM4" s="14">
        <v>0.254</v>
      </c>
      <c r="BQ4" s="18" t="s">
        <v>4</v>
      </c>
      <c r="BR4" s="69">
        <f t="shared" ref="BR4:BU11" si="1">BJ4-AL4</f>
        <v>-1.6000000000000014E-2</v>
      </c>
      <c r="BS4" s="12">
        <f t="shared" si="1"/>
        <v>-4.0000000000000036E-3</v>
      </c>
      <c r="BT4" s="69">
        <f t="shared" si="1"/>
        <v>-1.9499999999999962E-2</v>
      </c>
      <c r="BU4" s="69">
        <f t="shared" si="1"/>
        <v>-3.8999999999999979E-2</v>
      </c>
      <c r="CI4" s="38"/>
      <c r="CJ4" s="18" t="s">
        <v>4</v>
      </c>
      <c r="CK4" s="12">
        <v>0.64800000000000002</v>
      </c>
      <c r="CL4" s="13">
        <v>0.70699999999999996</v>
      </c>
      <c r="CM4" s="16">
        <f>AVERAGE(0.9,0.343)</f>
        <v>0.62150000000000005</v>
      </c>
      <c r="CN4" s="14">
        <v>0.254</v>
      </c>
      <c r="CO4" s="33"/>
      <c r="CP4" s="33"/>
      <c r="CQ4" s="33"/>
      <c r="CR4" s="18" t="s">
        <v>4</v>
      </c>
      <c r="CS4" s="12">
        <f t="shared" ref="CS4:CV11" si="2">CK4-BM4</f>
        <v>0.39400000000000002</v>
      </c>
      <c r="CT4" s="12">
        <f t="shared" si="2"/>
        <v>0.70699999999999996</v>
      </c>
      <c r="CU4" s="12">
        <f t="shared" si="2"/>
        <v>0.62150000000000005</v>
      </c>
      <c r="CV4" s="12">
        <f t="shared" si="2"/>
        <v>0.254</v>
      </c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4"/>
      <c r="DJ4" s="38"/>
      <c r="DK4" s="18" t="s">
        <v>4</v>
      </c>
      <c r="DL4" s="12">
        <v>0.65500000000000003</v>
      </c>
      <c r="DM4" s="13">
        <v>0.71</v>
      </c>
      <c r="DN4" s="16">
        <f>AVERAGE(0.92,0.335)</f>
        <v>0.62750000000000006</v>
      </c>
      <c r="DO4" s="14">
        <v>0.26700000000000002</v>
      </c>
      <c r="DP4" s="33"/>
      <c r="DQ4" s="33"/>
      <c r="DR4" s="33"/>
      <c r="DS4" s="18" t="s">
        <v>4</v>
      </c>
      <c r="DT4" s="12">
        <f>DL4-CK4</f>
        <v>7.0000000000000062E-3</v>
      </c>
      <c r="DU4" s="12">
        <f t="shared" ref="DU4:DW11" si="3">DM4-CL4</f>
        <v>3.0000000000000027E-3</v>
      </c>
      <c r="DV4" s="12">
        <f t="shared" si="3"/>
        <v>6.0000000000000053E-3</v>
      </c>
      <c r="DW4" s="12">
        <f t="shared" si="3"/>
        <v>1.3000000000000012E-2</v>
      </c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4"/>
      <c r="EK4" s="38"/>
      <c r="EL4" s="18" t="s">
        <v>4</v>
      </c>
      <c r="EM4" s="12">
        <v>0.66200000000000003</v>
      </c>
      <c r="EN4" s="13">
        <v>0.70299999999999996</v>
      </c>
      <c r="EO4" s="16">
        <f>AVERAGE(0.771,0.531)</f>
        <v>0.65100000000000002</v>
      </c>
      <c r="EP4" s="14">
        <v>0.30599999999999999</v>
      </c>
      <c r="EQ4" s="33"/>
      <c r="ER4" s="33"/>
      <c r="ES4" s="33"/>
      <c r="ET4" s="18" t="s">
        <v>4</v>
      </c>
      <c r="EU4" s="12">
        <f>EM4-DL4</f>
        <v>7.0000000000000062E-3</v>
      </c>
      <c r="EV4" s="12">
        <f t="shared" ref="EV4:EV5" si="4">EN4-DM4</f>
        <v>-7.0000000000000062E-3</v>
      </c>
      <c r="EW4" s="12">
        <f t="shared" ref="EW4:EW7" si="5">EO4-DN4</f>
        <v>2.3499999999999965E-2</v>
      </c>
      <c r="EX4" s="12">
        <f t="shared" ref="EX4:EX10" si="6">EP4-DO4</f>
        <v>3.8999999999999979E-2</v>
      </c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4"/>
      <c r="FL4" s="18" t="s">
        <v>4</v>
      </c>
      <c r="FM4" s="2">
        <v>0.64300000000000002</v>
      </c>
      <c r="FN4" s="12">
        <v>0.66400000000000003</v>
      </c>
      <c r="FO4" s="12">
        <v>0.64800000000000002</v>
      </c>
      <c r="FP4" s="12">
        <v>0.64800000000000002</v>
      </c>
      <c r="FQ4" s="12">
        <v>0.65500000000000003</v>
      </c>
      <c r="FR4" s="12">
        <v>0.66200000000000003</v>
      </c>
      <c r="GA4" s="18" t="s">
        <v>4</v>
      </c>
      <c r="GB4" s="2">
        <v>0.71</v>
      </c>
      <c r="GC4" s="13">
        <v>0.71099999999999997</v>
      </c>
      <c r="GD4" s="13">
        <v>0.70699999999999996</v>
      </c>
      <c r="GE4" s="13">
        <v>0.70699999999999996</v>
      </c>
      <c r="GF4" s="13">
        <v>0.71</v>
      </c>
      <c r="GG4" s="13">
        <v>0.70299999999999996</v>
      </c>
      <c r="GP4" s="18" t="s">
        <v>4</v>
      </c>
      <c r="GQ4" s="3">
        <v>0.61499999999999999</v>
      </c>
      <c r="GR4" s="16">
        <v>0.64100000000000001</v>
      </c>
      <c r="GS4" s="16">
        <v>0.62150000000000005</v>
      </c>
      <c r="GT4" s="16">
        <v>0.62150000000000005</v>
      </c>
      <c r="GU4" s="16">
        <v>0.62750000000000006</v>
      </c>
      <c r="GV4" s="16">
        <v>0.65100000000000002</v>
      </c>
      <c r="HE4" s="18" t="s">
        <v>4</v>
      </c>
      <c r="HF4" s="4">
        <v>0.24</v>
      </c>
      <c r="HG4" s="14">
        <v>0.29299999999999998</v>
      </c>
      <c r="HH4" s="14">
        <v>0.254</v>
      </c>
      <c r="HI4" s="14">
        <v>0.254</v>
      </c>
      <c r="HJ4" s="14">
        <v>0.26700000000000002</v>
      </c>
      <c r="HK4" s="14">
        <v>0.30599999999999999</v>
      </c>
    </row>
    <row r="5" spans="1:219" ht="30" customHeight="1" thickBot="1" x14ac:dyDescent="0.35">
      <c r="A5" s="36" t="s">
        <v>5</v>
      </c>
      <c r="B5" s="2">
        <v>0.60499999999999998</v>
      </c>
      <c r="C5" s="2">
        <v>0.63600000000000001</v>
      </c>
      <c r="D5" s="3">
        <f>AVERAGE(0.68,0.515)</f>
        <v>0.59750000000000003</v>
      </c>
      <c r="E5" s="4">
        <v>0.19700000000000001</v>
      </c>
      <c r="AB5" s="18" t="s">
        <v>5</v>
      </c>
      <c r="AC5" s="26" t="s">
        <v>33</v>
      </c>
      <c r="AD5" s="2" t="s">
        <v>32</v>
      </c>
      <c r="AE5" s="3" t="s">
        <v>31</v>
      </c>
      <c r="AF5" s="27" t="s">
        <v>30</v>
      </c>
      <c r="AK5" s="18" t="s">
        <v>5</v>
      </c>
      <c r="AL5" s="15">
        <v>0.60099999999999998</v>
      </c>
      <c r="AM5" s="2">
        <v>0.64700000000000002</v>
      </c>
      <c r="AN5" s="3">
        <f>AVERAGE(0.58,0.627)</f>
        <v>0.60349999999999993</v>
      </c>
      <c r="AO5" s="4">
        <v>0.20499999999999999</v>
      </c>
      <c r="AQ5" s="18" t="s">
        <v>5</v>
      </c>
      <c r="AR5" s="12">
        <f t="shared" si="0"/>
        <v>-4.0000000000000036E-3</v>
      </c>
      <c r="AS5" s="12">
        <f t="shared" si="0"/>
        <v>1.100000000000001E-2</v>
      </c>
      <c r="AT5" s="12">
        <f t="shared" si="0"/>
        <v>5.9999999999998943E-3</v>
      </c>
      <c r="AU5" s="12">
        <f t="shared" si="0"/>
        <v>7.9999999999999793E-3</v>
      </c>
      <c r="BI5" s="18" t="s">
        <v>5</v>
      </c>
      <c r="BJ5" s="15">
        <v>0.628</v>
      </c>
      <c r="BK5" s="2">
        <v>0.68799999999999994</v>
      </c>
      <c r="BL5" s="3">
        <f>AVERAGE(0.558,0.713)</f>
        <v>0.63549999999999995</v>
      </c>
      <c r="BM5" s="4">
        <v>0.26500000000000001</v>
      </c>
      <c r="BQ5" s="18" t="s">
        <v>5</v>
      </c>
      <c r="BR5" s="12">
        <f t="shared" si="1"/>
        <v>2.7000000000000024E-2</v>
      </c>
      <c r="BS5" s="12">
        <f t="shared" si="1"/>
        <v>4.0999999999999925E-2</v>
      </c>
      <c r="BT5" s="69">
        <f t="shared" si="1"/>
        <v>3.2000000000000028E-2</v>
      </c>
      <c r="BU5" s="69">
        <f t="shared" si="1"/>
        <v>6.0000000000000026E-2</v>
      </c>
      <c r="CI5" s="38"/>
      <c r="CJ5" s="18" t="s">
        <v>5</v>
      </c>
      <c r="CK5" s="15">
        <v>0.64400000000000002</v>
      </c>
      <c r="CL5" s="2">
        <v>0.68600000000000005</v>
      </c>
      <c r="CM5" s="3">
        <f>AVERAGE(0.64,0.649)</f>
        <v>0.64450000000000007</v>
      </c>
      <c r="CN5" s="4">
        <v>0.28699999999999998</v>
      </c>
      <c r="CO5" s="33"/>
      <c r="CP5" s="33"/>
      <c r="CQ5" s="33"/>
      <c r="CR5" s="18" t="s">
        <v>5</v>
      </c>
      <c r="CS5" s="69">
        <f t="shared" si="2"/>
        <v>0.379</v>
      </c>
      <c r="CT5" s="12">
        <f t="shared" si="2"/>
        <v>0.68600000000000005</v>
      </c>
      <c r="CU5" s="12">
        <f t="shared" si="2"/>
        <v>0.64450000000000007</v>
      </c>
      <c r="CV5" s="12">
        <f t="shared" si="2"/>
        <v>0.28699999999999998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4"/>
      <c r="DJ5" s="38"/>
      <c r="DK5" s="18" t="s">
        <v>5</v>
      </c>
      <c r="DL5" s="15">
        <v>0.66600000000000004</v>
      </c>
      <c r="DM5" s="2">
        <v>0.70199999999999996</v>
      </c>
      <c r="DN5" s="3">
        <f>AVERAGE(0.829,0.469)</f>
        <v>0.64900000000000002</v>
      </c>
      <c r="DO5" s="4">
        <v>0.30599999999999999</v>
      </c>
      <c r="DP5" s="33"/>
      <c r="DQ5" s="33"/>
      <c r="DR5" s="33"/>
      <c r="DS5" s="18" t="s">
        <v>5</v>
      </c>
      <c r="DT5" s="12">
        <f t="shared" ref="DT5:DT11" si="7">DL5-CK5</f>
        <v>2.200000000000002E-2</v>
      </c>
      <c r="DU5" s="12">
        <f t="shared" si="3"/>
        <v>1.5999999999999903E-2</v>
      </c>
      <c r="DV5" s="12">
        <f t="shared" si="3"/>
        <v>4.4999999999999485E-3</v>
      </c>
      <c r="DW5" s="12">
        <f t="shared" si="3"/>
        <v>1.9000000000000017E-2</v>
      </c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4"/>
      <c r="EK5" s="38"/>
      <c r="EL5" s="18" t="s">
        <v>5</v>
      </c>
      <c r="EM5" s="15">
        <v>0.64600000000000002</v>
      </c>
      <c r="EN5" s="2">
        <v>0.69399999999999995</v>
      </c>
      <c r="EO5" s="3">
        <f>AVERAGE(0.724,0.552)</f>
        <v>0.63800000000000001</v>
      </c>
      <c r="EP5" s="4">
        <v>0.27900000000000003</v>
      </c>
      <c r="EQ5" s="33"/>
      <c r="ER5" s="33"/>
      <c r="ES5" s="33"/>
      <c r="ET5" s="18" t="s">
        <v>5</v>
      </c>
      <c r="EU5" s="69">
        <f t="shared" ref="EU5:EU11" si="8">EM5-DL5</f>
        <v>-2.0000000000000018E-2</v>
      </c>
      <c r="EV5" s="12">
        <f t="shared" si="4"/>
        <v>-8.0000000000000071E-3</v>
      </c>
      <c r="EW5" s="12">
        <f t="shared" si="5"/>
        <v>-1.100000000000001E-2</v>
      </c>
      <c r="EX5" s="12">
        <f t="shared" si="6"/>
        <v>-2.6999999999999968E-2</v>
      </c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4"/>
      <c r="FL5" s="18" t="s">
        <v>5</v>
      </c>
      <c r="FM5" s="2">
        <v>0.60499999999999998</v>
      </c>
      <c r="FN5" s="15">
        <v>0.60099999999999998</v>
      </c>
      <c r="FO5" s="15">
        <v>0.628</v>
      </c>
      <c r="FP5" s="15">
        <v>0.64400000000000002</v>
      </c>
      <c r="FQ5" s="15">
        <v>0.66600000000000004</v>
      </c>
      <c r="FR5" s="15">
        <v>0.64600000000000002</v>
      </c>
      <c r="GA5" s="18" t="s">
        <v>5</v>
      </c>
      <c r="GB5" s="2">
        <v>0.63600000000000001</v>
      </c>
      <c r="GC5" s="2">
        <v>0.64700000000000002</v>
      </c>
      <c r="GD5" s="2">
        <v>0.68799999999999994</v>
      </c>
      <c r="GE5" s="2">
        <v>0.68600000000000005</v>
      </c>
      <c r="GF5" s="2">
        <v>0.70199999999999996</v>
      </c>
      <c r="GG5" s="2">
        <v>0.69399999999999995</v>
      </c>
      <c r="GP5" s="18" t="s">
        <v>5</v>
      </c>
      <c r="GQ5" s="3">
        <v>0.59750000000000003</v>
      </c>
      <c r="GR5" s="3">
        <v>0.60349999999999993</v>
      </c>
      <c r="GS5" s="3">
        <v>0.63549999999999995</v>
      </c>
      <c r="GT5" s="3">
        <v>0.64450000000000007</v>
      </c>
      <c r="GU5" s="3">
        <v>0.64900000000000002</v>
      </c>
      <c r="GV5" s="3">
        <v>0.63800000000000001</v>
      </c>
      <c r="HE5" s="18" t="s">
        <v>5</v>
      </c>
      <c r="HF5" s="4">
        <v>0.19700000000000001</v>
      </c>
      <c r="HG5" s="4">
        <v>0.20499999999999999</v>
      </c>
      <c r="HH5" s="4">
        <v>0.26500000000000001</v>
      </c>
      <c r="HI5" s="4">
        <v>0.28699999999999998</v>
      </c>
      <c r="HJ5" s="4">
        <v>0.30599999999999999</v>
      </c>
      <c r="HK5" s="4">
        <v>0.27900000000000003</v>
      </c>
    </row>
    <row r="6" spans="1:219" ht="30" customHeight="1" thickBot="1" x14ac:dyDescent="0.35">
      <c r="A6" s="36" t="s">
        <v>6</v>
      </c>
      <c r="B6" s="2">
        <v>0.60899999999999999</v>
      </c>
      <c r="C6" s="2">
        <v>0.60499999999999998</v>
      </c>
      <c r="D6" s="3">
        <f>AVERAGE(0.647,0.563)</f>
        <v>0.60499999999999998</v>
      </c>
      <c r="E6" s="4">
        <v>0.21</v>
      </c>
      <c r="AB6" s="18" t="s">
        <v>6</v>
      </c>
      <c r="AC6" s="26" t="s">
        <v>36</v>
      </c>
      <c r="AD6" s="2" t="s">
        <v>35</v>
      </c>
      <c r="AE6" s="3" t="s">
        <v>35</v>
      </c>
      <c r="AF6" s="27" t="s">
        <v>34</v>
      </c>
      <c r="AK6" s="18" t="s">
        <v>6</v>
      </c>
      <c r="AL6" s="15">
        <v>0.62</v>
      </c>
      <c r="AM6" s="2">
        <v>0.62</v>
      </c>
      <c r="AN6" s="3">
        <f>AVERAGE(0.622,0.617)</f>
        <v>0.61949999999999994</v>
      </c>
      <c r="AO6" s="4">
        <v>0.23799999999999999</v>
      </c>
      <c r="AQ6" s="18" t="s">
        <v>6</v>
      </c>
      <c r="AR6" s="12">
        <f t="shared" si="0"/>
        <v>1.100000000000001E-2</v>
      </c>
      <c r="AS6" s="12">
        <f t="shared" si="0"/>
        <v>1.5000000000000013E-2</v>
      </c>
      <c r="AT6" s="12">
        <f t="shared" si="0"/>
        <v>1.4499999999999957E-2</v>
      </c>
      <c r="AU6" s="12">
        <f t="shared" si="0"/>
        <v>2.7999999999999997E-2</v>
      </c>
      <c r="BI6" s="18" t="s">
        <v>6</v>
      </c>
      <c r="BJ6" s="15">
        <v>0.625</v>
      </c>
      <c r="BK6" s="2">
        <v>0.626</v>
      </c>
      <c r="BL6" s="3">
        <f>AVERAGE(0.616,0.636)</f>
        <v>0.626</v>
      </c>
      <c r="BM6" s="4">
        <v>0.249</v>
      </c>
      <c r="BQ6" s="18" t="s">
        <v>6</v>
      </c>
      <c r="BR6" s="12">
        <f t="shared" si="1"/>
        <v>5.0000000000000044E-3</v>
      </c>
      <c r="BS6" s="12">
        <f t="shared" si="1"/>
        <v>6.0000000000000053E-3</v>
      </c>
      <c r="BT6" s="12">
        <f t="shared" si="1"/>
        <v>6.5000000000000613E-3</v>
      </c>
      <c r="BU6" s="12">
        <f t="shared" si="1"/>
        <v>1.100000000000001E-2</v>
      </c>
      <c r="CI6" s="38"/>
      <c r="CJ6" s="18" t="s">
        <v>6</v>
      </c>
      <c r="CK6" s="15">
        <v>0.65700000000000003</v>
      </c>
      <c r="CL6" s="2">
        <v>0.68799999999999994</v>
      </c>
      <c r="CM6" s="3">
        <f>AVERAGE(0.658,0.657)</f>
        <v>0.65749999999999997</v>
      </c>
      <c r="CN6" s="4">
        <v>0.313</v>
      </c>
      <c r="CO6" s="33"/>
      <c r="CP6" s="33"/>
      <c r="CQ6" s="33"/>
      <c r="CR6" s="18" t="s">
        <v>6</v>
      </c>
      <c r="CS6" s="69">
        <f t="shared" si="2"/>
        <v>0.40800000000000003</v>
      </c>
      <c r="CT6" s="69">
        <f t="shared" si="2"/>
        <v>0.68799999999999994</v>
      </c>
      <c r="CU6" s="69">
        <f t="shared" si="2"/>
        <v>0.65749999999999997</v>
      </c>
      <c r="CV6" s="69">
        <f t="shared" si="2"/>
        <v>0.313</v>
      </c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4"/>
      <c r="DJ6" s="38"/>
      <c r="DK6" s="18" t="s">
        <v>6</v>
      </c>
      <c r="DL6" s="15">
        <v>0.64900000000000002</v>
      </c>
      <c r="DM6" s="2">
        <v>0.69599999999999995</v>
      </c>
      <c r="DN6" s="3">
        <f>AVERAGE(0.687,0.603)</f>
        <v>0.64500000000000002</v>
      </c>
      <c r="DO6" s="4">
        <v>0.28899999999999998</v>
      </c>
      <c r="DP6" s="33"/>
      <c r="DQ6" s="33"/>
      <c r="DR6" s="33"/>
      <c r="DS6" s="18" t="s">
        <v>6</v>
      </c>
      <c r="DT6" s="12">
        <f t="shared" si="7"/>
        <v>-8.0000000000000071E-3</v>
      </c>
      <c r="DU6" s="12">
        <f>DM6-CL6</f>
        <v>8.0000000000000071E-3</v>
      </c>
      <c r="DV6" s="12">
        <f t="shared" si="3"/>
        <v>-1.2499999999999956E-2</v>
      </c>
      <c r="DW6" s="12">
        <f t="shared" si="3"/>
        <v>-2.4000000000000021E-2</v>
      </c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4"/>
      <c r="EK6" s="38"/>
      <c r="EL6" s="18" t="s">
        <v>6</v>
      </c>
      <c r="EM6" s="15">
        <v>0.65400000000000003</v>
      </c>
      <c r="EN6" s="2">
        <v>0.69599999999999995</v>
      </c>
      <c r="EO6" s="3">
        <f>AVERAGE(0.622,0.692)</f>
        <v>0.65700000000000003</v>
      </c>
      <c r="EP6" s="4">
        <v>0.31</v>
      </c>
      <c r="EQ6" s="33"/>
      <c r="ER6" s="33"/>
      <c r="ES6" s="33"/>
      <c r="ET6" s="18" t="s">
        <v>6</v>
      </c>
      <c r="EU6" s="12">
        <f t="shared" si="8"/>
        <v>5.0000000000000044E-3</v>
      </c>
      <c r="EV6" s="12">
        <f>EN6-DM6</f>
        <v>0</v>
      </c>
      <c r="EW6" s="12">
        <f t="shared" si="5"/>
        <v>1.2000000000000011E-2</v>
      </c>
      <c r="EX6" s="12">
        <f t="shared" si="6"/>
        <v>2.1000000000000019E-2</v>
      </c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4"/>
      <c r="FL6" s="18" t="s">
        <v>6</v>
      </c>
      <c r="FM6" s="2">
        <v>0.60899999999999999</v>
      </c>
      <c r="FN6" s="15">
        <v>0.62</v>
      </c>
      <c r="FO6" s="15">
        <v>0.625</v>
      </c>
      <c r="FP6" s="15">
        <v>0.65700000000000003</v>
      </c>
      <c r="FQ6" s="15">
        <v>0.64900000000000002</v>
      </c>
      <c r="FR6" s="15">
        <v>0.65400000000000003</v>
      </c>
      <c r="GA6" s="18" t="s">
        <v>6</v>
      </c>
      <c r="GB6" s="2">
        <v>0.60499999999999998</v>
      </c>
      <c r="GC6" s="2">
        <v>0.62</v>
      </c>
      <c r="GD6" s="2">
        <v>0.626</v>
      </c>
      <c r="GE6" s="2">
        <v>0.68799999999999994</v>
      </c>
      <c r="GF6" s="2">
        <v>0.69599999999999995</v>
      </c>
      <c r="GG6" s="2">
        <v>0.69599999999999995</v>
      </c>
      <c r="GP6" s="18" t="s">
        <v>6</v>
      </c>
      <c r="GQ6" s="3">
        <v>0.60499999999999998</v>
      </c>
      <c r="GR6" s="3">
        <v>0.61949999999999994</v>
      </c>
      <c r="GS6" s="3">
        <v>0.626</v>
      </c>
      <c r="GT6" s="3">
        <v>0.65749999999999997</v>
      </c>
      <c r="GU6" s="3">
        <v>0.64500000000000002</v>
      </c>
      <c r="GV6" s="3">
        <v>0.65700000000000003</v>
      </c>
      <c r="HE6" s="18" t="s">
        <v>6</v>
      </c>
      <c r="HF6" s="4">
        <v>0.21</v>
      </c>
      <c r="HG6" s="4">
        <v>0.23799999999999999</v>
      </c>
      <c r="HH6" s="4">
        <v>0.249</v>
      </c>
      <c r="HI6" s="4">
        <v>0.313</v>
      </c>
      <c r="HJ6" s="4">
        <v>0.28899999999999998</v>
      </c>
      <c r="HK6" s="4">
        <v>0.31</v>
      </c>
    </row>
    <row r="7" spans="1:219" ht="30" customHeight="1" thickBot="1" x14ac:dyDescent="0.35">
      <c r="A7" s="36" t="s">
        <v>7</v>
      </c>
      <c r="B7" s="2">
        <v>0.65900000000000003</v>
      </c>
      <c r="C7" s="2">
        <v>0.73</v>
      </c>
      <c r="D7" s="3">
        <f>AVERAGE(0.751,0.547)</f>
        <v>0.64900000000000002</v>
      </c>
      <c r="E7" s="4">
        <v>0.30099999999999999</v>
      </c>
      <c r="AB7" s="18" t="s">
        <v>7</v>
      </c>
      <c r="AC7" s="26" t="s">
        <v>40</v>
      </c>
      <c r="AD7" s="2" t="s">
        <v>39</v>
      </c>
      <c r="AE7" s="3" t="s">
        <v>38</v>
      </c>
      <c r="AF7" s="27" t="s">
        <v>37</v>
      </c>
      <c r="AK7" s="18" t="s">
        <v>7</v>
      </c>
      <c r="AL7" s="15">
        <v>0.64600000000000002</v>
      </c>
      <c r="AM7" s="2">
        <v>0.70799999999999996</v>
      </c>
      <c r="AN7" s="3">
        <f>AVERAGE(0.633,0.663)</f>
        <v>0.64800000000000002</v>
      </c>
      <c r="AO7" s="4">
        <v>0.29299999999999998</v>
      </c>
      <c r="AQ7" s="18" t="s">
        <v>7</v>
      </c>
      <c r="AR7" s="12">
        <f t="shared" si="0"/>
        <v>-1.3000000000000012E-2</v>
      </c>
      <c r="AS7" s="69">
        <f t="shared" si="0"/>
        <v>-2.200000000000002E-2</v>
      </c>
      <c r="AT7" s="12">
        <f t="shared" si="0"/>
        <v>-1.0000000000000009E-3</v>
      </c>
      <c r="AU7" s="12">
        <f t="shared" si="0"/>
        <v>-8.0000000000000071E-3</v>
      </c>
      <c r="BI7" s="18" t="s">
        <v>7</v>
      </c>
      <c r="BJ7" s="15">
        <v>0.63800000000000001</v>
      </c>
      <c r="BK7" s="2">
        <v>0.71099999999999997</v>
      </c>
      <c r="BL7" s="3">
        <f>AVERAGE(0.627,0.652)</f>
        <v>0.63949999999999996</v>
      </c>
      <c r="BM7" s="4">
        <v>0.27600000000000002</v>
      </c>
      <c r="BQ7" s="18" t="s">
        <v>7</v>
      </c>
      <c r="BR7" s="69">
        <f t="shared" si="1"/>
        <v>-8.0000000000000071E-3</v>
      </c>
      <c r="BS7" s="12">
        <f t="shared" si="1"/>
        <v>3.0000000000000027E-3</v>
      </c>
      <c r="BT7" s="69">
        <f t="shared" si="1"/>
        <v>-8.5000000000000631E-3</v>
      </c>
      <c r="BU7" s="69">
        <f t="shared" si="1"/>
        <v>-1.699999999999996E-2</v>
      </c>
      <c r="CI7" s="38"/>
      <c r="CJ7" s="18" t="s">
        <v>7</v>
      </c>
      <c r="CK7" s="15">
        <v>0.65</v>
      </c>
      <c r="CL7" s="2">
        <v>0.69599999999999995</v>
      </c>
      <c r="CM7" s="3">
        <f>AVERAGE(0.62,0.687)</f>
        <v>0.65349999999999997</v>
      </c>
      <c r="CN7" s="4">
        <v>0.30199999999999999</v>
      </c>
      <c r="CO7" s="33"/>
      <c r="CP7" s="33"/>
      <c r="CQ7" s="33"/>
      <c r="CR7" s="18" t="s">
        <v>7</v>
      </c>
      <c r="CS7" s="12">
        <f t="shared" si="2"/>
        <v>0.374</v>
      </c>
      <c r="CT7" s="69">
        <f t="shared" si="2"/>
        <v>0.69599999999999995</v>
      </c>
      <c r="CU7" s="12">
        <f t="shared" si="2"/>
        <v>0.65349999999999997</v>
      </c>
      <c r="CV7" s="12">
        <f t="shared" si="2"/>
        <v>0.30199999999999999</v>
      </c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4"/>
      <c r="DJ7" s="38"/>
      <c r="DK7" s="18" t="s">
        <v>7</v>
      </c>
      <c r="DL7" s="15">
        <v>0.64800000000000002</v>
      </c>
      <c r="DM7" s="2">
        <v>0.71399999999999997</v>
      </c>
      <c r="DN7" s="3">
        <f>AVERAGE(0.658,0.636)</f>
        <v>0.64700000000000002</v>
      </c>
      <c r="DO7" s="4">
        <v>0.29099999999999998</v>
      </c>
      <c r="DP7" s="33"/>
      <c r="DQ7" s="33"/>
      <c r="DR7" s="33"/>
      <c r="DS7" s="18" t="s">
        <v>7</v>
      </c>
      <c r="DT7" s="12">
        <f t="shared" si="7"/>
        <v>-2.0000000000000018E-3</v>
      </c>
      <c r="DU7" s="69">
        <f t="shared" si="3"/>
        <v>1.8000000000000016E-2</v>
      </c>
      <c r="DV7" s="12">
        <f t="shared" si="3"/>
        <v>-6.4999999999999503E-3</v>
      </c>
      <c r="DW7" s="12">
        <f t="shared" si="3"/>
        <v>-1.100000000000001E-2</v>
      </c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4"/>
      <c r="EK7" s="38"/>
      <c r="EL7" s="18" t="s">
        <v>7</v>
      </c>
      <c r="EM7" s="15">
        <v>0.64200000000000002</v>
      </c>
      <c r="EN7" s="2">
        <v>0.69699999999999995</v>
      </c>
      <c r="EO7" s="3">
        <f>AVERAGE(0.627,0.66)</f>
        <v>0.64349999999999996</v>
      </c>
      <c r="EP7" s="4">
        <v>0.28299999999999997</v>
      </c>
      <c r="EQ7" s="33"/>
      <c r="ER7" s="33"/>
      <c r="ES7" s="33"/>
      <c r="ET7" s="18" t="s">
        <v>7</v>
      </c>
      <c r="EU7" s="12">
        <f t="shared" si="8"/>
        <v>-6.0000000000000053E-3</v>
      </c>
      <c r="EV7" s="69">
        <f t="shared" ref="EV7:EV11" si="9">EN7-DM7</f>
        <v>-1.7000000000000015E-2</v>
      </c>
      <c r="EW7" s="12">
        <f t="shared" si="5"/>
        <v>-3.5000000000000586E-3</v>
      </c>
      <c r="EX7" s="12">
        <f t="shared" si="6"/>
        <v>-8.0000000000000071E-3</v>
      </c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4"/>
      <c r="FL7" s="18" t="s">
        <v>7</v>
      </c>
      <c r="FM7" s="2">
        <v>0.65900000000000003</v>
      </c>
      <c r="FN7" s="15">
        <v>0.64600000000000002</v>
      </c>
      <c r="FO7" s="15">
        <v>0.63800000000000001</v>
      </c>
      <c r="FP7" s="15">
        <v>0.65</v>
      </c>
      <c r="FQ7" s="15">
        <v>0.64800000000000002</v>
      </c>
      <c r="FR7" s="15">
        <v>0.64200000000000002</v>
      </c>
      <c r="GA7" s="18" t="s">
        <v>7</v>
      </c>
      <c r="GB7" s="2">
        <v>0.73</v>
      </c>
      <c r="GC7" s="2">
        <v>0.70799999999999996</v>
      </c>
      <c r="GD7" s="2">
        <v>0.71099999999999997</v>
      </c>
      <c r="GE7" s="2">
        <v>0.69599999999999995</v>
      </c>
      <c r="GF7" s="2">
        <v>0.71399999999999997</v>
      </c>
      <c r="GG7" s="2">
        <v>0.69699999999999995</v>
      </c>
      <c r="GP7" s="18" t="s">
        <v>7</v>
      </c>
      <c r="GQ7" s="3">
        <v>0.64900000000000002</v>
      </c>
      <c r="GR7" s="3">
        <v>0.64800000000000002</v>
      </c>
      <c r="GS7" s="3">
        <v>0.63949999999999996</v>
      </c>
      <c r="GT7" s="3">
        <v>0.65349999999999997</v>
      </c>
      <c r="GU7" s="3">
        <v>0.64700000000000002</v>
      </c>
      <c r="GV7" s="3">
        <v>0.64349999999999996</v>
      </c>
      <c r="HE7" s="18" t="s">
        <v>7</v>
      </c>
      <c r="HF7" s="4">
        <v>0.30099999999999999</v>
      </c>
      <c r="HG7" s="4">
        <v>0.29299999999999998</v>
      </c>
      <c r="HH7" s="4">
        <v>0.27600000000000002</v>
      </c>
      <c r="HI7" s="4">
        <v>0.30199999999999999</v>
      </c>
      <c r="HJ7" s="4">
        <v>0.29099999999999998</v>
      </c>
      <c r="HK7" s="4">
        <v>0.28299999999999997</v>
      </c>
    </row>
    <row r="8" spans="1:219" ht="30" customHeight="1" thickBot="1" x14ac:dyDescent="0.35">
      <c r="A8" s="36" t="s">
        <v>8</v>
      </c>
      <c r="B8" s="2">
        <v>0.65700000000000003</v>
      </c>
      <c r="C8" s="2">
        <v>0.70699999999999996</v>
      </c>
      <c r="D8" s="3">
        <f>AVERAGE(0.856,0.418)</f>
        <v>0.63700000000000001</v>
      </c>
      <c r="E8" s="4">
        <v>0.28399999999999997</v>
      </c>
      <c r="AB8" s="18" t="s">
        <v>8</v>
      </c>
      <c r="AC8" s="26" t="s">
        <v>225</v>
      </c>
      <c r="AD8" s="2" t="s">
        <v>43</v>
      </c>
      <c r="AE8" s="3" t="s">
        <v>42</v>
      </c>
      <c r="AF8" s="27" t="s">
        <v>41</v>
      </c>
      <c r="AK8" s="18" t="s">
        <v>8</v>
      </c>
      <c r="AL8" s="15">
        <v>0.64600000000000002</v>
      </c>
      <c r="AM8" s="2">
        <v>0.69499999999999995</v>
      </c>
      <c r="AN8" s="3">
        <f>AVERAGE(0.698,0.584)</f>
        <v>0.64100000000000001</v>
      </c>
      <c r="AO8" s="4">
        <v>0.28299999999999997</v>
      </c>
      <c r="AQ8" s="18" t="s">
        <v>8</v>
      </c>
      <c r="AR8" s="12">
        <f t="shared" si="0"/>
        <v>-1.100000000000001E-2</v>
      </c>
      <c r="AS8" s="69">
        <f t="shared" si="0"/>
        <v>-1.2000000000000011E-2</v>
      </c>
      <c r="AT8" s="12">
        <f t="shared" si="0"/>
        <v>4.0000000000000036E-3</v>
      </c>
      <c r="AU8" s="12">
        <f t="shared" si="0"/>
        <v>-1.0000000000000009E-3</v>
      </c>
      <c r="BI8" s="18" t="s">
        <v>8</v>
      </c>
      <c r="BJ8" s="15">
        <v>0.66200000000000003</v>
      </c>
      <c r="BK8" s="2">
        <v>0.72</v>
      </c>
      <c r="BL8" s="3">
        <f>AVERAGE(0.693,0.625)</f>
        <v>0.65900000000000003</v>
      </c>
      <c r="BM8" s="4">
        <v>0.318</v>
      </c>
      <c r="BQ8" s="18" t="s">
        <v>8</v>
      </c>
      <c r="BR8" s="12">
        <f t="shared" si="1"/>
        <v>1.6000000000000014E-2</v>
      </c>
      <c r="BS8" s="69">
        <f t="shared" si="1"/>
        <v>2.5000000000000022E-2</v>
      </c>
      <c r="BT8" s="12">
        <f t="shared" si="1"/>
        <v>1.8000000000000016E-2</v>
      </c>
      <c r="BU8" s="12">
        <f t="shared" si="1"/>
        <v>3.5000000000000031E-2</v>
      </c>
      <c r="CI8" s="38"/>
      <c r="CJ8" s="18" t="s">
        <v>8</v>
      </c>
      <c r="CK8" s="15">
        <v>0.68</v>
      </c>
      <c r="CL8" s="2">
        <v>0.71599999999999997</v>
      </c>
      <c r="CM8" s="3">
        <f>AVERAGE(0.713,0.641)</f>
        <v>0.67700000000000005</v>
      </c>
      <c r="CN8" s="4">
        <v>0.35399999999999998</v>
      </c>
      <c r="CO8" s="33"/>
      <c r="CP8" s="33"/>
      <c r="CQ8" s="33"/>
      <c r="CR8" s="18" t="s">
        <v>8</v>
      </c>
      <c r="CS8" s="69">
        <f t="shared" si="2"/>
        <v>0.36200000000000004</v>
      </c>
      <c r="CT8" s="12">
        <f t="shared" si="2"/>
        <v>0.71599999999999997</v>
      </c>
      <c r="CU8" s="69">
        <f t="shared" si="2"/>
        <v>0.67700000000000005</v>
      </c>
      <c r="CV8" s="69">
        <f t="shared" si="2"/>
        <v>0.35399999999999998</v>
      </c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4"/>
      <c r="DJ8" s="38"/>
      <c r="DK8" s="18" t="s">
        <v>8</v>
      </c>
      <c r="DL8" s="15">
        <v>0.68799999999999994</v>
      </c>
      <c r="DM8" s="2">
        <v>0.73199999999999998</v>
      </c>
      <c r="DN8" s="3">
        <f>AVERAGE(0.742,0.622)</f>
        <v>0.68199999999999994</v>
      </c>
      <c r="DO8" s="4">
        <v>0.36599999999999999</v>
      </c>
      <c r="DP8" s="33"/>
      <c r="DQ8" s="33"/>
      <c r="DR8" s="33"/>
      <c r="DS8" s="18" t="s">
        <v>8</v>
      </c>
      <c r="DT8" s="12">
        <f t="shared" si="7"/>
        <v>7.9999999999998961E-3</v>
      </c>
      <c r="DU8" s="12">
        <f t="shared" si="3"/>
        <v>1.6000000000000014E-2</v>
      </c>
      <c r="DV8" s="12">
        <f>DN8-CM8</f>
        <v>4.9999999999998934E-3</v>
      </c>
      <c r="DW8" s="12">
        <f t="shared" si="3"/>
        <v>1.2000000000000011E-2</v>
      </c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4"/>
      <c r="EK8" s="38"/>
      <c r="EL8" s="18" t="s">
        <v>8</v>
      </c>
      <c r="EM8" s="15">
        <v>0.66100000000000003</v>
      </c>
      <c r="EN8" s="2">
        <v>0.70199999999999996</v>
      </c>
      <c r="EO8" s="3">
        <f>AVERAGE(0.729,0.579)</f>
        <v>0.65399999999999991</v>
      </c>
      <c r="EP8" s="4">
        <v>0.31</v>
      </c>
      <c r="EQ8" s="33"/>
      <c r="ER8" s="33"/>
      <c r="ES8" s="33"/>
      <c r="ET8" s="18" t="s">
        <v>8</v>
      </c>
      <c r="EU8" s="12">
        <f t="shared" si="8"/>
        <v>-2.6999999999999913E-2</v>
      </c>
      <c r="EV8" s="69">
        <f t="shared" si="9"/>
        <v>-3.0000000000000027E-2</v>
      </c>
      <c r="EW8" s="12">
        <f>EO8-DN8</f>
        <v>-2.8000000000000025E-2</v>
      </c>
      <c r="EX8" s="12">
        <f t="shared" si="6"/>
        <v>-5.5999999999999994E-2</v>
      </c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4"/>
      <c r="FL8" s="18" t="s">
        <v>8</v>
      </c>
      <c r="FM8" s="2">
        <v>0.65700000000000003</v>
      </c>
      <c r="FN8" s="15">
        <v>0.64600000000000002</v>
      </c>
      <c r="FO8" s="15">
        <v>0.66200000000000003</v>
      </c>
      <c r="FP8" s="15">
        <v>0.68</v>
      </c>
      <c r="FQ8" s="15">
        <v>0.68799999999999994</v>
      </c>
      <c r="FR8" s="15">
        <v>0.66100000000000003</v>
      </c>
      <c r="GA8" s="18" t="s">
        <v>8</v>
      </c>
      <c r="GB8" s="2">
        <v>0.70699999999999996</v>
      </c>
      <c r="GC8" s="2">
        <v>0.69499999999999995</v>
      </c>
      <c r="GD8" s="2">
        <v>0.72</v>
      </c>
      <c r="GE8" s="2">
        <v>0.71599999999999997</v>
      </c>
      <c r="GF8" s="2">
        <v>0.73199999999999998</v>
      </c>
      <c r="GG8" s="2">
        <v>0.70199999999999996</v>
      </c>
      <c r="GP8" s="18" t="s">
        <v>8</v>
      </c>
      <c r="GQ8" s="3">
        <v>0.63700000000000001</v>
      </c>
      <c r="GR8" s="3">
        <v>0.64100000000000001</v>
      </c>
      <c r="GS8" s="3">
        <v>0.65900000000000003</v>
      </c>
      <c r="GT8" s="3">
        <v>0.67700000000000005</v>
      </c>
      <c r="GU8" s="3">
        <v>0.68199999999999994</v>
      </c>
      <c r="GV8" s="3">
        <v>0.65399999999999991</v>
      </c>
      <c r="HE8" s="18" t="s">
        <v>8</v>
      </c>
      <c r="HF8" s="4">
        <v>0.28399999999999997</v>
      </c>
      <c r="HG8" s="4">
        <v>0.28299999999999997</v>
      </c>
      <c r="HH8" s="4">
        <v>0.318</v>
      </c>
      <c r="HI8" s="4">
        <v>0.35399999999999998</v>
      </c>
      <c r="HJ8" s="4">
        <v>0.36599999999999999</v>
      </c>
      <c r="HK8" s="4">
        <v>0.31</v>
      </c>
    </row>
    <row r="9" spans="1:219" ht="30" customHeight="1" thickBot="1" x14ac:dyDescent="0.35">
      <c r="A9" s="36" t="s">
        <v>9</v>
      </c>
      <c r="B9" s="2">
        <v>0.67600000000000005</v>
      </c>
      <c r="C9" s="2">
        <v>0.70499999999999996</v>
      </c>
      <c r="D9" s="3">
        <f>AVERAGE(0.769,0.563)</f>
        <v>0.66599999999999993</v>
      </c>
      <c r="E9" s="4">
        <v>0.33600000000000002</v>
      </c>
      <c r="AB9" s="18" t="s">
        <v>9</v>
      </c>
      <c r="AC9" s="26" t="s">
        <v>224</v>
      </c>
      <c r="AD9" s="2" t="s">
        <v>46</v>
      </c>
      <c r="AE9" s="3" t="s">
        <v>45</v>
      </c>
      <c r="AF9" s="27" t="s">
        <v>44</v>
      </c>
      <c r="AK9" s="18" t="s">
        <v>9</v>
      </c>
      <c r="AL9" s="15">
        <v>0.65200000000000002</v>
      </c>
      <c r="AM9" s="2">
        <v>0.68500000000000005</v>
      </c>
      <c r="AN9" s="3">
        <f>AVERAGE(0.671,0.63)</f>
        <v>0.65050000000000008</v>
      </c>
      <c r="AO9" s="4">
        <v>0.3</v>
      </c>
      <c r="AQ9" s="18" t="s">
        <v>9</v>
      </c>
      <c r="AR9" s="12">
        <f t="shared" si="0"/>
        <v>-2.4000000000000021E-2</v>
      </c>
      <c r="AS9" s="12">
        <f t="shared" si="0"/>
        <v>-1.9999999999999907E-2</v>
      </c>
      <c r="AT9" s="12">
        <f t="shared" si="0"/>
        <v>-1.5499999999999847E-2</v>
      </c>
      <c r="AU9" s="12">
        <f t="shared" si="0"/>
        <v>-3.6000000000000032E-2</v>
      </c>
      <c r="BI9" s="18" t="s">
        <v>9</v>
      </c>
      <c r="BJ9" s="15">
        <v>0.65500000000000003</v>
      </c>
      <c r="BK9" s="2">
        <v>0.70799999999999996</v>
      </c>
      <c r="BL9" s="3">
        <f>AVERAGE(0.68,0.624)</f>
        <v>0.65200000000000002</v>
      </c>
      <c r="BM9" s="4">
        <v>0.30399999999999999</v>
      </c>
      <c r="BQ9" s="18" t="s">
        <v>9</v>
      </c>
      <c r="BR9" s="12">
        <f t="shared" si="1"/>
        <v>3.0000000000000027E-3</v>
      </c>
      <c r="BS9" s="69">
        <f t="shared" si="1"/>
        <v>2.2999999999999909E-2</v>
      </c>
      <c r="BT9" s="12">
        <f t="shared" si="1"/>
        <v>1.4999999999999458E-3</v>
      </c>
      <c r="BU9" s="12">
        <f t="shared" si="1"/>
        <v>4.0000000000000036E-3</v>
      </c>
      <c r="CI9" s="38"/>
      <c r="CJ9" s="18" t="s">
        <v>9</v>
      </c>
      <c r="CK9" s="15">
        <v>0.67</v>
      </c>
      <c r="CL9" s="2">
        <v>0.72199999999999998</v>
      </c>
      <c r="CM9" s="3">
        <f>AVERAGE(0.693,0.641)</f>
        <v>0.66700000000000004</v>
      </c>
      <c r="CN9" s="4">
        <v>0.33400000000000002</v>
      </c>
      <c r="CO9" s="33"/>
      <c r="CP9" s="33"/>
      <c r="CQ9" s="33"/>
      <c r="CR9" s="18" t="s">
        <v>9</v>
      </c>
      <c r="CS9" s="12">
        <f t="shared" si="2"/>
        <v>0.36600000000000005</v>
      </c>
      <c r="CT9" s="69">
        <f t="shared" si="2"/>
        <v>0.72199999999999998</v>
      </c>
      <c r="CU9" s="12">
        <f t="shared" si="2"/>
        <v>0.66700000000000004</v>
      </c>
      <c r="CV9" s="12">
        <f t="shared" si="2"/>
        <v>0.33400000000000002</v>
      </c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4"/>
      <c r="DJ9" s="38"/>
      <c r="DK9" s="18" t="s">
        <v>9</v>
      </c>
      <c r="DL9" s="15">
        <v>0.68700000000000006</v>
      </c>
      <c r="DM9" s="2">
        <v>0.72899999999999998</v>
      </c>
      <c r="DN9" s="3">
        <f>AVERAGE(0.738,0.625)</f>
        <v>0.68149999999999999</v>
      </c>
      <c r="DO9" s="4">
        <v>0.36399999999999999</v>
      </c>
      <c r="DP9" s="33"/>
      <c r="DQ9" s="33"/>
      <c r="DR9" s="33"/>
      <c r="DS9" s="18" t="s">
        <v>9</v>
      </c>
      <c r="DT9" s="12">
        <f t="shared" si="7"/>
        <v>1.7000000000000015E-2</v>
      </c>
      <c r="DU9" s="12">
        <f t="shared" si="3"/>
        <v>7.0000000000000062E-3</v>
      </c>
      <c r="DV9" s="12">
        <f t="shared" si="3"/>
        <v>1.4499999999999957E-2</v>
      </c>
      <c r="DW9" s="12">
        <f t="shared" si="3"/>
        <v>2.9999999999999971E-2</v>
      </c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4"/>
      <c r="EK9" s="38"/>
      <c r="EL9" s="18" t="s">
        <v>9</v>
      </c>
      <c r="EM9" s="15">
        <v>0.65600000000000003</v>
      </c>
      <c r="EN9" s="2">
        <v>0.70499999999999996</v>
      </c>
      <c r="EO9" s="3">
        <f>AVERAGE(0.68,0.627)</f>
        <v>0.65349999999999997</v>
      </c>
      <c r="EP9" s="4">
        <v>0.30599999999999999</v>
      </c>
      <c r="EQ9" s="33"/>
      <c r="ER9" s="33"/>
      <c r="ES9" s="33"/>
      <c r="ET9" s="18" t="s">
        <v>9</v>
      </c>
      <c r="EU9" s="69">
        <f t="shared" si="8"/>
        <v>-3.1000000000000028E-2</v>
      </c>
      <c r="EV9" s="69">
        <f t="shared" si="9"/>
        <v>-2.4000000000000021E-2</v>
      </c>
      <c r="EW9" s="69">
        <f t="shared" ref="EW9:EW11" si="10">EO9-DN9</f>
        <v>-2.8000000000000025E-2</v>
      </c>
      <c r="EX9" s="69">
        <f t="shared" si="6"/>
        <v>-5.7999999999999996E-2</v>
      </c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4"/>
      <c r="FL9" s="18" t="s">
        <v>9</v>
      </c>
      <c r="FM9" s="2">
        <v>0.67600000000000005</v>
      </c>
      <c r="FN9" s="15">
        <v>0.65200000000000002</v>
      </c>
      <c r="FO9" s="15">
        <v>0.65500000000000003</v>
      </c>
      <c r="FP9" s="15">
        <v>0.67</v>
      </c>
      <c r="FQ9" s="15">
        <v>0.68700000000000006</v>
      </c>
      <c r="FR9" s="15">
        <v>0.65600000000000003</v>
      </c>
      <c r="GA9" s="18" t="s">
        <v>9</v>
      </c>
      <c r="GB9" s="2">
        <v>0.70499999999999996</v>
      </c>
      <c r="GC9" s="2">
        <v>0.68500000000000005</v>
      </c>
      <c r="GD9" s="2">
        <v>0.70799999999999996</v>
      </c>
      <c r="GE9" s="2">
        <v>0.72199999999999998</v>
      </c>
      <c r="GF9" s="2">
        <v>0.72899999999999998</v>
      </c>
      <c r="GG9" s="2">
        <v>0.70499999999999996</v>
      </c>
      <c r="GP9" s="18" t="s">
        <v>9</v>
      </c>
      <c r="GQ9" s="3">
        <v>0.66599999999999993</v>
      </c>
      <c r="GR9" s="3">
        <v>0.65050000000000008</v>
      </c>
      <c r="GS9" s="3">
        <v>0.65200000000000002</v>
      </c>
      <c r="GT9" s="3">
        <v>0.66700000000000004</v>
      </c>
      <c r="GU9" s="3">
        <v>0.68149999999999999</v>
      </c>
      <c r="GV9" s="3">
        <v>0.65349999999999997</v>
      </c>
      <c r="HE9" s="18" t="s">
        <v>9</v>
      </c>
      <c r="HF9" s="4">
        <v>0.33600000000000002</v>
      </c>
      <c r="HG9" s="4">
        <v>0.3</v>
      </c>
      <c r="HH9" s="4">
        <v>0.30399999999999999</v>
      </c>
      <c r="HI9" s="4">
        <v>0.33400000000000002</v>
      </c>
      <c r="HJ9" s="4">
        <v>0.36399999999999999</v>
      </c>
      <c r="HK9" s="4">
        <v>0.30599999999999999</v>
      </c>
    </row>
    <row r="10" spans="1:219" ht="30" customHeight="1" thickBot="1" x14ac:dyDescent="0.35">
      <c r="A10" s="36" t="s">
        <v>10</v>
      </c>
      <c r="B10" s="2">
        <v>0.65600000000000003</v>
      </c>
      <c r="C10" s="2">
        <v>0.70799999999999996</v>
      </c>
      <c r="D10" s="3">
        <f>AVERAGE(0.731,0.566)</f>
        <v>0.64849999999999997</v>
      </c>
      <c r="E10" s="4">
        <v>0.29899999999999999</v>
      </c>
      <c r="AB10" s="18" t="s">
        <v>10</v>
      </c>
      <c r="AC10" s="26" t="s">
        <v>223</v>
      </c>
      <c r="AD10" s="2" t="s">
        <v>49</v>
      </c>
      <c r="AE10" s="3" t="s">
        <v>48</v>
      </c>
      <c r="AF10" s="27" t="s">
        <v>47</v>
      </c>
      <c r="AK10" s="18" t="s">
        <v>10</v>
      </c>
      <c r="AL10" s="15">
        <v>0.64500000000000002</v>
      </c>
      <c r="AM10" s="2">
        <v>0.70499999999999996</v>
      </c>
      <c r="AN10" s="3">
        <f>AVERAGE(0.638,0.654)</f>
        <v>0.64600000000000002</v>
      </c>
      <c r="AO10" s="4">
        <v>0.28899999999999998</v>
      </c>
      <c r="AQ10" s="18" t="s">
        <v>10</v>
      </c>
      <c r="AR10" s="12">
        <f t="shared" si="0"/>
        <v>-1.100000000000001E-2</v>
      </c>
      <c r="AS10" s="12">
        <f t="shared" si="0"/>
        <v>-3.0000000000000027E-3</v>
      </c>
      <c r="AT10" s="12">
        <f t="shared" si="0"/>
        <v>-2.4999999999999467E-3</v>
      </c>
      <c r="AU10" s="12">
        <f t="shared" si="0"/>
        <v>-1.0000000000000009E-2</v>
      </c>
      <c r="BI10" s="18" t="s">
        <v>10</v>
      </c>
      <c r="BJ10" s="15">
        <v>0.64500000000000002</v>
      </c>
      <c r="BK10" s="2">
        <v>0.70499999999999996</v>
      </c>
      <c r="BL10" s="3">
        <f>AVERAGE(0.638,0.654)</f>
        <v>0.64600000000000002</v>
      </c>
      <c r="BM10" s="4">
        <v>0.28899999999999998</v>
      </c>
      <c r="BQ10" s="18" t="s">
        <v>10</v>
      </c>
      <c r="BR10" s="12">
        <f t="shared" si="1"/>
        <v>0</v>
      </c>
      <c r="BS10" s="12">
        <f t="shared" si="1"/>
        <v>0</v>
      </c>
      <c r="BT10" s="12">
        <f t="shared" si="1"/>
        <v>0</v>
      </c>
      <c r="BU10" s="12">
        <f t="shared" si="1"/>
        <v>0</v>
      </c>
      <c r="CI10" s="38"/>
      <c r="CJ10" s="18" t="s">
        <v>10</v>
      </c>
      <c r="CK10" s="15">
        <v>0.65100000000000002</v>
      </c>
      <c r="CL10" s="2">
        <v>0.70399999999999996</v>
      </c>
      <c r="CM10" s="3">
        <f>AVERAGE(0.638,0.668)</f>
        <v>0.65300000000000002</v>
      </c>
      <c r="CN10" s="4">
        <v>0.30199999999999999</v>
      </c>
      <c r="CO10" s="33"/>
      <c r="CP10" s="33"/>
      <c r="CQ10" s="33"/>
      <c r="CR10" s="18" t="s">
        <v>10</v>
      </c>
      <c r="CS10" s="12">
        <f t="shared" si="2"/>
        <v>0.36200000000000004</v>
      </c>
      <c r="CT10" s="12">
        <f t="shared" si="2"/>
        <v>0.70399999999999996</v>
      </c>
      <c r="CU10" s="12">
        <f t="shared" si="2"/>
        <v>0.65300000000000002</v>
      </c>
      <c r="CV10" s="12">
        <f t="shared" si="2"/>
        <v>0.30199999999999999</v>
      </c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4"/>
      <c r="DJ10" s="38"/>
      <c r="DK10" s="18" t="s">
        <v>10</v>
      </c>
      <c r="DL10" s="15">
        <v>0.66800000000000004</v>
      </c>
      <c r="DM10" s="2">
        <v>0.71099999999999997</v>
      </c>
      <c r="DN10" s="3">
        <f>AVERAGE(0.7,0.63)</f>
        <v>0.66500000000000004</v>
      </c>
      <c r="DO10" s="4">
        <v>0.33</v>
      </c>
      <c r="DP10" s="33"/>
      <c r="DQ10" s="33"/>
      <c r="DR10" s="33"/>
      <c r="DS10" s="18" t="s">
        <v>10</v>
      </c>
      <c r="DT10" s="12">
        <f t="shared" si="7"/>
        <v>1.7000000000000015E-2</v>
      </c>
      <c r="DU10" s="12">
        <f t="shared" si="3"/>
        <v>7.0000000000000062E-3</v>
      </c>
      <c r="DV10" s="12">
        <f t="shared" si="3"/>
        <v>1.2000000000000011E-2</v>
      </c>
      <c r="DW10" s="12">
        <f t="shared" si="3"/>
        <v>2.8000000000000025E-2</v>
      </c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4"/>
      <c r="EK10" s="38"/>
      <c r="EL10" s="18" t="s">
        <v>10</v>
      </c>
      <c r="EM10" s="15">
        <v>0.64500000000000002</v>
      </c>
      <c r="EN10" s="2">
        <v>0.69499999999999995</v>
      </c>
      <c r="EO10" s="3">
        <f>AVERAGE(0.687,0.596)</f>
        <v>0.64149999999999996</v>
      </c>
      <c r="EP10" s="4">
        <v>0.28199999999999997</v>
      </c>
      <c r="EQ10" s="33"/>
      <c r="ER10" s="33"/>
      <c r="ES10" s="33"/>
      <c r="ET10" s="18" t="s">
        <v>10</v>
      </c>
      <c r="EU10" s="12">
        <f t="shared" si="8"/>
        <v>-2.300000000000002E-2</v>
      </c>
      <c r="EV10" s="12">
        <f t="shared" si="9"/>
        <v>-1.6000000000000014E-2</v>
      </c>
      <c r="EW10" s="12">
        <f t="shared" si="10"/>
        <v>-2.3500000000000076E-2</v>
      </c>
      <c r="EX10" s="12">
        <f t="shared" si="6"/>
        <v>-4.8000000000000043E-2</v>
      </c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4"/>
      <c r="FL10" s="18" t="s">
        <v>10</v>
      </c>
      <c r="FM10" s="2">
        <v>0.65600000000000003</v>
      </c>
      <c r="FN10" s="15">
        <v>0.64500000000000002</v>
      </c>
      <c r="FO10" s="15">
        <v>0.64500000000000002</v>
      </c>
      <c r="FP10" s="15">
        <v>0.65100000000000002</v>
      </c>
      <c r="FQ10" s="15">
        <v>0.66800000000000004</v>
      </c>
      <c r="FR10" s="15">
        <v>0.64500000000000002</v>
      </c>
      <c r="GA10" s="18" t="s">
        <v>10</v>
      </c>
      <c r="GB10" s="2">
        <v>0.70799999999999996</v>
      </c>
      <c r="GC10" s="2">
        <v>0.70499999999999996</v>
      </c>
      <c r="GD10" s="2">
        <v>0.70499999999999996</v>
      </c>
      <c r="GE10" s="2">
        <v>0.70399999999999996</v>
      </c>
      <c r="GF10" s="2">
        <v>0.71099999999999997</v>
      </c>
      <c r="GG10" s="2">
        <v>0.69499999999999995</v>
      </c>
      <c r="GP10" s="18" t="s">
        <v>10</v>
      </c>
      <c r="GQ10" s="3">
        <v>0.64849999999999997</v>
      </c>
      <c r="GR10" s="3">
        <v>0.64600000000000002</v>
      </c>
      <c r="GS10" s="3">
        <v>0.64600000000000002</v>
      </c>
      <c r="GT10" s="3">
        <v>0.65300000000000002</v>
      </c>
      <c r="GU10" s="3">
        <v>0.66500000000000004</v>
      </c>
      <c r="GV10" s="3">
        <v>0.64149999999999996</v>
      </c>
      <c r="HE10" s="18" t="s">
        <v>10</v>
      </c>
      <c r="HF10" s="4">
        <v>0.29899999999999999</v>
      </c>
      <c r="HG10" s="4">
        <v>0.28899999999999998</v>
      </c>
      <c r="HH10" s="4">
        <v>0.28899999999999998</v>
      </c>
      <c r="HI10" s="4">
        <v>0.30199999999999999</v>
      </c>
      <c r="HJ10" s="4">
        <v>0.33</v>
      </c>
      <c r="HK10" s="4">
        <v>0.28199999999999997</v>
      </c>
    </row>
    <row r="11" spans="1:219" ht="30" customHeight="1" thickBot="1" x14ac:dyDescent="0.35">
      <c r="A11" s="37" t="s">
        <v>11</v>
      </c>
      <c r="B11" s="6">
        <v>0.61599999999999999</v>
      </c>
      <c r="C11" s="6">
        <v>0.67200000000000004</v>
      </c>
      <c r="D11" s="7">
        <f>AVERAGE(0.68,0.539)</f>
        <v>0.60950000000000004</v>
      </c>
      <c r="E11" s="8">
        <v>0.221</v>
      </c>
      <c r="AB11" s="19" t="s">
        <v>11</v>
      </c>
      <c r="AC11" s="28" t="s">
        <v>222</v>
      </c>
      <c r="AD11" s="29" t="s">
        <v>52</v>
      </c>
      <c r="AE11" s="30" t="s">
        <v>51</v>
      </c>
      <c r="AF11" s="31" t="s">
        <v>50</v>
      </c>
      <c r="AK11" s="19" t="s">
        <v>11</v>
      </c>
      <c r="AL11" s="17">
        <v>0.64600000000000002</v>
      </c>
      <c r="AM11" s="6">
        <v>0.69799999999999995</v>
      </c>
      <c r="AN11" s="7">
        <f>AVERAGE(0.653,0.638)</f>
        <v>0.64549999999999996</v>
      </c>
      <c r="AO11" s="8">
        <v>0.28999999999999998</v>
      </c>
      <c r="AQ11" s="19" t="s">
        <v>11</v>
      </c>
      <c r="AR11" s="12">
        <f t="shared" si="0"/>
        <v>3.0000000000000027E-2</v>
      </c>
      <c r="AS11" s="12">
        <f t="shared" si="0"/>
        <v>2.5999999999999912E-2</v>
      </c>
      <c r="AT11" s="12">
        <f t="shared" si="0"/>
        <v>3.5999999999999921E-2</v>
      </c>
      <c r="AU11" s="12">
        <f t="shared" si="0"/>
        <v>6.8999999999999978E-2</v>
      </c>
      <c r="BI11" s="19" t="s">
        <v>11</v>
      </c>
      <c r="BJ11" s="17">
        <v>0.66</v>
      </c>
      <c r="BK11" s="6">
        <v>0.70699999999999996</v>
      </c>
      <c r="BL11" s="7">
        <f>AVERAGE(0.671,0.646)</f>
        <v>0.65850000000000009</v>
      </c>
      <c r="BM11" s="8">
        <v>0.316</v>
      </c>
      <c r="BQ11" s="19" t="s">
        <v>11</v>
      </c>
      <c r="BR11" s="12">
        <f t="shared" si="1"/>
        <v>1.4000000000000012E-2</v>
      </c>
      <c r="BS11" s="12">
        <f t="shared" si="1"/>
        <v>9.000000000000008E-3</v>
      </c>
      <c r="BT11" s="12">
        <f t="shared" si="1"/>
        <v>1.3000000000000123E-2</v>
      </c>
      <c r="BU11" s="12">
        <f t="shared" si="1"/>
        <v>2.6000000000000023E-2</v>
      </c>
      <c r="CI11" s="38"/>
      <c r="CJ11" s="19" t="s">
        <v>11</v>
      </c>
      <c r="CK11" s="17">
        <v>0.66</v>
      </c>
      <c r="CL11" s="6">
        <v>0.71499999999999997</v>
      </c>
      <c r="CM11" s="7">
        <f>AVERAGE(0.618,0.71)</f>
        <v>0.66399999999999992</v>
      </c>
      <c r="CN11" s="8">
        <v>0.32300000000000001</v>
      </c>
      <c r="CO11" s="33"/>
      <c r="CP11" s="33"/>
      <c r="CQ11" s="33"/>
      <c r="CR11" s="19" t="s">
        <v>11</v>
      </c>
      <c r="CS11" s="12">
        <f t="shared" si="2"/>
        <v>0.34400000000000003</v>
      </c>
      <c r="CT11" s="12">
        <f t="shared" si="2"/>
        <v>0.71499999999999997</v>
      </c>
      <c r="CU11" s="12">
        <f t="shared" si="2"/>
        <v>0.66399999999999992</v>
      </c>
      <c r="CV11" s="12">
        <f t="shared" si="2"/>
        <v>0.32300000000000001</v>
      </c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4"/>
      <c r="DJ11" s="38"/>
      <c r="DK11" s="19" t="s">
        <v>11</v>
      </c>
      <c r="DL11" s="17">
        <v>0.67700000000000005</v>
      </c>
      <c r="DM11" s="6">
        <v>0.70399999999999996</v>
      </c>
      <c r="DN11" s="7">
        <f>AVERAGE(0.707,0.641)</f>
        <v>0.67399999999999993</v>
      </c>
      <c r="DO11" s="8">
        <v>0.34799999999999998</v>
      </c>
      <c r="DP11" s="33"/>
      <c r="DQ11" s="33"/>
      <c r="DR11" s="33"/>
      <c r="DS11" s="19" t="s">
        <v>11</v>
      </c>
      <c r="DT11" s="12">
        <f t="shared" si="7"/>
        <v>1.7000000000000015E-2</v>
      </c>
      <c r="DU11" s="12">
        <f t="shared" si="3"/>
        <v>-1.100000000000001E-2</v>
      </c>
      <c r="DV11" s="12">
        <f t="shared" si="3"/>
        <v>1.0000000000000009E-2</v>
      </c>
      <c r="DW11" s="12">
        <f>DO11-CN11</f>
        <v>2.4999999999999967E-2</v>
      </c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4"/>
      <c r="EK11" s="38"/>
      <c r="EL11" s="19" t="s">
        <v>11</v>
      </c>
      <c r="EM11" s="17">
        <v>0.64500000000000002</v>
      </c>
      <c r="EN11" s="6">
        <v>0.70199999999999996</v>
      </c>
      <c r="EO11" s="7">
        <f>AVERAGE(0.598,0.703)</f>
        <v>0.65049999999999997</v>
      </c>
      <c r="EP11" s="8">
        <v>0.29699999999999999</v>
      </c>
      <c r="EQ11" s="33"/>
      <c r="ER11" s="33"/>
      <c r="ES11" s="33"/>
      <c r="ET11" s="19" t="s">
        <v>11</v>
      </c>
      <c r="EU11" s="69">
        <f t="shared" si="8"/>
        <v>-3.2000000000000028E-2</v>
      </c>
      <c r="EV11" s="12">
        <f t="shared" si="9"/>
        <v>-2.0000000000000018E-3</v>
      </c>
      <c r="EW11" s="12">
        <f t="shared" si="10"/>
        <v>-2.3499999999999965E-2</v>
      </c>
      <c r="EX11" s="12">
        <f>EP11-DO11</f>
        <v>-5.099999999999999E-2</v>
      </c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4"/>
      <c r="FL11" s="19" t="s">
        <v>11</v>
      </c>
      <c r="FM11" s="6">
        <v>0.61599999999999999</v>
      </c>
      <c r="FN11" s="17">
        <v>0.64600000000000002</v>
      </c>
      <c r="FO11" s="17">
        <v>0.66</v>
      </c>
      <c r="FP11" s="17">
        <v>0.66</v>
      </c>
      <c r="FQ11" s="17">
        <v>0.67700000000000005</v>
      </c>
      <c r="FR11" s="17">
        <v>0.64500000000000002</v>
      </c>
      <c r="GA11" s="19" t="s">
        <v>11</v>
      </c>
      <c r="GB11" s="6">
        <v>0.67200000000000004</v>
      </c>
      <c r="GC11" s="6">
        <v>0.69799999999999995</v>
      </c>
      <c r="GD11" s="6">
        <v>0.70699999999999996</v>
      </c>
      <c r="GE11" s="6">
        <v>0.71499999999999997</v>
      </c>
      <c r="GF11" s="6">
        <v>0.70399999999999996</v>
      </c>
      <c r="GG11" s="6">
        <v>0.70199999999999996</v>
      </c>
      <c r="GP11" s="19" t="s">
        <v>11</v>
      </c>
      <c r="GQ11" s="7">
        <v>0.60950000000000004</v>
      </c>
      <c r="GR11" s="7">
        <v>0.64549999999999996</v>
      </c>
      <c r="GS11" s="7">
        <v>0.65850000000000009</v>
      </c>
      <c r="GT11" s="7">
        <v>0.66399999999999992</v>
      </c>
      <c r="GU11" s="7">
        <v>0.67399999999999993</v>
      </c>
      <c r="GV11" s="7">
        <v>0.65049999999999997</v>
      </c>
      <c r="HE11" s="19" t="s">
        <v>11</v>
      </c>
      <c r="HF11" s="8">
        <v>0.221</v>
      </c>
      <c r="HG11" s="8">
        <v>0.28999999999999998</v>
      </c>
      <c r="HH11" s="8">
        <v>0.316</v>
      </c>
      <c r="HI11" s="8">
        <v>0.32300000000000001</v>
      </c>
      <c r="HJ11" s="8">
        <v>0.34799999999999998</v>
      </c>
      <c r="HK11" s="8">
        <v>0.29699999999999999</v>
      </c>
    </row>
    <row r="12" spans="1:219" s="33" customFormat="1" ht="30" customHeight="1" thickBot="1" x14ac:dyDescent="0.35">
      <c r="A12" s="38"/>
      <c r="Z12" s="34"/>
      <c r="AA12" s="38"/>
      <c r="AI12" s="34"/>
      <c r="AJ12" s="38"/>
      <c r="BG12" s="34"/>
      <c r="BH12" s="38"/>
      <c r="CH12" s="34"/>
      <c r="CI12" s="38"/>
      <c r="DI12" s="34"/>
      <c r="DJ12" s="38"/>
      <c r="EJ12" s="34"/>
      <c r="EK12" s="38"/>
      <c r="FK12" s="34"/>
    </row>
    <row r="13" spans="1:219" ht="30" customHeight="1" thickBot="1" x14ac:dyDescent="0.35">
      <c r="A13" s="74" t="s">
        <v>22</v>
      </c>
      <c r="B13" s="75"/>
      <c r="C13" s="75"/>
      <c r="D13" s="75"/>
      <c r="E13" s="76"/>
      <c r="AB13" s="74" t="s">
        <v>22</v>
      </c>
      <c r="AC13" s="75"/>
      <c r="AD13" s="75"/>
      <c r="AE13" s="75"/>
      <c r="AF13" s="76"/>
      <c r="AK13" s="85" t="s">
        <v>22</v>
      </c>
      <c r="AL13" s="86"/>
      <c r="AM13" s="86"/>
      <c r="AN13" s="86"/>
      <c r="AO13" s="87"/>
      <c r="AQ13" s="71" t="s">
        <v>120</v>
      </c>
      <c r="AR13" s="72"/>
      <c r="AS13" s="72"/>
      <c r="AT13" s="72"/>
      <c r="AU13" s="73"/>
      <c r="BI13" s="85" t="s">
        <v>22</v>
      </c>
      <c r="BJ13" s="86"/>
      <c r="BK13" s="86"/>
      <c r="BL13" s="86"/>
      <c r="BM13" s="87"/>
      <c r="BQ13" s="71" t="s">
        <v>120</v>
      </c>
      <c r="BR13" s="72"/>
      <c r="BS13" s="72"/>
      <c r="BT13" s="72"/>
      <c r="BU13" s="73"/>
      <c r="CI13" s="38"/>
      <c r="CJ13" s="85" t="s">
        <v>22</v>
      </c>
      <c r="CK13" s="86"/>
      <c r="CL13" s="86"/>
      <c r="CM13" s="86"/>
      <c r="CN13" s="87"/>
      <c r="CO13" s="33"/>
      <c r="CP13" s="33"/>
      <c r="CQ13" s="33"/>
      <c r="CR13" s="71" t="s">
        <v>120</v>
      </c>
      <c r="CS13" s="72"/>
      <c r="CT13" s="72"/>
      <c r="CU13" s="72"/>
      <c r="CV13" s="7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4"/>
      <c r="DJ13" s="38"/>
      <c r="DK13" s="85" t="s">
        <v>22</v>
      </c>
      <c r="DL13" s="86"/>
      <c r="DM13" s="86"/>
      <c r="DN13" s="86"/>
      <c r="DO13" s="87"/>
      <c r="DP13" s="33"/>
      <c r="DQ13" s="33"/>
      <c r="DR13" s="33"/>
      <c r="DS13" s="71" t="s">
        <v>120</v>
      </c>
      <c r="DT13" s="72"/>
      <c r="DU13" s="72"/>
      <c r="DV13" s="72"/>
      <c r="DW13" s="7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4"/>
      <c r="EK13" s="38"/>
      <c r="EL13" s="85" t="s">
        <v>22</v>
      </c>
      <c r="EM13" s="86"/>
      <c r="EN13" s="86"/>
      <c r="EO13" s="86"/>
      <c r="EP13" s="87"/>
      <c r="EQ13" s="33"/>
      <c r="ER13" s="33"/>
      <c r="ES13" s="33"/>
      <c r="ET13" s="71" t="s">
        <v>120</v>
      </c>
      <c r="EU13" s="72"/>
      <c r="EV13" s="72"/>
      <c r="EW13" s="72"/>
      <c r="EX13" s="7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4"/>
    </row>
    <row r="14" spans="1:219" ht="30" customHeight="1" thickBot="1" x14ac:dyDescent="0.35">
      <c r="A14" s="35"/>
      <c r="B14" s="10" t="s">
        <v>0</v>
      </c>
      <c r="C14" s="10" t="s">
        <v>1</v>
      </c>
      <c r="D14" s="10" t="s">
        <v>2</v>
      </c>
      <c r="E14" s="11" t="s">
        <v>3</v>
      </c>
      <c r="AB14" s="9"/>
      <c r="AC14" s="10" t="s">
        <v>0</v>
      </c>
      <c r="AD14" s="10" t="s">
        <v>1</v>
      </c>
      <c r="AE14" s="10" t="s">
        <v>2</v>
      </c>
      <c r="AF14" s="11" t="s">
        <v>3</v>
      </c>
      <c r="AK14" s="35"/>
      <c r="AL14" s="10" t="s">
        <v>0</v>
      </c>
      <c r="AM14" s="10" t="s">
        <v>1</v>
      </c>
      <c r="AN14" s="10" t="s">
        <v>2</v>
      </c>
      <c r="AO14" s="44" t="s">
        <v>3</v>
      </c>
      <c r="AQ14" s="41"/>
      <c r="AR14" s="42" t="s">
        <v>0</v>
      </c>
      <c r="AS14" s="42" t="s">
        <v>1</v>
      </c>
      <c r="AT14" s="42" t="s">
        <v>2</v>
      </c>
      <c r="AU14" s="43" t="s">
        <v>3</v>
      </c>
      <c r="BI14" s="35"/>
      <c r="BJ14" s="10" t="s">
        <v>0</v>
      </c>
      <c r="BK14" s="10" t="s">
        <v>1</v>
      </c>
      <c r="BL14" s="10" t="s">
        <v>2</v>
      </c>
      <c r="BM14" s="44" t="s">
        <v>3</v>
      </c>
      <c r="BQ14" s="41"/>
      <c r="BR14" s="42" t="s">
        <v>0</v>
      </c>
      <c r="BS14" s="42" t="s">
        <v>1</v>
      </c>
      <c r="BT14" s="42" t="s">
        <v>2</v>
      </c>
      <c r="BU14" s="43" t="s">
        <v>3</v>
      </c>
      <c r="CI14" s="38"/>
      <c r="CJ14" s="35"/>
      <c r="CK14" s="10" t="s">
        <v>0</v>
      </c>
      <c r="CL14" s="10" t="s">
        <v>1</v>
      </c>
      <c r="CM14" s="10" t="s">
        <v>2</v>
      </c>
      <c r="CN14" s="44" t="s">
        <v>3</v>
      </c>
      <c r="CO14" s="33"/>
      <c r="CP14" s="33"/>
      <c r="CQ14" s="33"/>
      <c r="CR14" s="41"/>
      <c r="CS14" s="42" t="s">
        <v>0</v>
      </c>
      <c r="CT14" s="42" t="s">
        <v>1</v>
      </c>
      <c r="CU14" s="42" t="s">
        <v>2</v>
      </c>
      <c r="CV14" s="43" t="s">
        <v>3</v>
      </c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4"/>
      <c r="DJ14" s="38"/>
      <c r="DK14" s="35"/>
      <c r="DL14" s="10" t="s">
        <v>0</v>
      </c>
      <c r="DM14" s="10" t="s">
        <v>1</v>
      </c>
      <c r="DN14" s="10" t="s">
        <v>2</v>
      </c>
      <c r="DO14" s="44" t="s">
        <v>3</v>
      </c>
      <c r="DP14" s="33"/>
      <c r="DQ14" s="33"/>
      <c r="DR14" s="33"/>
      <c r="DS14" s="41"/>
      <c r="DT14" s="42" t="s">
        <v>0</v>
      </c>
      <c r="DU14" s="42" t="s">
        <v>1</v>
      </c>
      <c r="DV14" s="42" t="s">
        <v>2</v>
      </c>
      <c r="DW14" s="43" t="s">
        <v>3</v>
      </c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4"/>
      <c r="EK14" s="38"/>
      <c r="EL14" s="35"/>
      <c r="EM14" s="10" t="s">
        <v>0</v>
      </c>
      <c r="EN14" s="10" t="s">
        <v>1</v>
      </c>
      <c r="EO14" s="10" t="s">
        <v>2</v>
      </c>
      <c r="EP14" s="44" t="s">
        <v>3</v>
      </c>
      <c r="EQ14" s="33"/>
      <c r="ER14" s="33"/>
      <c r="ES14" s="33"/>
      <c r="ET14" s="41"/>
      <c r="EU14" s="42" t="s">
        <v>0</v>
      </c>
      <c r="EV14" s="42" t="s">
        <v>1</v>
      </c>
      <c r="EW14" s="42" t="s">
        <v>2</v>
      </c>
      <c r="EX14" s="43" t="s">
        <v>3</v>
      </c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4"/>
    </row>
    <row r="15" spans="1:219" ht="30" customHeight="1" thickBot="1" x14ac:dyDescent="0.35">
      <c r="A15" s="36" t="s">
        <v>4</v>
      </c>
      <c r="B15" s="2">
        <v>7.2999999999999995E-2</v>
      </c>
      <c r="C15" s="2">
        <v>0.58699999999999997</v>
      </c>
      <c r="D15" s="3">
        <f>AVERAGE(0.026,0.783,0.006,0.225,0.05,0.15,0.167,0.167)</f>
        <v>0.19675000000000001</v>
      </c>
      <c r="E15" s="4">
        <v>2.3E-2</v>
      </c>
      <c r="AB15" s="1" t="s">
        <v>4</v>
      </c>
      <c r="AC15" s="2" t="s">
        <v>56</v>
      </c>
      <c r="AD15" s="2" t="s">
        <v>55</v>
      </c>
      <c r="AE15" s="3" t="s">
        <v>54</v>
      </c>
      <c r="AF15" s="4" t="s">
        <v>53</v>
      </c>
      <c r="AK15" s="36" t="s">
        <v>4</v>
      </c>
      <c r="AL15" s="33">
        <v>0.32552215189873418</v>
      </c>
      <c r="AM15" s="33">
        <v>0.58392636089596406</v>
      </c>
      <c r="AN15" s="16">
        <f>AVERAGE(0.531,0.392,0.011,0.125,0.083,0.1,0.167,0.167)</f>
        <v>0.19700000000000004</v>
      </c>
      <c r="AO15" s="34">
        <v>9.621257215089557E-2</v>
      </c>
      <c r="AQ15" s="18" t="s">
        <v>4</v>
      </c>
      <c r="AR15" s="69">
        <f>AL15-B15</f>
        <v>0.25252215189873417</v>
      </c>
      <c r="AS15" s="57">
        <f t="shared" ref="AS15:AS22" si="11">AM15-C15</f>
        <v>-3.0736391040359079E-3</v>
      </c>
      <c r="AT15" s="57">
        <f t="shared" ref="AT15:AT22" si="12">AN15-D15</f>
        <v>2.5000000000002798E-4</v>
      </c>
      <c r="AU15" s="69">
        <f t="shared" ref="AU15:AU22" si="13">AO15-E15</f>
        <v>7.3212572150895577E-2</v>
      </c>
      <c r="BI15" s="36" t="s">
        <v>4</v>
      </c>
      <c r="BJ15" s="12">
        <v>0.316</v>
      </c>
      <c r="BK15" s="13">
        <v>0.57999999999999996</v>
      </c>
      <c r="BL15" s="16">
        <f>AVERAGE(0.515,0.383,0.011,0.125,0.067,0.1,0.167,0.167)</f>
        <v>0.19187500000000002</v>
      </c>
      <c r="BM15" s="14">
        <v>8.7999999999999995E-2</v>
      </c>
      <c r="BQ15" s="18" t="s">
        <v>4</v>
      </c>
      <c r="BR15" s="69">
        <f t="shared" ref="BR15:BU22" si="14">BJ15-AL15</f>
        <v>-9.5221518987341769E-3</v>
      </c>
      <c r="BS15" s="12">
        <f t="shared" si="14"/>
        <v>-3.9263608959640983E-3</v>
      </c>
      <c r="BT15" s="12">
        <f t="shared" si="14"/>
        <v>-5.1250000000000184E-3</v>
      </c>
      <c r="BU15" s="12">
        <f t="shared" si="14"/>
        <v>-8.2125721508955751E-3</v>
      </c>
      <c r="CI15" s="38"/>
      <c r="CJ15" s="36" t="s">
        <v>4</v>
      </c>
      <c r="CK15" s="12">
        <v>0.316</v>
      </c>
      <c r="CL15" s="13">
        <v>0.57999999999999996</v>
      </c>
      <c r="CM15" s="16">
        <f>AVERAGE(0.515,0.383,0.011,0.125,0.067,0.1,0.167,0.167)</f>
        <v>0.19187500000000002</v>
      </c>
      <c r="CN15" s="14">
        <v>8.7999999999999995E-2</v>
      </c>
      <c r="CO15" s="33"/>
      <c r="CP15" s="33"/>
      <c r="CQ15" s="33"/>
      <c r="CR15" s="18" t="s">
        <v>4</v>
      </c>
      <c r="CS15" s="12">
        <f t="shared" ref="CS15:CV22" si="15">CK15-BM15</f>
        <v>0.22800000000000001</v>
      </c>
      <c r="CT15" s="12">
        <f t="shared" si="15"/>
        <v>0.57999999999999996</v>
      </c>
      <c r="CU15" s="12">
        <f t="shared" si="15"/>
        <v>0.19187500000000002</v>
      </c>
      <c r="CV15" s="12">
        <f t="shared" si="15"/>
        <v>8.7999999999999995E-2</v>
      </c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4"/>
      <c r="DJ15" s="38"/>
      <c r="DK15" s="36" t="s">
        <v>4</v>
      </c>
      <c r="DL15" s="12">
        <v>0.40699999999999997</v>
      </c>
      <c r="DM15" s="13">
        <v>0.625</v>
      </c>
      <c r="DN15" s="16">
        <f>AVERAGE(0.723,0.133,0.011,0,0,0.2,0.267,0.083)</f>
        <v>0.177125</v>
      </c>
      <c r="DO15" s="14">
        <v>0.112</v>
      </c>
      <c r="DP15" s="33"/>
      <c r="DQ15" s="33"/>
      <c r="DR15" s="33"/>
      <c r="DS15" s="18" t="s">
        <v>4</v>
      </c>
      <c r="DT15" s="69">
        <f>DL15-CK15</f>
        <v>9.099999999999997E-2</v>
      </c>
      <c r="DU15" s="69">
        <f t="shared" ref="DU15:DW15" si="16">DM15-CL15</f>
        <v>4.500000000000004E-2</v>
      </c>
      <c r="DV15" s="12">
        <f t="shared" si="16"/>
        <v>-1.4750000000000013E-2</v>
      </c>
      <c r="DW15" s="12">
        <f t="shared" si="16"/>
        <v>2.4000000000000007E-2</v>
      </c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4"/>
      <c r="EK15" s="38"/>
      <c r="EL15" s="36" t="s">
        <v>4</v>
      </c>
      <c r="EM15" s="12">
        <v>0.39500000000000002</v>
      </c>
      <c r="EN15" s="13">
        <v>0.64500000000000002</v>
      </c>
      <c r="EO15" s="16">
        <f>AVERAGE(0.583,0.183,0.202,0.208,0.095,0.2,0.267,0.117)</f>
        <v>0.231875</v>
      </c>
      <c r="EP15" s="14">
        <v>0.14799999999999999</v>
      </c>
      <c r="EQ15" s="33"/>
      <c r="ER15" s="33"/>
      <c r="ES15" s="33"/>
      <c r="ET15" s="18" t="s">
        <v>4</v>
      </c>
      <c r="EU15" s="12">
        <f>EM15-DL15</f>
        <v>-1.1999999999999955E-2</v>
      </c>
      <c r="EV15" s="12">
        <f t="shared" ref="EV15:EV19" si="17">EN15-DM15</f>
        <v>2.0000000000000018E-2</v>
      </c>
      <c r="EW15" s="69">
        <f t="shared" ref="EW15:EW22" si="18">EO15-DN15</f>
        <v>5.4749999999999993E-2</v>
      </c>
      <c r="EX15" s="12">
        <f t="shared" ref="EX15:EX17" si="19">EP15-DO15</f>
        <v>3.599999999999999E-2</v>
      </c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4"/>
      <c r="FL15" s="18" t="s">
        <v>4</v>
      </c>
      <c r="FM15" s="2">
        <v>7.2999999999999995E-2</v>
      </c>
      <c r="FN15" s="33">
        <v>0.32552215189873418</v>
      </c>
      <c r="FO15" s="12">
        <v>0.316</v>
      </c>
      <c r="FP15" s="12">
        <v>0.316</v>
      </c>
      <c r="FQ15" s="12">
        <v>0.40699999999999997</v>
      </c>
      <c r="FR15" s="12">
        <v>0.39500000000000002</v>
      </c>
      <c r="GA15" s="18" t="s">
        <v>4</v>
      </c>
      <c r="GB15" s="2">
        <v>0.58699999999999997</v>
      </c>
      <c r="GC15" s="33">
        <v>0.58392636089596406</v>
      </c>
      <c r="GD15" s="13">
        <v>0.57999999999999996</v>
      </c>
      <c r="GE15" s="13">
        <v>0.57999999999999996</v>
      </c>
      <c r="GF15" s="13">
        <v>0.625</v>
      </c>
      <c r="GG15" s="13">
        <v>0.64500000000000002</v>
      </c>
      <c r="GP15" s="18" t="s">
        <v>4</v>
      </c>
      <c r="GQ15" s="3">
        <v>0.19675000000000001</v>
      </c>
      <c r="GR15" s="16">
        <v>0.19700000000000004</v>
      </c>
      <c r="GS15" s="16">
        <v>0.19187500000000002</v>
      </c>
      <c r="GT15" s="16">
        <v>0.19187500000000002</v>
      </c>
      <c r="GU15" s="16">
        <v>0.177125</v>
      </c>
      <c r="GV15" s="16">
        <v>0.231875</v>
      </c>
      <c r="HE15" s="18" t="s">
        <v>4</v>
      </c>
      <c r="HF15" s="4">
        <v>2.3E-2</v>
      </c>
      <c r="HG15" s="34">
        <v>9.621257215089557E-2</v>
      </c>
      <c r="HH15" s="14">
        <v>8.7999999999999995E-2</v>
      </c>
      <c r="HI15" s="14">
        <v>8.7999999999999995E-2</v>
      </c>
      <c r="HJ15" s="14">
        <v>0.112</v>
      </c>
      <c r="HK15" s="14">
        <v>0.14799999999999999</v>
      </c>
    </row>
    <row r="16" spans="1:219" ht="30" customHeight="1" thickBot="1" x14ac:dyDescent="0.35">
      <c r="A16" s="36" t="s">
        <v>5</v>
      </c>
      <c r="B16" s="2">
        <v>0.51900000000000002</v>
      </c>
      <c r="C16" s="2">
        <v>0.58899999999999997</v>
      </c>
      <c r="D16" s="3">
        <f>AVERAGE(0.864,0,0.228,0.025,0.017,0,0.083,0.117)</f>
        <v>0.16674999999999998</v>
      </c>
      <c r="E16" s="4">
        <v>0.122</v>
      </c>
      <c r="AB16" s="1" t="s">
        <v>5</v>
      </c>
      <c r="AC16" s="2" t="s">
        <v>60</v>
      </c>
      <c r="AD16" s="2" t="s">
        <v>59</v>
      </c>
      <c r="AE16" s="3" t="s">
        <v>58</v>
      </c>
      <c r="AF16" s="4" t="s">
        <v>57</v>
      </c>
      <c r="AK16" s="36" t="s">
        <v>5</v>
      </c>
      <c r="AL16" s="33">
        <v>0.11511075949367089</v>
      </c>
      <c r="AM16" s="33">
        <v>0.56155513706266935</v>
      </c>
      <c r="AN16" s="3">
        <f>AVERAGE(0.033,0.292,0.195,0.275,0.217,0.3,0.083,0.1)</f>
        <v>0.18687500000000001</v>
      </c>
      <c r="AO16" s="34">
        <v>2.598696277651653E-2</v>
      </c>
      <c r="AQ16" s="18" t="s">
        <v>5</v>
      </c>
      <c r="AR16" s="69">
        <f t="shared" ref="AR16:AR22" si="20">AL16-B16</f>
        <v>-0.40388924050632913</v>
      </c>
      <c r="AS16" s="69">
        <f t="shared" si="11"/>
        <v>-2.7444862937330616E-2</v>
      </c>
      <c r="AT16" s="57">
        <f t="shared" si="12"/>
        <v>2.0125000000000032E-2</v>
      </c>
      <c r="AU16" s="69">
        <f t="shared" si="13"/>
        <v>-9.6013037223483463E-2</v>
      </c>
      <c r="BI16" s="36" t="s">
        <v>5</v>
      </c>
      <c r="BJ16" s="15">
        <v>0.109</v>
      </c>
      <c r="BK16" s="2">
        <v>0.55500000000000005</v>
      </c>
      <c r="BL16" s="3">
        <f>AVERAGE(0.021,0.283,0.196,0.125,0.307,0.05,0.267,0.167)</f>
        <v>0.17700000000000002</v>
      </c>
      <c r="BM16" s="4">
        <v>2.4E-2</v>
      </c>
      <c r="BQ16" s="18" t="s">
        <v>5</v>
      </c>
      <c r="BR16" s="12">
        <f t="shared" si="14"/>
        <v>-6.1107594936708892E-3</v>
      </c>
      <c r="BS16" s="12">
        <f t="shared" si="14"/>
        <v>-6.5551370626693028E-3</v>
      </c>
      <c r="BT16" s="12">
        <f t="shared" si="14"/>
        <v>-9.8749999999999949E-3</v>
      </c>
      <c r="BU16" s="12">
        <f t="shared" si="14"/>
        <v>-1.98696277651653E-3</v>
      </c>
      <c r="CI16" s="38"/>
      <c r="CJ16" s="36" t="s">
        <v>5</v>
      </c>
      <c r="CK16" s="15">
        <v>8.5999999999999993E-2</v>
      </c>
      <c r="CL16" s="2">
        <v>0.6</v>
      </c>
      <c r="CM16" s="3">
        <f>AVERAGE(0,0.375,0.106,0.183,0.193,0.1,0.517,0.283)</f>
        <v>0.21962499999999999</v>
      </c>
      <c r="CN16" s="4">
        <v>2.9000000000000001E-2</v>
      </c>
      <c r="CO16" s="33"/>
      <c r="CP16" s="33"/>
      <c r="CQ16" s="33"/>
      <c r="CR16" s="18" t="s">
        <v>5</v>
      </c>
      <c r="CS16" s="69">
        <f t="shared" si="15"/>
        <v>6.1999999999999993E-2</v>
      </c>
      <c r="CT16" s="69">
        <f t="shared" si="15"/>
        <v>0.6</v>
      </c>
      <c r="CU16" s="69">
        <f t="shared" si="15"/>
        <v>0.21962499999999999</v>
      </c>
      <c r="CV16" s="12">
        <f t="shared" si="15"/>
        <v>2.9000000000000001E-2</v>
      </c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4"/>
      <c r="DJ16" s="38"/>
      <c r="DK16" s="36" t="s">
        <v>5</v>
      </c>
      <c r="DL16" s="15">
        <v>0.106</v>
      </c>
      <c r="DM16" s="2">
        <v>0.58099999999999996</v>
      </c>
      <c r="DN16" s="3">
        <f>AVERAGE(0.019,0.367,0.162,0.433,0.15,0.1,0.2,0.217)</f>
        <v>0.20600000000000002</v>
      </c>
      <c r="DO16" s="4">
        <v>3.4000000000000002E-2</v>
      </c>
      <c r="DP16" s="33"/>
      <c r="DQ16" s="33"/>
      <c r="DR16" s="33"/>
      <c r="DS16" s="18" t="s">
        <v>5</v>
      </c>
      <c r="DT16" s="69">
        <f t="shared" ref="DT16:DT22" si="21">DL16-CK16</f>
        <v>2.0000000000000004E-2</v>
      </c>
      <c r="DU16" s="12">
        <f t="shared" ref="DU16:DU22" si="22">DM16-CL16</f>
        <v>-1.9000000000000017E-2</v>
      </c>
      <c r="DV16" s="12">
        <f t="shared" ref="DV16:DV22" si="23">DN16-CM16</f>
        <v>-1.362499999999997E-2</v>
      </c>
      <c r="DW16" s="12">
        <f t="shared" ref="DW16:DW21" si="24">DO16-CN16</f>
        <v>5.000000000000001E-3</v>
      </c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4"/>
      <c r="EK16" s="38"/>
      <c r="EL16" s="36" t="s">
        <v>5</v>
      </c>
      <c r="EM16" s="15">
        <v>0.123</v>
      </c>
      <c r="EN16" s="2">
        <v>0.59199999999999997</v>
      </c>
      <c r="EO16" s="3">
        <f>AVERAGE(0.042,0.333,0.161,0.383,0.19,0.25,0.35,0.133)</f>
        <v>0.23025000000000001</v>
      </c>
      <c r="EP16" s="4">
        <v>4.4999999999999998E-2</v>
      </c>
      <c r="EQ16" s="33"/>
      <c r="ER16" s="33"/>
      <c r="ES16" s="33"/>
      <c r="ET16" s="18" t="s">
        <v>5</v>
      </c>
      <c r="EU16" s="12">
        <f t="shared" ref="EU16:EU22" si="25">EM16-DL16</f>
        <v>1.7000000000000001E-2</v>
      </c>
      <c r="EV16" s="12">
        <f t="shared" si="17"/>
        <v>1.100000000000001E-2</v>
      </c>
      <c r="EW16" s="12">
        <f t="shared" si="18"/>
        <v>2.4249999999999994E-2</v>
      </c>
      <c r="EX16" s="12">
        <f t="shared" si="19"/>
        <v>1.0999999999999996E-2</v>
      </c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4"/>
      <c r="FL16" s="18" t="s">
        <v>5</v>
      </c>
      <c r="FM16" s="2">
        <v>0.51900000000000002</v>
      </c>
      <c r="FN16" s="33">
        <v>0.11511075949367089</v>
      </c>
      <c r="FO16" s="15">
        <v>0.109</v>
      </c>
      <c r="FP16" s="15">
        <v>8.5999999999999993E-2</v>
      </c>
      <c r="FQ16" s="15">
        <v>0.106</v>
      </c>
      <c r="FR16" s="15">
        <v>0.123</v>
      </c>
      <c r="GA16" s="18" t="s">
        <v>5</v>
      </c>
      <c r="GB16" s="2">
        <v>0.58899999999999997</v>
      </c>
      <c r="GC16" s="33">
        <v>0.56155513706266935</v>
      </c>
      <c r="GD16" s="2">
        <v>0.55500000000000005</v>
      </c>
      <c r="GE16" s="2">
        <v>0.6</v>
      </c>
      <c r="GF16" s="2">
        <v>0.58099999999999996</v>
      </c>
      <c r="GG16" s="2">
        <v>0.59199999999999997</v>
      </c>
      <c r="GP16" s="18" t="s">
        <v>5</v>
      </c>
      <c r="GQ16" s="3">
        <v>0.16674999999999998</v>
      </c>
      <c r="GR16" s="3">
        <v>0.18687500000000001</v>
      </c>
      <c r="GS16" s="3">
        <v>0.17700000000000002</v>
      </c>
      <c r="GT16" s="3">
        <v>0.21962499999999999</v>
      </c>
      <c r="GU16" s="3">
        <v>0.20600000000000002</v>
      </c>
      <c r="GV16" s="3">
        <v>0.23025000000000001</v>
      </c>
      <c r="HE16" s="18" t="s">
        <v>5</v>
      </c>
      <c r="HF16" s="4">
        <v>0.122</v>
      </c>
      <c r="HG16" s="34">
        <v>2.598696277651653E-2</v>
      </c>
      <c r="HH16" s="4">
        <v>2.4E-2</v>
      </c>
      <c r="HI16" s="4">
        <v>2.9000000000000001E-2</v>
      </c>
      <c r="HJ16" s="4">
        <v>3.4000000000000002E-2</v>
      </c>
      <c r="HK16" s="4">
        <v>4.4999999999999998E-2</v>
      </c>
    </row>
    <row r="17" spans="1:243" ht="30" customHeight="1" thickBot="1" x14ac:dyDescent="0.35">
      <c r="A17" s="36" t="s">
        <v>6</v>
      </c>
      <c r="B17" s="2">
        <v>0.40200000000000002</v>
      </c>
      <c r="C17" s="2">
        <v>0.53</v>
      </c>
      <c r="D17" s="3">
        <f>AVERAGE(0.584,0,0.291,0.092,0.19,0.15,0.083,0.033)</f>
        <v>0.17787499999999998</v>
      </c>
      <c r="E17" s="4">
        <v>9.4E-2</v>
      </c>
      <c r="AB17" s="1" t="s">
        <v>6</v>
      </c>
      <c r="AC17" s="2" t="s">
        <v>64</v>
      </c>
      <c r="AD17" s="2" t="s">
        <v>63</v>
      </c>
      <c r="AE17" s="3" t="s">
        <v>62</v>
      </c>
      <c r="AF17" s="4" t="s">
        <v>61</v>
      </c>
      <c r="AK17" s="36" t="s">
        <v>6</v>
      </c>
      <c r="AL17" s="33">
        <v>0.1889715189873418</v>
      </c>
      <c r="AM17" s="33">
        <v>0.53491326763263447</v>
      </c>
      <c r="AN17" s="3">
        <f>AVERAGE(0.139,0.158,0.312,0.175,0.221,0.05,0.233,0.2)</f>
        <v>0.18600000000000003</v>
      </c>
      <c r="AO17" s="34">
        <v>4.9901523313207061E-2</v>
      </c>
      <c r="AQ17" s="18" t="s">
        <v>6</v>
      </c>
      <c r="AR17" s="69">
        <f t="shared" si="20"/>
        <v>-0.21302848101265823</v>
      </c>
      <c r="AS17" s="57">
        <f t="shared" si="11"/>
        <v>4.9132676326344438E-3</v>
      </c>
      <c r="AT17" s="57">
        <f t="shared" si="12"/>
        <v>8.1250000000000488E-3</v>
      </c>
      <c r="AU17" s="57">
        <f t="shared" si="13"/>
        <v>-4.409847668679294E-2</v>
      </c>
      <c r="BI17" s="36" t="s">
        <v>6</v>
      </c>
      <c r="BJ17" s="15">
        <v>0.19400000000000001</v>
      </c>
      <c r="BK17" s="2">
        <v>0.53500000000000003</v>
      </c>
      <c r="BL17" s="3">
        <f>AVERAGE(0.132,0.167,0.356,0.117,0.219,0.05,0.283,0.167)</f>
        <v>0.18637499999999999</v>
      </c>
      <c r="BM17" s="4">
        <v>5.0999999999999997E-2</v>
      </c>
      <c r="BQ17" s="18" t="s">
        <v>6</v>
      </c>
      <c r="BR17" s="12">
        <f t="shared" si="14"/>
        <v>5.0284810126582091E-3</v>
      </c>
      <c r="BS17" s="12">
        <f t="shared" si="14"/>
        <v>8.673236736556067E-5</v>
      </c>
      <c r="BT17" s="12">
        <f t="shared" si="14"/>
        <v>3.749999999999587E-4</v>
      </c>
      <c r="BU17" s="12">
        <f t="shared" si="14"/>
        <v>1.098476686792936E-3</v>
      </c>
      <c r="CI17" s="38"/>
      <c r="CJ17" s="36" t="s">
        <v>6</v>
      </c>
      <c r="CK17" s="15">
        <v>0.123</v>
      </c>
      <c r="CL17" s="2">
        <v>0.63300000000000001</v>
      </c>
      <c r="CM17" s="3">
        <f>AVERAGE(0,0.383,0.201,0.242,0.302,0.4,0.317,0.3)</f>
        <v>0.268125</v>
      </c>
      <c r="CN17" s="4">
        <v>5.0999999999999997E-2</v>
      </c>
      <c r="CO17" s="33"/>
      <c r="CP17" s="33"/>
      <c r="CQ17" s="33"/>
      <c r="CR17" s="18" t="s">
        <v>6</v>
      </c>
      <c r="CS17" s="12">
        <f t="shared" si="15"/>
        <v>7.2000000000000008E-2</v>
      </c>
      <c r="CT17" s="69">
        <f t="shared" si="15"/>
        <v>0.63300000000000001</v>
      </c>
      <c r="CU17" s="69">
        <f t="shared" si="15"/>
        <v>0.268125</v>
      </c>
      <c r="CV17" s="69">
        <f t="shared" si="15"/>
        <v>5.0999999999999997E-2</v>
      </c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4"/>
      <c r="DJ17" s="38"/>
      <c r="DK17" s="36" t="s">
        <v>6</v>
      </c>
      <c r="DL17" s="15">
        <v>8.3000000000000004E-2</v>
      </c>
      <c r="DM17" s="2">
        <v>0.63800000000000001</v>
      </c>
      <c r="DN17" s="3">
        <f>AVERAGE(0,0.208,0,0.7,0.264,0.1,0.4,0.3)</f>
        <v>0.24650000000000002</v>
      </c>
      <c r="DO17" s="4">
        <v>3.7999999999999999E-2</v>
      </c>
      <c r="DP17" s="33"/>
      <c r="DQ17" s="33"/>
      <c r="DR17" s="33"/>
      <c r="DS17" s="18" t="s">
        <v>6</v>
      </c>
      <c r="DT17" s="69">
        <f t="shared" si="21"/>
        <v>-3.9999999999999994E-2</v>
      </c>
      <c r="DU17" s="12">
        <f t="shared" si="22"/>
        <v>5.0000000000000044E-3</v>
      </c>
      <c r="DV17" s="12">
        <f t="shared" si="23"/>
        <v>-2.1624999999999978E-2</v>
      </c>
      <c r="DW17" s="12">
        <f t="shared" si="24"/>
        <v>-1.2999999999999998E-2</v>
      </c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4"/>
      <c r="EK17" s="38"/>
      <c r="EL17" s="36" t="s">
        <v>6</v>
      </c>
      <c r="EM17" s="15">
        <v>4.5999999999999999E-2</v>
      </c>
      <c r="EN17" s="2">
        <v>0.60399999999999998</v>
      </c>
      <c r="EO17" s="3">
        <f>AVERAGE(0,0.475,0,0.142,0.067,0.55,0.05,0)</f>
        <v>0.1605</v>
      </c>
      <c r="EP17" s="4">
        <v>0.01</v>
      </c>
      <c r="EQ17" s="33"/>
      <c r="ER17" s="33"/>
      <c r="ES17" s="33"/>
      <c r="ET17" s="18" t="s">
        <v>6</v>
      </c>
      <c r="EU17" s="69">
        <f t="shared" si="25"/>
        <v>-3.7000000000000005E-2</v>
      </c>
      <c r="EV17" s="12">
        <f t="shared" si="17"/>
        <v>-3.400000000000003E-2</v>
      </c>
      <c r="EW17" s="69">
        <f t="shared" si="18"/>
        <v>-8.6000000000000021E-2</v>
      </c>
      <c r="EX17" s="69">
        <f t="shared" si="19"/>
        <v>-2.7999999999999997E-2</v>
      </c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4"/>
      <c r="FL17" s="18" t="s">
        <v>6</v>
      </c>
      <c r="FM17" s="2">
        <v>0.40200000000000002</v>
      </c>
      <c r="FN17" s="33">
        <v>0.1889715189873418</v>
      </c>
      <c r="FO17" s="15">
        <v>0.19400000000000001</v>
      </c>
      <c r="FP17" s="15">
        <v>0.123</v>
      </c>
      <c r="FQ17" s="15">
        <v>8.3000000000000004E-2</v>
      </c>
      <c r="FR17" s="15">
        <v>4.5999999999999999E-2</v>
      </c>
      <c r="GA17" s="18" t="s">
        <v>6</v>
      </c>
      <c r="GB17" s="2">
        <v>0.53</v>
      </c>
      <c r="GC17" s="33">
        <v>0.53491326763263447</v>
      </c>
      <c r="GD17" s="2">
        <v>0.53500000000000003</v>
      </c>
      <c r="GE17" s="2">
        <v>0.63300000000000001</v>
      </c>
      <c r="GF17" s="2">
        <v>0.63800000000000001</v>
      </c>
      <c r="GG17" s="2">
        <v>0.60399999999999998</v>
      </c>
      <c r="GP17" s="18" t="s">
        <v>6</v>
      </c>
      <c r="GQ17" s="3">
        <v>0.17787499999999998</v>
      </c>
      <c r="GR17" s="3">
        <v>0.18600000000000003</v>
      </c>
      <c r="GS17" s="3">
        <v>0.18637499999999999</v>
      </c>
      <c r="GT17" s="3">
        <v>0.268125</v>
      </c>
      <c r="GU17" s="3">
        <v>0.24650000000000002</v>
      </c>
      <c r="GV17" s="3">
        <v>0.1605</v>
      </c>
      <c r="HE17" s="18" t="s">
        <v>6</v>
      </c>
      <c r="HF17" s="4">
        <v>9.4E-2</v>
      </c>
      <c r="HG17" s="34">
        <v>4.9901523313207061E-2</v>
      </c>
      <c r="HH17" s="4">
        <v>5.0999999999999997E-2</v>
      </c>
      <c r="HI17" s="4">
        <v>5.0999999999999997E-2</v>
      </c>
      <c r="HJ17" s="4">
        <v>3.7999999999999999E-2</v>
      </c>
      <c r="HK17" s="4">
        <v>0.01</v>
      </c>
    </row>
    <row r="18" spans="1:243" ht="30" customHeight="1" thickBot="1" x14ac:dyDescent="0.35">
      <c r="A18" s="36" t="s">
        <v>7</v>
      </c>
      <c r="B18" s="2">
        <v>0.53900000000000003</v>
      </c>
      <c r="C18" s="2">
        <v>0.627</v>
      </c>
      <c r="D18" s="3">
        <f>AVERAGE(0.904,0,0.236,0,0.045,0,0.05,0.033)</f>
        <v>0.1585</v>
      </c>
      <c r="E18" s="4">
        <v>0.14499999999999999</v>
      </c>
      <c r="AB18" s="1" t="s">
        <v>7</v>
      </c>
      <c r="AC18" s="2" t="s">
        <v>68</v>
      </c>
      <c r="AD18" s="2" t="s">
        <v>67</v>
      </c>
      <c r="AE18" s="3" t="s">
        <v>66</v>
      </c>
      <c r="AF18" s="4" t="s">
        <v>65</v>
      </c>
      <c r="AK18" s="36" t="s">
        <v>7</v>
      </c>
      <c r="AL18" s="33">
        <v>0.21278481012658229</v>
      </c>
      <c r="AM18" s="33">
        <v>0.64835964568782478</v>
      </c>
      <c r="AN18" s="3">
        <f>AVERAGE(0.113,0.25,0.458,0.175,0.264,0,0.183,0.2)</f>
        <v>0.205375</v>
      </c>
      <c r="AO18" s="34">
        <v>7.2752309913637847E-2</v>
      </c>
      <c r="AQ18" s="18" t="s">
        <v>7</v>
      </c>
      <c r="AR18" s="69">
        <f t="shared" si="20"/>
        <v>-0.32621518987341774</v>
      </c>
      <c r="AS18" s="57">
        <f t="shared" si="11"/>
        <v>2.135964568782478E-2</v>
      </c>
      <c r="AT18" s="69">
        <f t="shared" si="12"/>
        <v>4.6875E-2</v>
      </c>
      <c r="AU18" s="69">
        <f t="shared" si="13"/>
        <v>-7.2247690086362143E-2</v>
      </c>
      <c r="BI18" s="36" t="s">
        <v>7</v>
      </c>
      <c r="BJ18" s="15">
        <v>0.20300000000000001</v>
      </c>
      <c r="BK18" s="2">
        <v>0.65300000000000002</v>
      </c>
      <c r="BL18" s="3">
        <f>AVERAGE(0.085,0.183,0.479,0.225,0.255,0,0.183,0.267)</f>
        <v>0.20962500000000001</v>
      </c>
      <c r="BM18" s="4">
        <v>6.8000000000000005E-2</v>
      </c>
      <c r="BQ18" s="18" t="s">
        <v>7</v>
      </c>
      <c r="BR18" s="12">
        <f t="shared" si="14"/>
        <v>-9.7848101265822773E-3</v>
      </c>
      <c r="BS18" s="12">
        <f t="shared" si="14"/>
        <v>4.6403543121752433E-3</v>
      </c>
      <c r="BT18" s="12">
        <f t="shared" si="14"/>
        <v>4.2500000000000038E-3</v>
      </c>
      <c r="BU18" s="12">
        <f t="shared" si="14"/>
        <v>-4.7523099136378422E-3</v>
      </c>
      <c r="CI18" s="38"/>
      <c r="CJ18" s="36" t="s">
        <v>7</v>
      </c>
      <c r="CK18" s="15">
        <v>0.14899999999999999</v>
      </c>
      <c r="CL18" s="2">
        <v>0.64600000000000002</v>
      </c>
      <c r="CM18" s="3">
        <f>AVERAGE(0.028,0.283,0.312,0.15,0.343,0.15,0.183,0.317)</f>
        <v>0.22075</v>
      </c>
      <c r="CN18" s="4">
        <v>5.1999999999999998E-2</v>
      </c>
      <c r="CO18" s="33"/>
      <c r="CP18" s="33"/>
      <c r="CQ18" s="33"/>
      <c r="CR18" s="18" t="s">
        <v>7</v>
      </c>
      <c r="CS18" s="69">
        <f t="shared" si="15"/>
        <v>8.0999999999999989E-2</v>
      </c>
      <c r="CT18" s="12">
        <f t="shared" si="15"/>
        <v>0.64600000000000002</v>
      </c>
      <c r="CU18" s="12">
        <f t="shared" si="15"/>
        <v>0.22075</v>
      </c>
      <c r="CV18" s="12">
        <f t="shared" si="15"/>
        <v>5.1999999999999998E-2</v>
      </c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4"/>
      <c r="DJ18" s="38"/>
      <c r="DK18" s="36" t="s">
        <v>7</v>
      </c>
      <c r="DL18" s="15">
        <v>6.6000000000000003E-2</v>
      </c>
      <c r="DM18" s="2">
        <v>0.65200000000000002</v>
      </c>
      <c r="DN18" s="3">
        <f>AVERAGE(0,0.467,0,0.592,0.074,0.25,0.217,0.15)</f>
        <v>0.21875</v>
      </c>
      <c r="DO18" s="4">
        <v>2.9000000000000001E-2</v>
      </c>
      <c r="DP18" s="33"/>
      <c r="DQ18" s="33"/>
      <c r="DR18" s="33"/>
      <c r="DS18" s="18" t="s">
        <v>7</v>
      </c>
      <c r="DT18" s="69">
        <f t="shared" si="21"/>
        <v>-8.299999999999999E-2</v>
      </c>
      <c r="DU18" s="12">
        <f t="shared" si="22"/>
        <v>6.0000000000000053E-3</v>
      </c>
      <c r="DV18" s="12">
        <f t="shared" si="23"/>
        <v>-2.0000000000000018E-3</v>
      </c>
      <c r="DW18" s="69">
        <f>DO18-CN18</f>
        <v>-2.2999999999999996E-2</v>
      </c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4"/>
      <c r="EK18" s="38"/>
      <c r="EL18" s="36" t="s">
        <v>7</v>
      </c>
      <c r="EM18" s="15">
        <v>5.2999999999999999E-2</v>
      </c>
      <c r="EN18" s="2">
        <v>0.64</v>
      </c>
      <c r="EO18" s="3">
        <f>AVERAGE(0,0.467,0,0.4,0.017,0.3,0.25,0.033)</f>
        <v>0.18337499999999998</v>
      </c>
      <c r="EP18" s="4">
        <v>1.4999999999999999E-2</v>
      </c>
      <c r="EQ18" s="33"/>
      <c r="ER18" s="33"/>
      <c r="ES18" s="33"/>
      <c r="ET18" s="18" t="s">
        <v>7</v>
      </c>
      <c r="EU18" s="69">
        <f t="shared" si="25"/>
        <v>-1.3000000000000005E-2</v>
      </c>
      <c r="EV18" s="12">
        <f t="shared" si="17"/>
        <v>-1.2000000000000011E-2</v>
      </c>
      <c r="EW18" s="69">
        <f t="shared" si="18"/>
        <v>-3.5375000000000018E-2</v>
      </c>
      <c r="EX18" s="69">
        <f>EP18-DO18</f>
        <v>-1.4000000000000002E-2</v>
      </c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4"/>
      <c r="FL18" s="18" t="s">
        <v>7</v>
      </c>
      <c r="FM18" s="2">
        <v>0.53900000000000003</v>
      </c>
      <c r="FN18" s="33">
        <v>0.21278481012658229</v>
      </c>
      <c r="FO18" s="15">
        <v>0.20300000000000001</v>
      </c>
      <c r="FP18" s="15">
        <v>0.14899999999999999</v>
      </c>
      <c r="FQ18" s="15">
        <v>6.6000000000000003E-2</v>
      </c>
      <c r="FR18" s="15">
        <v>5.2999999999999999E-2</v>
      </c>
      <c r="GA18" s="18" t="s">
        <v>7</v>
      </c>
      <c r="GB18" s="2">
        <v>0.627</v>
      </c>
      <c r="GC18" s="33">
        <v>0.64835964568782478</v>
      </c>
      <c r="GD18" s="2">
        <v>0.65300000000000002</v>
      </c>
      <c r="GE18" s="2">
        <v>0.64600000000000002</v>
      </c>
      <c r="GF18" s="2">
        <v>0.65200000000000002</v>
      </c>
      <c r="GG18" s="2">
        <v>0.64</v>
      </c>
      <c r="GP18" s="18" t="s">
        <v>7</v>
      </c>
      <c r="GQ18" s="3">
        <v>0.1585</v>
      </c>
      <c r="GR18" s="3">
        <v>0.205375</v>
      </c>
      <c r="GS18" s="3">
        <v>0.20962500000000001</v>
      </c>
      <c r="GT18" s="3">
        <v>0.22075</v>
      </c>
      <c r="GU18" s="3">
        <v>0.21875</v>
      </c>
      <c r="GV18" s="3">
        <v>0.18337499999999998</v>
      </c>
      <c r="HE18" s="18" t="s">
        <v>7</v>
      </c>
      <c r="HF18" s="4">
        <v>0.14499999999999999</v>
      </c>
      <c r="HG18" s="34">
        <v>7.2752309913637847E-2</v>
      </c>
      <c r="HH18" s="4">
        <v>6.8000000000000005E-2</v>
      </c>
      <c r="HI18" s="4">
        <v>5.1999999999999998E-2</v>
      </c>
      <c r="HJ18" s="4">
        <v>2.9000000000000001E-2</v>
      </c>
      <c r="HK18" s="4">
        <v>1.4999999999999999E-2</v>
      </c>
    </row>
    <row r="19" spans="1:243" ht="30" customHeight="1" thickBot="1" x14ac:dyDescent="0.35">
      <c r="A19" s="36" t="s">
        <v>8</v>
      </c>
      <c r="B19" s="2">
        <v>0.53300000000000003</v>
      </c>
      <c r="C19" s="2">
        <v>0.626</v>
      </c>
      <c r="D19" s="3">
        <f>AVERAGE(1,0,0.006,0,0,0,0,0,)</f>
        <v>0.11177777777777778</v>
      </c>
      <c r="E19" s="4">
        <v>2.1000000000000001E-2</v>
      </c>
      <c r="AB19" s="1" t="s">
        <v>8</v>
      </c>
      <c r="AC19" s="2" t="s">
        <v>72</v>
      </c>
      <c r="AD19" s="2" t="s">
        <v>71</v>
      </c>
      <c r="AE19" s="3" t="s">
        <v>70</v>
      </c>
      <c r="AF19" s="4" t="s">
        <v>69</v>
      </c>
      <c r="AK19" s="36" t="s">
        <v>8</v>
      </c>
      <c r="AL19" s="33">
        <v>8.5142405063291141E-2</v>
      </c>
      <c r="AM19" s="33">
        <v>0.63726744723821604</v>
      </c>
      <c r="AN19" s="3">
        <f>AVERAGE(0,0.558,0.039,0.433,0.257,0.25,0.183,0.15)</f>
        <v>0.23374999999999999</v>
      </c>
      <c r="AO19" s="34">
        <v>3.77505388233116E-2</v>
      </c>
      <c r="AQ19" s="18" t="s">
        <v>8</v>
      </c>
      <c r="AR19" s="69">
        <f t="shared" si="20"/>
        <v>-0.4478575949367089</v>
      </c>
      <c r="AS19" s="57">
        <f t="shared" si="11"/>
        <v>1.1267447238216044E-2</v>
      </c>
      <c r="AT19" s="69">
        <f t="shared" si="12"/>
        <v>0.1219722222222222</v>
      </c>
      <c r="AU19" s="69">
        <f t="shared" si="13"/>
        <v>1.6750538823311598E-2</v>
      </c>
      <c r="BI19" s="36" t="s">
        <v>8</v>
      </c>
      <c r="BJ19" s="15">
        <v>0.17399999999999999</v>
      </c>
      <c r="BK19" s="2">
        <v>0.62</v>
      </c>
      <c r="BL19" s="3">
        <f>AVERAGE(0.047,0.233,0.413,0.125,0.355,0.05,0.133,0.3)</f>
        <v>0.20700000000000002</v>
      </c>
      <c r="BM19" s="4">
        <v>0.05</v>
      </c>
      <c r="BQ19" s="18" t="s">
        <v>8</v>
      </c>
      <c r="BR19" s="69">
        <f t="shared" si="14"/>
        <v>8.8857594936708847E-2</v>
      </c>
      <c r="BS19" s="12">
        <f t="shared" si="14"/>
        <v>-1.7267447238216049E-2</v>
      </c>
      <c r="BT19" s="12">
        <f t="shared" si="14"/>
        <v>-2.6749999999999968E-2</v>
      </c>
      <c r="BU19" s="12">
        <f t="shared" si="14"/>
        <v>1.2249461176688403E-2</v>
      </c>
      <c r="CI19" s="38"/>
      <c r="CJ19" s="36" t="s">
        <v>8</v>
      </c>
      <c r="CK19" s="15">
        <v>8.8999999999999996E-2</v>
      </c>
      <c r="CL19" s="2">
        <v>0.63700000000000001</v>
      </c>
      <c r="CM19" s="3">
        <f>AVERAGE(0,0.583,0.101,0.208,0.205,0.3,0.05,0.283)</f>
        <v>0.21625</v>
      </c>
      <c r="CN19" s="4">
        <v>2.5000000000000001E-2</v>
      </c>
      <c r="CO19" s="33"/>
      <c r="CP19" s="33"/>
      <c r="CQ19" s="33"/>
      <c r="CR19" s="18" t="s">
        <v>8</v>
      </c>
      <c r="CS19" s="69">
        <f t="shared" si="15"/>
        <v>3.8999999999999993E-2</v>
      </c>
      <c r="CT19" s="12">
        <f t="shared" si="15"/>
        <v>0.63700000000000001</v>
      </c>
      <c r="CU19" s="12">
        <f t="shared" si="15"/>
        <v>0.21625</v>
      </c>
      <c r="CV19" s="69">
        <f t="shared" si="15"/>
        <v>2.5000000000000001E-2</v>
      </c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4"/>
      <c r="DJ19" s="38"/>
      <c r="DK19" s="36" t="s">
        <v>8</v>
      </c>
      <c r="DL19" s="15">
        <v>0.13300000000000001</v>
      </c>
      <c r="DM19" s="2">
        <v>0.61199999999999999</v>
      </c>
      <c r="DN19" s="3">
        <f>AVERAGE(0.061,0.275,0.128,0.458,0.24,0.15,0.183,0.417)</f>
        <v>0.23899999999999999</v>
      </c>
      <c r="DO19" s="4">
        <v>0.05</v>
      </c>
      <c r="DP19" s="33"/>
      <c r="DQ19" s="33"/>
      <c r="DR19" s="33"/>
      <c r="DS19" s="18" t="s">
        <v>8</v>
      </c>
      <c r="DT19" s="69">
        <f t="shared" si="21"/>
        <v>4.4000000000000011E-2</v>
      </c>
      <c r="DU19" s="12">
        <f t="shared" si="22"/>
        <v>-2.5000000000000022E-2</v>
      </c>
      <c r="DV19" s="12">
        <f t="shared" si="23"/>
        <v>2.2749999999999992E-2</v>
      </c>
      <c r="DW19" s="12">
        <f t="shared" si="24"/>
        <v>2.5000000000000001E-2</v>
      </c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4"/>
      <c r="EK19" s="38"/>
      <c r="EL19" s="36" t="s">
        <v>8</v>
      </c>
      <c r="EM19" s="15">
        <v>9.2999999999999999E-2</v>
      </c>
      <c r="EN19" s="2">
        <v>0.60499999999999998</v>
      </c>
      <c r="EO19" s="3">
        <f>AVERAGE(0,0.4,0.095,0.4,0.207,0.25,0.283,0.267)</f>
        <v>0.23775000000000002</v>
      </c>
      <c r="EP19" s="4">
        <v>0.04</v>
      </c>
      <c r="EQ19" s="33"/>
      <c r="ER19" s="33"/>
      <c r="ES19" s="33"/>
      <c r="ET19" s="18" t="s">
        <v>8</v>
      </c>
      <c r="EU19" s="69">
        <f t="shared" si="25"/>
        <v>-4.0000000000000008E-2</v>
      </c>
      <c r="EV19" s="12">
        <f t="shared" si="17"/>
        <v>-7.0000000000000062E-3</v>
      </c>
      <c r="EW19" s="12">
        <f t="shared" si="18"/>
        <v>-1.2499999999999734E-3</v>
      </c>
      <c r="EX19" s="12">
        <f t="shared" ref="EX19:EX21" si="26">EP19-DO19</f>
        <v>-1.0000000000000002E-2</v>
      </c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4"/>
      <c r="FL19" s="18" t="s">
        <v>8</v>
      </c>
      <c r="FM19" s="2">
        <v>0.53300000000000003</v>
      </c>
      <c r="FN19" s="33">
        <v>8.5142405063291141E-2</v>
      </c>
      <c r="FO19" s="15">
        <v>0.17399999999999999</v>
      </c>
      <c r="FP19" s="15">
        <v>8.8999999999999996E-2</v>
      </c>
      <c r="FQ19" s="15">
        <v>0.13300000000000001</v>
      </c>
      <c r="FR19" s="15">
        <v>9.2999999999999999E-2</v>
      </c>
      <c r="GA19" s="18" t="s">
        <v>8</v>
      </c>
      <c r="GB19" s="2">
        <v>0.626</v>
      </c>
      <c r="GC19" s="33">
        <v>0.63726744723821604</v>
      </c>
      <c r="GD19" s="2">
        <v>0.62</v>
      </c>
      <c r="GE19" s="2">
        <v>0.63700000000000001</v>
      </c>
      <c r="GF19" s="2">
        <v>0.61199999999999999</v>
      </c>
      <c r="GG19" s="2">
        <v>0.60499999999999998</v>
      </c>
      <c r="GP19" s="18" t="s">
        <v>8</v>
      </c>
      <c r="GQ19" s="3">
        <v>0.11177777777777778</v>
      </c>
      <c r="GR19" s="3">
        <v>0.23374999999999999</v>
      </c>
      <c r="GS19" s="3">
        <v>0.20700000000000002</v>
      </c>
      <c r="GT19" s="3">
        <v>0.21625</v>
      </c>
      <c r="GU19" s="3">
        <v>0.23899999999999999</v>
      </c>
      <c r="GV19" s="3">
        <v>0.23775000000000002</v>
      </c>
      <c r="HE19" s="18" t="s">
        <v>8</v>
      </c>
      <c r="HF19" s="4">
        <v>2.1000000000000001E-2</v>
      </c>
      <c r="HG19" s="34">
        <v>3.77505388233116E-2</v>
      </c>
      <c r="HH19" s="4">
        <v>0.05</v>
      </c>
      <c r="HI19" s="4">
        <v>2.5000000000000001E-2</v>
      </c>
      <c r="HJ19" s="4">
        <v>0.05</v>
      </c>
      <c r="HK19" s="4">
        <v>0.04</v>
      </c>
    </row>
    <row r="20" spans="1:243" ht="30" customHeight="1" thickBot="1" x14ac:dyDescent="0.35">
      <c r="A20" s="36" t="s">
        <v>9</v>
      </c>
      <c r="B20" s="2">
        <v>0.52100000000000002</v>
      </c>
      <c r="C20" s="2">
        <v>0.64500000000000002</v>
      </c>
      <c r="D20" s="3">
        <f>AVERAGE(0.861,0,0.228,0.033,0.033,0,0.083,0.15,)</f>
        <v>0.15422222222222218</v>
      </c>
      <c r="E20" s="4">
        <v>0.152</v>
      </c>
      <c r="AB20" s="1" t="s">
        <v>9</v>
      </c>
      <c r="AC20" s="2" t="s">
        <v>76</v>
      </c>
      <c r="AD20" s="2" t="s">
        <v>75</v>
      </c>
      <c r="AE20" s="3" t="s">
        <v>74</v>
      </c>
      <c r="AF20" s="4" t="s">
        <v>73</v>
      </c>
      <c r="AK20" s="36" t="s">
        <v>9</v>
      </c>
      <c r="AL20" s="33">
        <v>0.11140822784810127</v>
      </c>
      <c r="AM20" s="33">
        <v>0.64026696688272944</v>
      </c>
      <c r="AN20" s="3">
        <f>AVERAGE(0.04,0.208,0.128,0.283,0.131,0.55,0.267,0.3)</f>
        <v>0.23837500000000003</v>
      </c>
      <c r="AO20" s="34">
        <v>3.2384971932155247E-2</v>
      </c>
      <c r="AQ20" s="18" t="s">
        <v>9</v>
      </c>
      <c r="AR20" s="69">
        <f t="shared" si="20"/>
        <v>-0.40959177215189874</v>
      </c>
      <c r="AS20" s="57">
        <f t="shared" si="11"/>
        <v>-4.7330331172705797E-3</v>
      </c>
      <c r="AT20" s="69">
        <f t="shared" si="12"/>
        <v>8.4152777777777854E-2</v>
      </c>
      <c r="AU20" s="69">
        <f t="shared" si="13"/>
        <v>-0.11961502806784474</v>
      </c>
      <c r="BI20" s="36" t="s">
        <v>9</v>
      </c>
      <c r="BJ20" s="15">
        <v>0.158</v>
      </c>
      <c r="BK20" s="2">
        <v>0.625</v>
      </c>
      <c r="BL20" s="3">
        <f>AVERAGE(0.113,0.15,0.24,0.25,0.174,0.1,0.1,0.3)</f>
        <v>0.17837500000000003</v>
      </c>
      <c r="BM20" s="4">
        <v>3.1E-2</v>
      </c>
      <c r="BQ20" s="18" t="s">
        <v>9</v>
      </c>
      <c r="BR20" s="69">
        <f t="shared" si="14"/>
        <v>4.6591772151898733E-2</v>
      </c>
      <c r="BS20" s="12">
        <f t="shared" si="14"/>
        <v>-1.5266966882729438E-2</v>
      </c>
      <c r="BT20" s="69">
        <f t="shared" si="14"/>
        <v>-0.06</v>
      </c>
      <c r="BU20" s="12">
        <f t="shared" si="14"/>
        <v>-1.3849719321552476E-3</v>
      </c>
      <c r="CI20" s="38"/>
      <c r="CJ20" s="36" t="s">
        <v>9</v>
      </c>
      <c r="CK20" s="15">
        <v>0.13400000000000001</v>
      </c>
      <c r="CL20" s="2">
        <v>0.63500000000000001</v>
      </c>
      <c r="CM20" s="3">
        <f>AVERAGE(0.05,0.258,0.224,0.283,0.252,0.1,0.1,0.35)</f>
        <v>0.202125</v>
      </c>
      <c r="CN20" s="4">
        <v>4.1000000000000002E-2</v>
      </c>
      <c r="CO20" s="33"/>
      <c r="CP20" s="33"/>
      <c r="CQ20" s="33"/>
      <c r="CR20" s="18" t="s">
        <v>9</v>
      </c>
      <c r="CS20" s="69">
        <f t="shared" si="15"/>
        <v>0.10300000000000001</v>
      </c>
      <c r="CT20" s="12">
        <f t="shared" si="15"/>
        <v>0.63500000000000001</v>
      </c>
      <c r="CU20" s="12">
        <f t="shared" si="15"/>
        <v>0.202125</v>
      </c>
      <c r="CV20" s="12">
        <f t="shared" si="15"/>
        <v>4.1000000000000002E-2</v>
      </c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4"/>
      <c r="DJ20" s="38"/>
      <c r="DK20" s="36" t="s">
        <v>9</v>
      </c>
      <c r="DL20" s="15">
        <v>9.5000000000000001E-2</v>
      </c>
      <c r="DM20" s="2">
        <v>0.66100000000000003</v>
      </c>
      <c r="DN20" s="3">
        <f>AVERAGE(0.002,0.333,0.078,0.483,0.221,0.3,0.233,0.333)</f>
        <v>0.24787500000000001</v>
      </c>
      <c r="DO20" s="4">
        <v>0.04</v>
      </c>
      <c r="DP20" s="33"/>
      <c r="DQ20" s="33"/>
      <c r="DR20" s="33"/>
      <c r="DS20" s="18" t="s">
        <v>9</v>
      </c>
      <c r="DT20" s="69">
        <f t="shared" si="21"/>
        <v>-3.9000000000000007E-2</v>
      </c>
      <c r="DU20" s="12">
        <f>DM20-CL20</f>
        <v>2.6000000000000023E-2</v>
      </c>
      <c r="DV20" s="69">
        <f t="shared" si="23"/>
        <v>4.5750000000000013E-2</v>
      </c>
      <c r="DW20" s="12">
        <f t="shared" si="24"/>
        <v>-1.0000000000000009E-3</v>
      </c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4"/>
      <c r="EK20" s="38"/>
      <c r="EL20" s="36" t="s">
        <v>9</v>
      </c>
      <c r="EM20" s="15">
        <v>0.14499999999999999</v>
      </c>
      <c r="EN20" s="2">
        <v>0.61199999999999999</v>
      </c>
      <c r="EO20" s="3">
        <f>AVERAGE(0.12,0.25,0.106,0.392,0.124,0.3,0.183,0.283)</f>
        <v>0.21975</v>
      </c>
      <c r="EP20" s="4">
        <v>5.1999999999999998E-2</v>
      </c>
      <c r="EQ20" s="33"/>
      <c r="ER20" s="33"/>
      <c r="ES20" s="33"/>
      <c r="ET20" s="18" t="s">
        <v>9</v>
      </c>
      <c r="EU20" s="69">
        <f t="shared" si="25"/>
        <v>4.9999999999999989E-2</v>
      </c>
      <c r="EV20" s="69">
        <f>EN20-DM20</f>
        <v>-4.9000000000000044E-2</v>
      </c>
      <c r="EW20" s="12">
        <f t="shared" si="18"/>
        <v>-2.8125000000000011E-2</v>
      </c>
      <c r="EX20" s="12">
        <f t="shared" si="26"/>
        <v>1.1999999999999997E-2</v>
      </c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4"/>
      <c r="FL20" s="18" t="s">
        <v>9</v>
      </c>
      <c r="FM20" s="2">
        <v>0.52100000000000002</v>
      </c>
      <c r="FN20" s="33">
        <v>0.11140822784810127</v>
      </c>
      <c r="FO20" s="15">
        <v>0.158</v>
      </c>
      <c r="FP20" s="15">
        <v>0.13400000000000001</v>
      </c>
      <c r="FQ20" s="15">
        <v>9.5000000000000001E-2</v>
      </c>
      <c r="FR20" s="15">
        <v>0.14499999999999999</v>
      </c>
      <c r="GA20" s="18" t="s">
        <v>9</v>
      </c>
      <c r="GB20" s="2">
        <v>0.64500000000000002</v>
      </c>
      <c r="GC20" s="33">
        <v>0.64026696688272944</v>
      </c>
      <c r="GD20" s="2">
        <v>0.625</v>
      </c>
      <c r="GE20" s="2">
        <v>0.63500000000000001</v>
      </c>
      <c r="GF20" s="2">
        <v>0.66100000000000003</v>
      </c>
      <c r="GG20" s="2">
        <v>0.61199999999999999</v>
      </c>
      <c r="GP20" s="18" t="s">
        <v>9</v>
      </c>
      <c r="GQ20" s="3">
        <v>0.15422222222222218</v>
      </c>
      <c r="GR20" s="3">
        <v>0.23837500000000003</v>
      </c>
      <c r="GS20" s="3">
        <v>0.17837500000000003</v>
      </c>
      <c r="GT20" s="3">
        <v>0.202125</v>
      </c>
      <c r="GU20" s="3">
        <v>0.24787500000000001</v>
      </c>
      <c r="GV20" s="3">
        <v>0.21975</v>
      </c>
      <c r="HE20" s="18" t="s">
        <v>9</v>
      </c>
      <c r="HF20" s="4">
        <v>0.152</v>
      </c>
      <c r="HG20" s="34">
        <v>3.2384971932155247E-2</v>
      </c>
      <c r="HH20" s="4">
        <v>3.1E-2</v>
      </c>
      <c r="HI20" s="4">
        <v>4.1000000000000002E-2</v>
      </c>
      <c r="HJ20" s="4">
        <v>0.04</v>
      </c>
      <c r="HK20" s="4">
        <v>5.1999999999999998E-2</v>
      </c>
    </row>
    <row r="21" spans="1:243" ht="30" customHeight="1" thickBot="1" x14ac:dyDescent="0.35">
      <c r="A21" s="36" t="s">
        <v>10</v>
      </c>
      <c r="B21" s="2">
        <v>0.52300000000000002</v>
      </c>
      <c r="C21" s="2">
        <v>0.63400000000000001</v>
      </c>
      <c r="D21" s="3">
        <f>AVERAGE(0.878,0,0.201,0,0.079,0,0.1,0.083)</f>
        <v>0.167625</v>
      </c>
      <c r="E21" s="4">
        <v>0.13500000000000001</v>
      </c>
      <c r="AB21" s="1" t="s">
        <v>10</v>
      </c>
      <c r="AC21" s="2" t="s">
        <v>80</v>
      </c>
      <c r="AD21" s="2" t="s">
        <v>79</v>
      </c>
      <c r="AE21" s="3" t="s">
        <v>78</v>
      </c>
      <c r="AF21" s="4" t="s">
        <v>77</v>
      </c>
      <c r="AK21" s="36" t="s">
        <v>10</v>
      </c>
      <c r="AL21" s="33">
        <v>0.2178164556962025</v>
      </c>
      <c r="AM21" s="33">
        <v>0.62676728637191315</v>
      </c>
      <c r="AN21" s="3">
        <f>AVERAGE(0.137,0.175,0.429,0.183,0.257,0,0.217,0.267)</f>
        <v>0.208125</v>
      </c>
      <c r="AO21" s="34">
        <v>7.6471060734484134E-2</v>
      </c>
      <c r="AQ21" s="18" t="s">
        <v>10</v>
      </c>
      <c r="AR21" s="69">
        <f t="shared" si="20"/>
        <v>-0.30518354430379752</v>
      </c>
      <c r="AS21" s="57">
        <f t="shared" si="11"/>
        <v>-7.232713628086862E-3</v>
      </c>
      <c r="AT21" s="69">
        <f t="shared" si="12"/>
        <v>4.0500000000000008E-2</v>
      </c>
      <c r="AU21" s="69">
        <f t="shared" si="13"/>
        <v>-5.8528939265515875E-2</v>
      </c>
      <c r="BI21" s="36" t="s">
        <v>10</v>
      </c>
      <c r="BJ21" s="15">
        <v>0.21299999999999999</v>
      </c>
      <c r="BK21" s="2">
        <v>0.627</v>
      </c>
      <c r="BL21" s="3">
        <f>AVERAGE(0.137,0.15,0.418,0.183,0.257,0,0.217,0.233)</f>
        <v>0.19937500000000002</v>
      </c>
      <c r="BM21" s="4">
        <v>7.1999999999999995E-2</v>
      </c>
      <c r="BQ21" s="18" t="s">
        <v>10</v>
      </c>
      <c r="BR21" s="12">
        <f t="shared" si="14"/>
        <v>-4.8164556962025096E-3</v>
      </c>
      <c r="BS21" s="12">
        <f t="shared" si="14"/>
        <v>2.3271362808685581E-4</v>
      </c>
      <c r="BT21" s="12">
        <f t="shared" si="14"/>
        <v>-8.74999999999998E-3</v>
      </c>
      <c r="BU21" s="12">
        <f t="shared" si="14"/>
        <v>-4.4710607344841391E-3</v>
      </c>
      <c r="CI21" s="38"/>
      <c r="CJ21" s="36" t="s">
        <v>10</v>
      </c>
      <c r="CK21" s="15">
        <v>0.25</v>
      </c>
      <c r="CL21" s="2">
        <v>0.61399999999999999</v>
      </c>
      <c r="CM21" s="3">
        <f>AVERAGE(0.186,0.117,0.424,0.225,0.302,0.05,0.267,0.333)</f>
        <v>0.23800000000000002</v>
      </c>
      <c r="CN21" s="4">
        <v>9.0999999999999998E-2</v>
      </c>
      <c r="CO21" s="33"/>
      <c r="CP21" s="33"/>
      <c r="CQ21" s="33"/>
      <c r="CR21" s="18" t="s">
        <v>10</v>
      </c>
      <c r="CS21" s="69">
        <f t="shared" si="15"/>
        <v>0.17799999999999999</v>
      </c>
      <c r="CT21" s="12">
        <f t="shared" si="15"/>
        <v>0.61399999999999999</v>
      </c>
      <c r="CU21" s="69">
        <f t="shared" si="15"/>
        <v>0.23800000000000002</v>
      </c>
      <c r="CV21" s="12">
        <f t="shared" si="15"/>
        <v>9.0999999999999998E-2</v>
      </c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4"/>
      <c r="DJ21" s="38"/>
      <c r="DK21" s="36" t="s">
        <v>10</v>
      </c>
      <c r="DL21" s="15">
        <v>9.5000000000000001E-2</v>
      </c>
      <c r="DM21" s="2">
        <v>0.65700000000000003</v>
      </c>
      <c r="DN21" s="3">
        <f>AVERAGE(0.023,0.208,0.022,0.65,0.21,0.35,0.4,0.233)</f>
        <v>0.26200000000000001</v>
      </c>
      <c r="DO21" s="4">
        <v>0.04</v>
      </c>
      <c r="DP21" s="33"/>
      <c r="DQ21" s="33"/>
      <c r="DR21" s="33"/>
      <c r="DS21" s="18" t="s">
        <v>10</v>
      </c>
      <c r="DT21" s="69">
        <f t="shared" si="21"/>
        <v>-0.155</v>
      </c>
      <c r="DU21" s="69">
        <f t="shared" si="22"/>
        <v>4.3000000000000038E-2</v>
      </c>
      <c r="DV21" s="12">
        <f t="shared" si="23"/>
        <v>2.3999999999999994E-2</v>
      </c>
      <c r="DW21" s="69">
        <f t="shared" si="24"/>
        <v>-5.0999999999999997E-2</v>
      </c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4"/>
      <c r="EK21" s="38"/>
      <c r="EL21" s="36" t="s">
        <v>10</v>
      </c>
      <c r="EM21" s="15">
        <v>0.217</v>
      </c>
      <c r="EN21" s="2">
        <v>0.61499999999999999</v>
      </c>
      <c r="EO21" s="3">
        <f>AVERAGE(0.181,0.217,0.301,0.217,0.174,0.25,0.367,0.15)</f>
        <v>0.232125</v>
      </c>
      <c r="EP21" s="4">
        <v>8.2000000000000003E-2</v>
      </c>
      <c r="EQ21" s="33"/>
      <c r="ER21" s="33"/>
      <c r="ES21" s="33"/>
      <c r="ET21" s="18" t="s">
        <v>10</v>
      </c>
      <c r="EU21" s="69">
        <f t="shared" si="25"/>
        <v>0.122</v>
      </c>
      <c r="EV21" s="69">
        <f t="shared" ref="EV21:EV22" si="27">EN21-DM21</f>
        <v>-4.2000000000000037E-2</v>
      </c>
      <c r="EW21" s="12">
        <f t="shared" si="18"/>
        <v>-2.9875000000000013E-2</v>
      </c>
      <c r="EX21" s="69">
        <f t="shared" si="26"/>
        <v>4.2000000000000003E-2</v>
      </c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4"/>
      <c r="FL21" s="18" t="s">
        <v>10</v>
      </c>
      <c r="FM21" s="2">
        <v>0.52300000000000002</v>
      </c>
      <c r="FN21" s="33">
        <v>0.2178164556962025</v>
      </c>
      <c r="FO21" s="15">
        <v>0.21299999999999999</v>
      </c>
      <c r="FP21" s="15">
        <v>0.25</v>
      </c>
      <c r="FQ21" s="15">
        <v>9.5000000000000001E-2</v>
      </c>
      <c r="FR21" s="15">
        <v>0.217</v>
      </c>
      <c r="GA21" s="18" t="s">
        <v>10</v>
      </c>
      <c r="GB21" s="2">
        <v>0.63400000000000001</v>
      </c>
      <c r="GC21" s="33">
        <v>0.62676728637191315</v>
      </c>
      <c r="GD21" s="2">
        <v>0.627</v>
      </c>
      <c r="GE21" s="2">
        <v>0.61399999999999999</v>
      </c>
      <c r="GF21" s="2">
        <v>0.65700000000000003</v>
      </c>
      <c r="GG21" s="2">
        <v>0.61499999999999999</v>
      </c>
      <c r="GP21" s="18" t="s">
        <v>10</v>
      </c>
      <c r="GQ21" s="3">
        <v>0.167625</v>
      </c>
      <c r="GR21" s="3">
        <v>0.208125</v>
      </c>
      <c r="GS21" s="3">
        <v>0.19937500000000002</v>
      </c>
      <c r="GT21" s="3">
        <v>0.23800000000000002</v>
      </c>
      <c r="GU21" s="3">
        <v>0.26200000000000001</v>
      </c>
      <c r="GV21" s="3">
        <v>0.232125</v>
      </c>
      <c r="HE21" s="18" t="s">
        <v>10</v>
      </c>
      <c r="HF21" s="4">
        <v>0.13500000000000001</v>
      </c>
      <c r="HG21" s="34">
        <v>7.6471060734484134E-2</v>
      </c>
      <c r="HH21" s="4">
        <v>7.1999999999999995E-2</v>
      </c>
      <c r="HI21" s="4">
        <v>9.0999999999999998E-2</v>
      </c>
      <c r="HJ21" s="4">
        <v>0.04</v>
      </c>
      <c r="HK21" s="4">
        <v>8.2000000000000003E-2</v>
      </c>
    </row>
    <row r="22" spans="1:243" ht="30" customHeight="1" thickBot="1" x14ac:dyDescent="0.35">
      <c r="A22" s="37" t="s">
        <v>11</v>
      </c>
      <c r="B22" s="6">
        <v>0.49199999999999999</v>
      </c>
      <c r="C22" s="6">
        <v>0.622</v>
      </c>
      <c r="D22" s="7">
        <f>AVERAGE(0.781,0,0.245,0.092,0.093,0.15,0.15,0.1,)</f>
        <v>0.17899999999999999</v>
      </c>
      <c r="E22" s="8">
        <v>0.158</v>
      </c>
      <c r="AB22" s="5" t="s">
        <v>11</v>
      </c>
      <c r="AC22" s="6" t="s">
        <v>84</v>
      </c>
      <c r="AD22" s="6" t="s">
        <v>83</v>
      </c>
      <c r="AE22" s="7" t="s">
        <v>82</v>
      </c>
      <c r="AF22" s="8" t="s">
        <v>81</v>
      </c>
      <c r="AK22" s="45" t="s">
        <v>11</v>
      </c>
      <c r="AL22" s="46">
        <v>0.21526898734177213</v>
      </c>
      <c r="AM22" s="46">
        <v>0.63251089299230212</v>
      </c>
      <c r="AN22" s="7">
        <f>AVERAGE(0.16,0.092,0.351,0.217,0.255,0.2,0.25,0.25)</f>
        <v>0.22187499999999999</v>
      </c>
      <c r="AO22" s="47">
        <v>6.8727373028370536E-2</v>
      </c>
      <c r="AQ22" s="19" t="s">
        <v>11</v>
      </c>
      <c r="AR22" s="69">
        <f t="shared" si="20"/>
        <v>-0.27673101265822786</v>
      </c>
      <c r="AS22" s="57">
        <f t="shared" si="11"/>
        <v>1.0510892992302123E-2</v>
      </c>
      <c r="AT22" s="57">
        <f t="shared" si="12"/>
        <v>4.2874999999999996E-2</v>
      </c>
      <c r="AU22" s="69">
        <f t="shared" si="13"/>
        <v>-8.9272626971629465E-2</v>
      </c>
      <c r="BI22" s="45" t="s">
        <v>11</v>
      </c>
      <c r="BJ22" s="17">
        <v>0.189</v>
      </c>
      <c r="BK22" s="6">
        <v>0.622</v>
      </c>
      <c r="BL22" s="7">
        <f>AVERAGE(0.151,0.033,0.334,0.133,0.193,0.1,0.1,0.25)</f>
        <v>0.16175</v>
      </c>
      <c r="BM22" s="8">
        <v>3.1E-2</v>
      </c>
      <c r="BQ22" s="19" t="s">
        <v>11</v>
      </c>
      <c r="BR22" s="69">
        <f t="shared" si="14"/>
        <v>-2.6268987341772132E-2</v>
      </c>
      <c r="BS22" s="12">
        <f t="shared" si="14"/>
        <v>-1.0510892992302123E-2</v>
      </c>
      <c r="BT22" s="69">
        <f t="shared" si="14"/>
        <v>-6.0124999999999984E-2</v>
      </c>
      <c r="BU22" s="69">
        <f t="shared" si="14"/>
        <v>-3.7727373028370537E-2</v>
      </c>
      <c r="CI22" s="38"/>
      <c r="CJ22" s="45" t="s">
        <v>11</v>
      </c>
      <c r="CK22" s="17">
        <v>0.214</v>
      </c>
      <c r="CL22" s="6">
        <v>0.59899999999999998</v>
      </c>
      <c r="CM22" s="7">
        <f>AVERAGE(0.165,0.15,0.357,0.192,0.233,0.15,0.1,0.267)</f>
        <v>0.20174999999999998</v>
      </c>
      <c r="CN22" s="8">
        <v>6.5000000000000002E-2</v>
      </c>
      <c r="CO22" s="33"/>
      <c r="CP22" s="33"/>
      <c r="CQ22" s="33"/>
      <c r="CR22" s="19" t="s">
        <v>11</v>
      </c>
      <c r="CS22" s="12">
        <f t="shared" si="15"/>
        <v>0.183</v>
      </c>
      <c r="CT22" s="69">
        <f t="shared" si="15"/>
        <v>0.59899999999999998</v>
      </c>
      <c r="CU22" s="69">
        <f t="shared" si="15"/>
        <v>0.20174999999999998</v>
      </c>
      <c r="CV22" s="69">
        <f t="shared" si="15"/>
        <v>6.5000000000000002E-2</v>
      </c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4"/>
      <c r="DJ22" s="38"/>
      <c r="DK22" s="45" t="s">
        <v>11</v>
      </c>
      <c r="DL22" s="17">
        <v>0.11799999999999999</v>
      </c>
      <c r="DM22" s="6">
        <v>0.63600000000000001</v>
      </c>
      <c r="DN22" s="7">
        <f>AVERAGE(0.056,0.208,0.139,0.275,0.174,0.1,0.233,0.417)</f>
        <v>0.20025000000000001</v>
      </c>
      <c r="DO22" s="8">
        <v>3.4000000000000002E-2</v>
      </c>
      <c r="DP22" s="33"/>
      <c r="DQ22" s="33"/>
      <c r="DR22" s="33"/>
      <c r="DS22" s="19" t="s">
        <v>11</v>
      </c>
      <c r="DT22" s="69">
        <f t="shared" si="21"/>
        <v>-9.6000000000000002E-2</v>
      </c>
      <c r="DU22" s="69">
        <f t="shared" si="22"/>
        <v>3.7000000000000033E-2</v>
      </c>
      <c r="DV22" s="12">
        <f t="shared" si="23"/>
        <v>-1.4999999999999736E-3</v>
      </c>
      <c r="DW22" s="12">
        <f>DO22-CN22</f>
        <v>-3.1E-2</v>
      </c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4"/>
      <c r="EK22" s="38"/>
      <c r="EL22" s="45" t="s">
        <v>11</v>
      </c>
      <c r="EM22" s="17">
        <v>0.16300000000000001</v>
      </c>
      <c r="EN22" s="6">
        <v>0.60399999999999998</v>
      </c>
      <c r="EO22" s="7">
        <f>AVERAGE(0.125,0.258,0.218,0.158,0.188,0.1,0.183,0.283)</f>
        <v>0.18912500000000002</v>
      </c>
      <c r="EP22" s="8">
        <v>0.04</v>
      </c>
      <c r="EQ22" s="33"/>
      <c r="ER22" s="33"/>
      <c r="ES22" s="33"/>
      <c r="ET22" s="19" t="s">
        <v>11</v>
      </c>
      <c r="EU22" s="69">
        <f t="shared" si="25"/>
        <v>4.5000000000000012E-2</v>
      </c>
      <c r="EV22" s="12">
        <f t="shared" si="27"/>
        <v>-3.2000000000000028E-2</v>
      </c>
      <c r="EW22" s="12">
        <f t="shared" si="18"/>
        <v>-1.1124999999999996E-2</v>
      </c>
      <c r="EX22" s="12">
        <f>EP22-DO22</f>
        <v>5.9999999999999984E-3</v>
      </c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4"/>
      <c r="FL22" s="19" t="s">
        <v>11</v>
      </c>
      <c r="FM22" s="6">
        <v>0.49199999999999999</v>
      </c>
      <c r="FN22" s="46">
        <v>0.21526898734177213</v>
      </c>
      <c r="FO22" s="17">
        <v>0.189</v>
      </c>
      <c r="FP22" s="17">
        <v>0.214</v>
      </c>
      <c r="FQ22" s="17">
        <v>0.11799999999999999</v>
      </c>
      <c r="FR22" s="17">
        <v>0.16300000000000001</v>
      </c>
      <c r="GA22" s="19" t="s">
        <v>11</v>
      </c>
      <c r="GB22" s="6">
        <v>0.622</v>
      </c>
      <c r="GC22" s="46">
        <v>0.63251089299230212</v>
      </c>
      <c r="GD22" s="6">
        <v>0.622</v>
      </c>
      <c r="GE22" s="6">
        <v>0.59899999999999998</v>
      </c>
      <c r="GF22" s="6">
        <v>0.63600000000000001</v>
      </c>
      <c r="GG22" s="6">
        <v>0.60399999999999998</v>
      </c>
      <c r="GP22" s="19" t="s">
        <v>11</v>
      </c>
      <c r="GQ22" s="7">
        <v>0.17899999999999999</v>
      </c>
      <c r="GR22" s="7">
        <v>0.22187499999999999</v>
      </c>
      <c r="GS22" s="7">
        <v>0.16175</v>
      </c>
      <c r="GT22" s="7">
        <v>0.20174999999999998</v>
      </c>
      <c r="GU22" s="7">
        <v>0.20025000000000001</v>
      </c>
      <c r="GV22" s="7">
        <v>0.18912500000000002</v>
      </c>
      <c r="HE22" s="19" t="s">
        <v>11</v>
      </c>
      <c r="HF22" s="8">
        <v>0.158</v>
      </c>
      <c r="HG22" s="47">
        <v>6.8727373028370536E-2</v>
      </c>
      <c r="HH22" s="8">
        <v>3.1E-2</v>
      </c>
      <c r="HI22" s="8">
        <v>6.5000000000000002E-2</v>
      </c>
      <c r="HJ22" s="8">
        <v>3.4000000000000002E-2</v>
      </c>
      <c r="HK22" s="8">
        <v>0.04</v>
      </c>
    </row>
    <row r="23" spans="1:243" s="68" customFormat="1" ht="30" customHeight="1" thickBot="1" x14ac:dyDescent="0.35">
      <c r="A23" s="64"/>
      <c r="B23" s="65"/>
      <c r="C23" s="65"/>
      <c r="D23" s="66"/>
      <c r="E23" s="65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67"/>
      <c r="AB23" s="66"/>
      <c r="AC23" s="65"/>
      <c r="AD23" s="65"/>
      <c r="AE23" s="66"/>
      <c r="AF23" s="65"/>
      <c r="AG23" s="59"/>
      <c r="AH23" s="59"/>
      <c r="AI23" s="60"/>
      <c r="AJ23" s="67"/>
      <c r="AK23" s="66"/>
      <c r="AL23" s="59"/>
      <c r="AM23" s="59"/>
      <c r="AN23" s="66"/>
      <c r="AO23" s="59"/>
      <c r="AP23" s="59"/>
      <c r="AQ23" s="66"/>
      <c r="AR23" s="65"/>
      <c r="AS23" s="65"/>
      <c r="AT23" s="65"/>
      <c r="AU23" s="65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0"/>
      <c r="BH23" s="67"/>
      <c r="BI23" s="66"/>
      <c r="BJ23" s="65"/>
      <c r="BK23" s="65"/>
      <c r="BL23" s="66"/>
      <c r="BM23" s="65"/>
      <c r="BN23" s="59"/>
      <c r="BO23" s="66"/>
      <c r="BP23" s="65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60"/>
      <c r="CI23" s="67"/>
      <c r="CJ23" s="66"/>
      <c r="CK23" s="65"/>
      <c r="CL23" s="65"/>
      <c r="CM23" s="66"/>
      <c r="CN23" s="65"/>
      <c r="CO23" s="59"/>
      <c r="CP23" s="66"/>
      <c r="CQ23" s="65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60"/>
      <c r="DJ23" s="67"/>
      <c r="DK23" s="66"/>
      <c r="DL23" s="65"/>
      <c r="DM23" s="65"/>
      <c r="DN23" s="66"/>
      <c r="DO23" s="65"/>
      <c r="DP23" s="59"/>
      <c r="DQ23" s="66"/>
      <c r="DR23" s="65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60"/>
      <c r="EK23" s="67"/>
      <c r="EL23" s="66"/>
      <c r="EM23" s="65"/>
      <c r="EN23" s="65"/>
      <c r="EO23" s="66"/>
      <c r="EP23" s="65"/>
      <c r="EQ23" s="59"/>
      <c r="ER23" s="66"/>
      <c r="ES23" s="65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60"/>
    </row>
    <row r="24" spans="1:243" s="33" customFormat="1" ht="30" customHeight="1" thickBot="1" x14ac:dyDescent="0.35">
      <c r="A24" s="38"/>
      <c r="Z24" s="34"/>
      <c r="AA24" s="38"/>
      <c r="AI24" s="34"/>
      <c r="AJ24" s="38"/>
      <c r="BG24" s="34"/>
      <c r="BH24" s="38"/>
      <c r="BQ24" s="71" t="s">
        <v>120</v>
      </c>
      <c r="BR24" s="72"/>
      <c r="BS24" s="72"/>
      <c r="BT24" s="72"/>
      <c r="BU24" s="72"/>
      <c r="BV24" s="72"/>
      <c r="BW24" s="73"/>
      <c r="CH24" s="34"/>
      <c r="CI24" s="38"/>
      <c r="CR24" s="71" t="s">
        <v>120</v>
      </c>
      <c r="CS24" s="72"/>
      <c r="CT24" s="72"/>
      <c r="CU24" s="72"/>
      <c r="CV24" s="72"/>
      <c r="CW24" s="72"/>
      <c r="CX24" s="73"/>
      <c r="DI24" s="34"/>
      <c r="DJ24" s="38"/>
      <c r="DS24" s="71" t="s">
        <v>120</v>
      </c>
      <c r="DT24" s="72"/>
      <c r="DU24" s="72"/>
      <c r="DV24" s="72"/>
      <c r="DW24" s="72"/>
      <c r="DX24" s="72"/>
      <c r="DY24" s="73"/>
      <c r="EJ24" s="34"/>
      <c r="EK24" s="38"/>
      <c r="ET24" s="71" t="s">
        <v>120</v>
      </c>
      <c r="EU24" s="72"/>
      <c r="EV24" s="72"/>
      <c r="EW24" s="72"/>
      <c r="EX24" s="72"/>
      <c r="EY24" s="72"/>
      <c r="EZ24" s="73"/>
      <c r="FK24" s="34"/>
    </row>
    <row r="25" spans="1:243" ht="30" customHeight="1" thickBot="1" x14ac:dyDescent="0.35">
      <c r="A25" s="35"/>
      <c r="B25" s="10" t="s">
        <v>20</v>
      </c>
      <c r="C25" s="10" t="s">
        <v>12</v>
      </c>
      <c r="D25" s="11" t="s">
        <v>221</v>
      </c>
      <c r="E25" s="11"/>
      <c r="O25" s="10" t="s">
        <v>0</v>
      </c>
      <c r="P25" s="10" t="s">
        <v>3</v>
      </c>
      <c r="Q25" s="11" t="s">
        <v>2</v>
      </c>
      <c r="AB25" s="9"/>
      <c r="AC25" s="10" t="s">
        <v>20</v>
      </c>
      <c r="AD25" s="10" t="s">
        <v>12</v>
      </c>
      <c r="AE25" s="11" t="s">
        <v>25</v>
      </c>
      <c r="AF25" s="10" t="s">
        <v>0</v>
      </c>
      <c r="AG25" s="10" t="s">
        <v>3</v>
      </c>
      <c r="AH25" s="11" t="s">
        <v>2</v>
      </c>
      <c r="AK25" s="9"/>
      <c r="AL25" s="10" t="s">
        <v>20</v>
      </c>
      <c r="AM25" s="10" t="s">
        <v>12</v>
      </c>
      <c r="AN25" s="11" t="s">
        <v>25</v>
      </c>
      <c r="AO25" s="10" t="s">
        <v>0</v>
      </c>
      <c r="AP25" s="10" t="s">
        <v>3</v>
      </c>
      <c r="AQ25" s="11" t="s">
        <v>2</v>
      </c>
      <c r="BI25" s="9"/>
      <c r="BJ25" s="10" t="s">
        <v>20</v>
      </c>
      <c r="BK25" s="10" t="s">
        <v>12</v>
      </c>
      <c r="BL25" s="11" t="s">
        <v>25</v>
      </c>
      <c r="BM25" s="10" t="s">
        <v>0</v>
      </c>
      <c r="BN25" s="10" t="s">
        <v>2</v>
      </c>
      <c r="BO25" s="10" t="s">
        <v>3</v>
      </c>
      <c r="BQ25" s="41"/>
      <c r="BR25" s="62" t="s">
        <v>20</v>
      </c>
      <c r="BS25" s="62" t="s">
        <v>12</v>
      </c>
      <c r="BT25" s="63" t="s">
        <v>25</v>
      </c>
      <c r="BU25" s="41"/>
      <c r="BV25" s="62" t="s">
        <v>0</v>
      </c>
      <c r="BW25" s="10" t="s">
        <v>2</v>
      </c>
      <c r="BX25" s="10" t="s">
        <v>3</v>
      </c>
      <c r="CI25" s="38"/>
      <c r="CJ25" s="9"/>
      <c r="CK25" s="10" t="s">
        <v>20</v>
      </c>
      <c r="CL25" s="10" t="s">
        <v>12</v>
      </c>
      <c r="CM25" s="11" t="s">
        <v>25</v>
      </c>
      <c r="CN25" s="10" t="s">
        <v>0</v>
      </c>
      <c r="CO25" s="10" t="s">
        <v>2</v>
      </c>
      <c r="CP25" s="44" t="s">
        <v>3</v>
      </c>
      <c r="CQ25" s="33"/>
      <c r="CR25" s="41"/>
      <c r="CS25" s="62" t="s">
        <v>20</v>
      </c>
      <c r="CT25" s="62" t="s">
        <v>12</v>
      </c>
      <c r="CU25" s="63" t="s">
        <v>25</v>
      </c>
      <c r="CV25" s="41"/>
      <c r="CW25" s="62" t="s">
        <v>0</v>
      </c>
      <c r="CX25" s="62" t="s">
        <v>2</v>
      </c>
      <c r="CY25" s="62" t="s">
        <v>3</v>
      </c>
      <c r="CZ25" s="33"/>
      <c r="DA25" s="33"/>
      <c r="DB25" s="33"/>
      <c r="DC25" s="33"/>
      <c r="DD25" s="33"/>
      <c r="DE25" s="33"/>
      <c r="DF25" s="33"/>
      <c r="DG25" s="33"/>
      <c r="DH25" s="33"/>
      <c r="DI25" s="34"/>
      <c r="DJ25" s="38"/>
      <c r="DK25" s="9"/>
      <c r="DL25" s="10" t="s">
        <v>20</v>
      </c>
      <c r="DM25" s="10" t="s">
        <v>12</v>
      </c>
      <c r="DN25" s="11" t="s">
        <v>25</v>
      </c>
      <c r="DO25" s="10" t="s">
        <v>0</v>
      </c>
      <c r="DP25" s="10" t="s">
        <v>2</v>
      </c>
      <c r="DQ25" s="44" t="s">
        <v>3</v>
      </c>
      <c r="DR25" s="33"/>
      <c r="DS25" s="41"/>
      <c r="DT25" s="62" t="s">
        <v>20</v>
      </c>
      <c r="DU25" s="62" t="s">
        <v>12</v>
      </c>
      <c r="DV25" s="63" t="s">
        <v>25</v>
      </c>
      <c r="DW25" s="41"/>
      <c r="DX25" s="62" t="s">
        <v>0</v>
      </c>
      <c r="DY25" s="10" t="s">
        <v>2</v>
      </c>
      <c r="DZ25" s="10" t="s">
        <v>3</v>
      </c>
      <c r="EA25" s="33"/>
      <c r="EB25" s="33"/>
      <c r="EC25" s="33"/>
      <c r="ED25" s="33"/>
      <c r="EE25" s="33"/>
      <c r="EF25" s="33"/>
      <c r="EG25" s="33"/>
      <c r="EH25" s="33"/>
      <c r="EI25" s="33"/>
      <c r="EJ25" s="34"/>
      <c r="EK25" s="38"/>
      <c r="EL25" s="9"/>
      <c r="EM25" s="10" t="s">
        <v>20</v>
      </c>
      <c r="EN25" s="10" t="s">
        <v>12</v>
      </c>
      <c r="EO25" s="11" t="s">
        <v>25</v>
      </c>
      <c r="EP25" s="10" t="s">
        <v>0</v>
      </c>
      <c r="EQ25" s="10" t="s">
        <v>2</v>
      </c>
      <c r="ER25" s="44" t="s">
        <v>3</v>
      </c>
      <c r="ES25" s="33"/>
      <c r="ET25" s="41"/>
      <c r="EU25" s="62" t="s">
        <v>20</v>
      </c>
      <c r="EV25" s="62" t="s">
        <v>12</v>
      </c>
      <c r="EW25" s="63" t="s">
        <v>25</v>
      </c>
      <c r="EX25" s="41"/>
      <c r="EY25" s="62" t="s">
        <v>0</v>
      </c>
      <c r="EZ25" s="62" t="s">
        <v>2</v>
      </c>
      <c r="FA25" s="62" t="s">
        <v>3</v>
      </c>
      <c r="FB25" s="33"/>
      <c r="FC25" s="33"/>
      <c r="FD25" s="33"/>
      <c r="FE25" s="33"/>
      <c r="FF25" s="33"/>
      <c r="FG25" s="33"/>
      <c r="FH25" s="33"/>
      <c r="FI25" s="33"/>
      <c r="FJ25" s="33"/>
      <c r="FK25" s="34"/>
    </row>
    <row r="26" spans="1:243" ht="30" customHeight="1" thickBot="1" x14ac:dyDescent="0.35">
      <c r="A26" s="36" t="s">
        <v>13</v>
      </c>
      <c r="B26" s="12">
        <v>1.391</v>
      </c>
      <c r="C26" s="13">
        <v>1.7989999999999999</v>
      </c>
      <c r="D26" s="14">
        <v>8.5000000000000006E-2</v>
      </c>
      <c r="N26" s="1" t="s">
        <v>13</v>
      </c>
      <c r="O26" s="12">
        <v>0.32500000000000001</v>
      </c>
      <c r="P26" s="12">
        <v>8.5999999999999993E-2</v>
      </c>
      <c r="Q26" s="12">
        <f>AVERAGE(0.502,0.495,0.14,0.037,0.038,0.1,0.033,0,)</f>
        <v>0.14944444444444444</v>
      </c>
      <c r="AB26" s="1" t="s">
        <v>13</v>
      </c>
      <c r="AC26" s="12" t="s">
        <v>125</v>
      </c>
      <c r="AD26" s="13" t="s">
        <v>136</v>
      </c>
      <c r="AE26" s="14" t="s">
        <v>147</v>
      </c>
      <c r="AF26" s="12" t="s">
        <v>158</v>
      </c>
      <c r="AG26" s="13" t="s">
        <v>169</v>
      </c>
      <c r="AH26" s="14" t="s">
        <v>180</v>
      </c>
      <c r="AK26" s="1" t="s">
        <v>13</v>
      </c>
      <c r="AL26" s="48"/>
      <c r="AM26" s="49"/>
      <c r="AN26" s="50"/>
      <c r="AO26" s="48"/>
      <c r="AP26" s="49"/>
      <c r="AQ26" s="50"/>
      <c r="BI26" s="1" t="s">
        <v>13</v>
      </c>
      <c r="BJ26" s="12">
        <v>171453068240.11301</v>
      </c>
      <c r="BK26" s="61">
        <v>1356669348569.3999</v>
      </c>
      <c r="BL26" s="14">
        <v>-2.8640438780803798E+24</v>
      </c>
      <c r="BM26" s="58">
        <v>0.33800000000000002</v>
      </c>
      <c r="BN26" s="61">
        <f>AVERAGE(0.506,0.462,0.179,0.037,0.038,0.1,0.083,0.017)</f>
        <v>0.17774999999999999</v>
      </c>
      <c r="BO26" s="61">
        <v>9.4E-2</v>
      </c>
      <c r="BQ26" s="1" t="s">
        <v>13</v>
      </c>
      <c r="BR26" s="12">
        <f>BJ26-B26</f>
        <v>171453068238.72202</v>
      </c>
      <c r="BS26" s="12">
        <f t="shared" ref="BS26:BT36" si="28">BK26-C26</f>
        <v>1356669348567.6008</v>
      </c>
      <c r="BT26" s="12">
        <f t="shared" si="28"/>
        <v>-2.8640438780803798E+24</v>
      </c>
      <c r="BU26" s="1" t="s">
        <v>13</v>
      </c>
      <c r="BV26" s="70">
        <f t="shared" ref="BV26:BV36" si="29">BM26-O26</f>
        <v>1.3000000000000012E-2</v>
      </c>
      <c r="BW26" s="61">
        <f>BN26-Q26</f>
        <v>2.8305555555555556E-2</v>
      </c>
      <c r="BX26" s="61">
        <f>BO26-P26</f>
        <v>8.0000000000000071E-3</v>
      </c>
      <c r="CI26" s="38"/>
      <c r="CJ26" s="1" t="s">
        <v>13</v>
      </c>
      <c r="CK26" s="12">
        <v>1060499440.368</v>
      </c>
      <c r="CL26" s="13">
        <v>9316319367.2439995</v>
      </c>
      <c r="CM26" s="14">
        <v>-2.5623807886219602E+20</v>
      </c>
      <c r="CN26" s="15">
        <v>0.318</v>
      </c>
      <c r="CO26" s="15">
        <f>AVERAGE(0.474,0.468,0.177,0.037,0.038,0.1,0.033,0.05)</f>
        <v>0.172125</v>
      </c>
      <c r="CP26" s="15">
        <v>8.7999999999999995E-2</v>
      </c>
      <c r="CQ26" s="33"/>
      <c r="CR26" s="1" t="s">
        <v>13</v>
      </c>
      <c r="CS26" s="12">
        <f>CK26-BJ26</f>
        <v>-170392568799.745</v>
      </c>
      <c r="CT26" s="12">
        <f t="shared" ref="CT26:CU36" si="30">CL26-BK26</f>
        <v>-1347353029202.156</v>
      </c>
      <c r="CU26" s="12">
        <f t="shared" si="30"/>
        <v>2.8637876400015176E+24</v>
      </c>
      <c r="CV26" s="1" t="s">
        <v>13</v>
      </c>
      <c r="CW26" s="70">
        <f>CN26-BM26</f>
        <v>-2.0000000000000018E-2</v>
      </c>
      <c r="CX26" s="2">
        <f>CO26-BN26</f>
        <v>-5.6249999999999911E-3</v>
      </c>
      <c r="CY26" s="2">
        <f>CP26-BO26</f>
        <v>-6.0000000000000053E-3</v>
      </c>
      <c r="CZ26" s="33"/>
      <c r="DA26" s="33"/>
      <c r="DB26" s="33"/>
      <c r="DC26" s="33"/>
      <c r="DD26" s="33"/>
      <c r="DE26" s="33"/>
      <c r="DF26" s="33"/>
      <c r="DG26" s="33"/>
      <c r="DH26" s="33"/>
      <c r="DI26" s="34"/>
      <c r="DJ26" s="38"/>
      <c r="DK26" s="1" t="s">
        <v>13</v>
      </c>
      <c r="DL26" s="12">
        <v>1.2989999999999999</v>
      </c>
      <c r="DM26" s="13">
        <v>1.673</v>
      </c>
      <c r="DN26" s="14">
        <v>0.20899999999999999</v>
      </c>
      <c r="DO26" s="2">
        <v>0.34699999999999998</v>
      </c>
      <c r="DP26" s="2">
        <f>AVERAGE(0.536,0.348,0.14,0.107,0.027,0.058,0.083,0.05)</f>
        <v>0.168625</v>
      </c>
      <c r="DQ26" s="2">
        <v>0.12</v>
      </c>
      <c r="DR26" s="33"/>
      <c r="DS26" s="1" t="s">
        <v>13</v>
      </c>
      <c r="DT26" s="69">
        <f>DL26-CK26</f>
        <v>-1060499439.069</v>
      </c>
      <c r="DU26" s="69">
        <f t="shared" ref="DU26:DV26" si="31">DM26-CL26</f>
        <v>-9316319365.5709991</v>
      </c>
      <c r="DV26" s="69">
        <f t="shared" si="31"/>
        <v>2.5623807886219602E+20</v>
      </c>
      <c r="DW26" s="1" t="s">
        <v>13</v>
      </c>
      <c r="DX26" s="70">
        <f>DO26-CN26</f>
        <v>2.899999999999997E-2</v>
      </c>
      <c r="DY26" s="13">
        <f>DP26-CO26</f>
        <v>-3.5000000000000031E-3</v>
      </c>
      <c r="DZ26" s="13">
        <f t="shared" ref="DZ26" si="32">DQ26-CP26</f>
        <v>3.2000000000000001E-2</v>
      </c>
      <c r="EA26" s="33"/>
      <c r="EB26" s="33"/>
      <c r="EC26" s="33"/>
      <c r="ED26" s="33"/>
      <c r="EE26" s="33"/>
      <c r="EF26" s="33"/>
      <c r="EG26" s="33"/>
      <c r="EH26" s="33"/>
      <c r="EI26" s="33"/>
      <c r="EJ26" s="34"/>
      <c r="EK26" s="38"/>
      <c r="EL26" s="1" t="s">
        <v>13</v>
      </c>
      <c r="EM26" s="12">
        <v>1.292</v>
      </c>
      <c r="EN26" s="13">
        <v>1.6619999999999999</v>
      </c>
      <c r="EO26" s="14">
        <v>0.219</v>
      </c>
      <c r="EP26" s="2">
        <v>0.34799999999999998</v>
      </c>
      <c r="EQ26" s="2">
        <f>AVERAGE(0.532,0.332,0.155,0.087,0.055,0.133,0.025,0.05)</f>
        <v>0.171125</v>
      </c>
      <c r="ER26" s="2">
        <v>0.11700000000000001</v>
      </c>
      <c r="ES26" s="33"/>
      <c r="ET26" s="1" t="s">
        <v>13</v>
      </c>
      <c r="EU26" s="12">
        <f>EM26-DL26</f>
        <v>-6.9999999999998952E-3</v>
      </c>
      <c r="EV26" s="12">
        <f t="shared" ref="EV26:EV36" si="33">EN26-DM26</f>
        <v>-1.1000000000000121E-2</v>
      </c>
      <c r="EW26" s="12">
        <f t="shared" ref="EW26:EW35" si="34">EO26-DN26</f>
        <v>1.0000000000000009E-2</v>
      </c>
      <c r="EX26" s="1" t="s">
        <v>13</v>
      </c>
      <c r="EY26" s="58">
        <f>EP26-DO26</f>
        <v>1.0000000000000009E-3</v>
      </c>
      <c r="EZ26" s="2">
        <f>EQ26-DP26</f>
        <v>2.5000000000000022E-3</v>
      </c>
      <c r="FA26" s="2">
        <f>ER26-DQ26</f>
        <v>-2.9999999999999888E-3</v>
      </c>
      <c r="FB26" s="33"/>
      <c r="FC26" s="33"/>
      <c r="FD26" s="33"/>
      <c r="FE26" s="33"/>
      <c r="FF26" s="33"/>
      <c r="FG26" s="33"/>
      <c r="FH26" s="33"/>
      <c r="FI26" s="33"/>
      <c r="FJ26" s="33"/>
      <c r="FK26" s="34"/>
      <c r="FL26" s="1" t="s">
        <v>13</v>
      </c>
      <c r="FM26" s="12">
        <v>1.391</v>
      </c>
      <c r="FN26" s="12">
        <v>171453068240.11301</v>
      </c>
      <c r="FO26" s="12">
        <v>1060499440.368</v>
      </c>
      <c r="FP26" s="12">
        <v>1.2989999999999999</v>
      </c>
      <c r="FQ26" s="12">
        <v>1.292</v>
      </c>
      <c r="FZ26" s="1" t="s">
        <v>13</v>
      </c>
      <c r="GA26" s="13">
        <v>1.7989999999999999</v>
      </c>
      <c r="GB26" s="61">
        <v>1356669348569.3999</v>
      </c>
      <c r="GC26" s="13">
        <v>9316319367.2439995</v>
      </c>
      <c r="GD26" s="13">
        <v>1.673</v>
      </c>
      <c r="GE26" s="13">
        <v>1.6619999999999999</v>
      </c>
      <c r="GN26" s="1" t="s">
        <v>13</v>
      </c>
      <c r="GO26" s="14">
        <v>8.5000000000000006E-2</v>
      </c>
      <c r="GP26" s="14">
        <v>-2.8640438780803798E+24</v>
      </c>
      <c r="GQ26" s="14">
        <v>-2.5623807886219602E+20</v>
      </c>
      <c r="GR26" s="14">
        <v>0.20899999999999999</v>
      </c>
      <c r="GS26" s="14">
        <v>0.219</v>
      </c>
      <c r="HB26" s="1" t="s">
        <v>13</v>
      </c>
      <c r="HC26" s="12">
        <v>0.32500000000000001</v>
      </c>
      <c r="HD26" s="58">
        <v>0.33800000000000002</v>
      </c>
      <c r="HE26" s="15">
        <v>0.318</v>
      </c>
      <c r="HF26" s="2">
        <v>0.34699999999999998</v>
      </c>
      <c r="HG26" s="2">
        <v>0.34799999999999998</v>
      </c>
      <c r="HP26" s="1" t="s">
        <v>13</v>
      </c>
      <c r="HQ26" s="12">
        <v>8.5999999999999993E-2</v>
      </c>
      <c r="HR26" s="2">
        <v>9.4E-2</v>
      </c>
      <c r="HS26" s="15">
        <v>8.7999999999999995E-2</v>
      </c>
      <c r="HT26" s="2">
        <v>0.12</v>
      </c>
      <c r="HU26" s="2">
        <v>0.11700000000000001</v>
      </c>
      <c r="ID26" s="1" t="s">
        <v>13</v>
      </c>
      <c r="IE26" s="12">
        <v>0.14944444444444444</v>
      </c>
      <c r="IF26" s="15">
        <v>0.17774999999999999</v>
      </c>
      <c r="IG26" s="15">
        <v>0.172125</v>
      </c>
      <c r="IH26" s="2">
        <v>0.168625</v>
      </c>
      <c r="II26" s="2">
        <v>0.171125</v>
      </c>
    </row>
    <row r="27" spans="1:243" ht="30" customHeight="1" thickBot="1" x14ac:dyDescent="0.35">
      <c r="A27" s="36" t="s">
        <v>14</v>
      </c>
      <c r="B27" s="15">
        <v>1.363</v>
      </c>
      <c r="C27" s="2">
        <v>1.7629999999999999</v>
      </c>
      <c r="D27" s="4">
        <v>0.125</v>
      </c>
      <c r="N27" s="1" t="s">
        <v>14</v>
      </c>
      <c r="O27" s="12">
        <v>0.33700000000000002</v>
      </c>
      <c r="P27" s="12">
        <v>0.10100000000000001</v>
      </c>
      <c r="Q27" s="12">
        <f>AVERAGE(0.499,0.495,0.165,0.107,0.022,0.1,0.092,0.05,)</f>
        <v>0.17000000000000004</v>
      </c>
      <c r="AB27" s="1" t="s">
        <v>14</v>
      </c>
      <c r="AC27" s="15" t="s">
        <v>126</v>
      </c>
      <c r="AD27" s="2" t="s">
        <v>137</v>
      </c>
      <c r="AE27" s="4" t="s">
        <v>148</v>
      </c>
      <c r="AF27" s="15" t="s">
        <v>159</v>
      </c>
      <c r="AG27" s="2" t="s">
        <v>170</v>
      </c>
      <c r="AH27" s="4" t="s">
        <v>181</v>
      </c>
      <c r="AK27" s="1" t="s">
        <v>14</v>
      </c>
      <c r="AL27" s="51"/>
      <c r="AM27" s="52"/>
      <c r="AN27" s="53"/>
      <c r="AO27" s="51"/>
      <c r="AP27" s="52"/>
      <c r="AQ27" s="53"/>
      <c r="BI27" s="1" t="s">
        <v>14</v>
      </c>
      <c r="BJ27" s="15">
        <v>1.339</v>
      </c>
      <c r="BK27" s="2">
        <v>1.728</v>
      </c>
      <c r="BL27" s="4">
        <v>0.158</v>
      </c>
      <c r="BM27" s="58">
        <v>0.35799999999999998</v>
      </c>
      <c r="BN27" s="2">
        <f>AVERAGE(0.521,0.518,0.207,0.207,0.025,0.1,0.067,0)</f>
        <v>0.20562500000000003</v>
      </c>
      <c r="BO27" s="2">
        <v>0.121</v>
      </c>
      <c r="BQ27" s="1" t="s">
        <v>14</v>
      </c>
      <c r="BR27" s="12">
        <f t="shared" ref="BR27:BR36" si="35">BJ27-B27</f>
        <v>-2.4000000000000021E-2</v>
      </c>
      <c r="BS27" s="12">
        <f t="shared" si="28"/>
        <v>-3.499999999999992E-2</v>
      </c>
      <c r="BT27" s="12">
        <f t="shared" si="28"/>
        <v>3.3000000000000002E-2</v>
      </c>
      <c r="BU27" s="1" t="s">
        <v>14</v>
      </c>
      <c r="BV27" s="70">
        <f t="shared" si="29"/>
        <v>2.0999999999999963E-2</v>
      </c>
      <c r="BW27" s="2">
        <f t="shared" ref="BW27:BW36" si="36">BN27-Q27</f>
        <v>3.562499999999999E-2</v>
      </c>
      <c r="BX27" s="2">
        <f t="shared" ref="BX27:BX36" si="37">BO27-P27</f>
        <v>1.999999999999999E-2</v>
      </c>
      <c r="CI27" s="38"/>
      <c r="CJ27" s="1" t="s">
        <v>14</v>
      </c>
      <c r="CK27" s="15">
        <v>1.2829999999999999</v>
      </c>
      <c r="CL27" s="2">
        <v>1.631</v>
      </c>
      <c r="CM27" s="4">
        <v>0.248</v>
      </c>
      <c r="CN27" s="15">
        <v>0.32400000000000001</v>
      </c>
      <c r="CO27" s="15">
        <f>AVERAGE(0.491,0.443,0.149,0.167,0,0.125,0.1,0)</f>
        <v>0.18437500000000001</v>
      </c>
      <c r="CP27" s="15">
        <v>0.112</v>
      </c>
      <c r="CQ27" s="33"/>
      <c r="CR27" s="1" t="s">
        <v>14</v>
      </c>
      <c r="CS27" s="69">
        <f t="shared" ref="CS27:CS36" si="38">CK27-BJ27</f>
        <v>-5.600000000000005E-2</v>
      </c>
      <c r="CT27" s="69">
        <f t="shared" si="30"/>
        <v>-9.6999999999999975E-2</v>
      </c>
      <c r="CU27" s="69">
        <f t="shared" si="30"/>
        <v>0.09</v>
      </c>
      <c r="CV27" s="1" t="s">
        <v>14</v>
      </c>
      <c r="CW27" s="70">
        <f t="shared" ref="CW27:CY36" si="39">CN27-BM27</f>
        <v>-3.3999999999999975E-2</v>
      </c>
      <c r="CX27" s="2">
        <f t="shared" si="39"/>
        <v>-2.1250000000000019E-2</v>
      </c>
      <c r="CY27" s="2">
        <f t="shared" si="39"/>
        <v>-8.9999999999999941E-3</v>
      </c>
      <c r="CZ27" s="33"/>
      <c r="DA27" s="33"/>
      <c r="DB27" s="33"/>
      <c r="DC27" s="33"/>
      <c r="DD27" s="33"/>
      <c r="DE27" s="33"/>
      <c r="DF27" s="33"/>
      <c r="DG27" s="33"/>
      <c r="DH27" s="33"/>
      <c r="DI27" s="34"/>
      <c r="DJ27" s="38"/>
      <c r="DK27" s="1" t="s">
        <v>14</v>
      </c>
      <c r="DL27" s="15">
        <v>1.268</v>
      </c>
      <c r="DM27" s="2">
        <v>1.623</v>
      </c>
      <c r="DN27" s="4">
        <v>0.253</v>
      </c>
      <c r="DO27" s="2">
        <v>0.34200000000000003</v>
      </c>
      <c r="DP27" s="2">
        <f>AVERAGE(0.533,0.39,0.142,0.017,0.014,0.15,0.175,0)</f>
        <v>0.17762499999999998</v>
      </c>
      <c r="DQ27" s="2">
        <v>0.11799999999999999</v>
      </c>
      <c r="DR27" s="33"/>
      <c r="DS27" s="1" t="s">
        <v>14</v>
      </c>
      <c r="DT27" s="12">
        <f t="shared" ref="DT27:DT36" si="40">DL27-CK27</f>
        <v>-1.4999999999999902E-2</v>
      </c>
      <c r="DU27" s="12">
        <f t="shared" ref="DU27:DU36" si="41">DM27-CL27</f>
        <v>-8.0000000000000071E-3</v>
      </c>
      <c r="DV27" s="12">
        <f t="shared" ref="DV27:DV35" si="42">DN27-CM27</f>
        <v>5.0000000000000044E-3</v>
      </c>
      <c r="DW27" s="1" t="s">
        <v>14</v>
      </c>
      <c r="DX27" s="58">
        <f t="shared" ref="DX27:DX36" si="43">DO27-CN27</f>
        <v>1.8000000000000016E-2</v>
      </c>
      <c r="DY27" s="2">
        <f t="shared" ref="DY27:DY36" si="44">DP27-CO27</f>
        <v>-6.7500000000000338E-3</v>
      </c>
      <c r="DZ27" s="2">
        <f t="shared" ref="DZ27:DZ35" si="45">DQ27-CP27</f>
        <v>5.9999999999999915E-3</v>
      </c>
      <c r="EA27" s="33"/>
      <c r="EB27" s="33"/>
      <c r="EC27" s="33"/>
      <c r="ED27" s="33"/>
      <c r="EE27" s="33"/>
      <c r="EF27" s="33"/>
      <c r="EG27" s="33"/>
      <c r="EH27" s="33"/>
      <c r="EI27" s="33"/>
      <c r="EJ27" s="34"/>
      <c r="EK27" s="38"/>
      <c r="EL27" s="1" t="s">
        <v>14</v>
      </c>
      <c r="EM27" s="15">
        <v>1.284</v>
      </c>
      <c r="EN27" s="2">
        <v>1.6459999999999999</v>
      </c>
      <c r="EO27" s="4">
        <v>0.23400000000000001</v>
      </c>
      <c r="EP27" s="2">
        <v>0.32400000000000001</v>
      </c>
      <c r="EQ27" s="2">
        <f>AVERAGE(0.51,0.39,0.127,0.067,0.014,0.1,0.025,0)</f>
        <v>0.15412500000000001</v>
      </c>
      <c r="ER27" s="2">
        <v>9.8000000000000004E-2</v>
      </c>
      <c r="ES27" s="33"/>
      <c r="ET27" s="1" t="s">
        <v>14</v>
      </c>
      <c r="EU27" s="12">
        <f t="shared" ref="EU27:EU36" si="46">EM27-DL27</f>
        <v>1.6000000000000014E-2</v>
      </c>
      <c r="EV27" s="12">
        <f t="shared" si="33"/>
        <v>2.2999999999999909E-2</v>
      </c>
      <c r="EW27" s="12">
        <f t="shared" si="34"/>
        <v>-1.8999999999999989E-2</v>
      </c>
      <c r="EX27" s="1" t="s">
        <v>14</v>
      </c>
      <c r="EY27" s="70">
        <f t="shared" ref="EY27:EY36" si="47">EP27-DO27</f>
        <v>-1.8000000000000016E-2</v>
      </c>
      <c r="EZ27" s="2">
        <f t="shared" ref="EZ27:EZ36" si="48">EQ27-DP27</f>
        <v>-2.3499999999999965E-2</v>
      </c>
      <c r="FA27" s="2">
        <f t="shared" ref="FA27:FA36" si="49">ER27-DQ27</f>
        <v>-1.999999999999999E-2</v>
      </c>
      <c r="FB27" s="33"/>
      <c r="FC27" s="33"/>
      <c r="FD27" s="33"/>
      <c r="FE27" s="33"/>
      <c r="FF27" s="33"/>
      <c r="FG27" s="33"/>
      <c r="FH27" s="33"/>
      <c r="FI27" s="33"/>
      <c r="FJ27" s="33"/>
      <c r="FK27" s="34"/>
      <c r="FL27" s="1" t="s">
        <v>14</v>
      </c>
      <c r="FM27" s="15">
        <v>1.363</v>
      </c>
      <c r="FN27" s="15">
        <v>1.339</v>
      </c>
      <c r="FO27" s="15">
        <v>1.2829999999999999</v>
      </c>
      <c r="FP27" s="15">
        <v>1.268</v>
      </c>
      <c r="FQ27" s="15">
        <v>1.284</v>
      </c>
      <c r="FZ27" s="1" t="s">
        <v>14</v>
      </c>
      <c r="GA27" s="2">
        <v>1.7629999999999999</v>
      </c>
      <c r="GB27" s="2">
        <v>1.728</v>
      </c>
      <c r="GC27" s="2">
        <v>1.631</v>
      </c>
      <c r="GD27" s="2">
        <v>1.623</v>
      </c>
      <c r="GE27" s="2">
        <v>1.6459999999999999</v>
      </c>
      <c r="GN27" s="1" t="s">
        <v>14</v>
      </c>
      <c r="GO27" s="4">
        <v>0.125</v>
      </c>
      <c r="GP27" s="4">
        <v>0.158</v>
      </c>
      <c r="GQ27" s="4">
        <v>0.248</v>
      </c>
      <c r="GR27" s="4">
        <v>0.253</v>
      </c>
      <c r="GS27" s="4">
        <v>0.23400000000000001</v>
      </c>
      <c r="HB27" s="1" t="s">
        <v>14</v>
      </c>
      <c r="HC27" s="12">
        <v>0.33700000000000002</v>
      </c>
      <c r="HD27" s="58">
        <v>0.35799999999999998</v>
      </c>
      <c r="HE27" s="15">
        <v>0.32400000000000001</v>
      </c>
      <c r="HF27" s="2">
        <v>0.34200000000000003</v>
      </c>
      <c r="HG27" s="2">
        <v>0.32400000000000001</v>
      </c>
      <c r="HP27" s="1" t="s">
        <v>14</v>
      </c>
      <c r="HQ27" s="12">
        <v>0.10100000000000001</v>
      </c>
      <c r="HR27" s="2">
        <v>0.121</v>
      </c>
      <c r="HS27" s="15">
        <v>0.112</v>
      </c>
      <c r="HT27" s="2">
        <v>0.11799999999999999</v>
      </c>
      <c r="HU27" s="2">
        <v>9.8000000000000004E-2</v>
      </c>
      <c r="ID27" s="1" t="s">
        <v>14</v>
      </c>
      <c r="IE27" s="12">
        <v>0.17000000000000004</v>
      </c>
      <c r="IF27" s="15">
        <v>0.20562500000000003</v>
      </c>
      <c r="IG27" s="15">
        <v>0.18437500000000001</v>
      </c>
      <c r="IH27" s="2">
        <v>0.17762499999999998</v>
      </c>
      <c r="II27" s="2">
        <v>0.15412500000000001</v>
      </c>
    </row>
    <row r="28" spans="1:243" ht="30" customHeight="1" thickBot="1" x14ac:dyDescent="0.35">
      <c r="A28" s="36" t="s">
        <v>15</v>
      </c>
      <c r="B28" s="15">
        <v>1.3160000000000001</v>
      </c>
      <c r="C28" s="2">
        <v>1.66</v>
      </c>
      <c r="D28" s="4">
        <v>0.221</v>
      </c>
      <c r="N28" s="1" t="s">
        <v>15</v>
      </c>
      <c r="O28" s="12">
        <v>0.29499999999999998</v>
      </c>
      <c r="P28" s="12">
        <v>9.1999999999999998E-2</v>
      </c>
      <c r="Q28" s="12">
        <f>AVERAGE(0.454,0.432,0.125,0.017,0.049,0,0,0,)</f>
        <v>0.11966666666666666</v>
      </c>
      <c r="AB28" s="1" t="s">
        <v>15</v>
      </c>
      <c r="AC28" s="15" t="s">
        <v>127</v>
      </c>
      <c r="AD28" s="2" t="s">
        <v>138</v>
      </c>
      <c r="AE28" s="4" t="s">
        <v>149</v>
      </c>
      <c r="AF28" s="15" t="s">
        <v>160</v>
      </c>
      <c r="AG28" s="2" t="s">
        <v>171</v>
      </c>
      <c r="AH28" s="4" t="s">
        <v>182</v>
      </c>
      <c r="AK28" s="1" t="s">
        <v>15</v>
      </c>
      <c r="AL28" s="51"/>
      <c r="AM28" s="52"/>
      <c r="AN28" s="53"/>
      <c r="AO28" s="51"/>
      <c r="AP28" s="52"/>
      <c r="AQ28" s="53"/>
      <c r="BI28" s="1" t="s">
        <v>15</v>
      </c>
      <c r="BJ28" s="15">
        <v>1.569</v>
      </c>
      <c r="BK28" s="2">
        <v>1.909</v>
      </c>
      <c r="BL28" s="4">
        <v>-2.1000000000000001E-2</v>
      </c>
      <c r="BM28" s="58">
        <v>0.04</v>
      </c>
      <c r="BN28" s="2">
        <f>AVERAGE(0,0.9,0,0,0,0,0,0)</f>
        <v>0.1125</v>
      </c>
      <c r="BO28" s="2">
        <v>0</v>
      </c>
      <c r="BQ28" s="1" t="s">
        <v>15</v>
      </c>
      <c r="BR28" s="12">
        <f t="shared" si="35"/>
        <v>0.25299999999999989</v>
      </c>
      <c r="BS28" s="12">
        <f t="shared" si="28"/>
        <v>0.24900000000000011</v>
      </c>
      <c r="BT28" s="12">
        <f t="shared" si="28"/>
        <v>-0.24199999999999999</v>
      </c>
      <c r="BU28" s="1" t="s">
        <v>15</v>
      </c>
      <c r="BV28" s="70">
        <f t="shared" si="29"/>
        <v>-0.255</v>
      </c>
      <c r="BW28" s="2">
        <f t="shared" si="36"/>
        <v>-7.1666666666666545E-3</v>
      </c>
      <c r="BX28" s="2">
        <f t="shared" si="37"/>
        <v>-9.1999999999999998E-2</v>
      </c>
      <c r="CI28" s="38"/>
      <c r="CJ28" s="1" t="s">
        <v>15</v>
      </c>
      <c r="CK28" s="15">
        <v>1.4390000000000001</v>
      </c>
      <c r="CL28" s="2">
        <v>2.3780000000000001</v>
      </c>
      <c r="CM28" s="4">
        <v>-0.58399999999999996</v>
      </c>
      <c r="CN28" s="15">
        <v>0.53200000000000003</v>
      </c>
      <c r="CO28" s="15">
        <f>AVERAGE(1,0,0,0,0,0,0,0)</f>
        <v>0.125</v>
      </c>
      <c r="CP28" s="15">
        <v>0</v>
      </c>
      <c r="CQ28" s="33"/>
      <c r="CR28" s="1" t="s">
        <v>15</v>
      </c>
      <c r="CS28" s="69">
        <f t="shared" si="38"/>
        <v>-0.12999999999999989</v>
      </c>
      <c r="CT28" s="69">
        <f t="shared" si="30"/>
        <v>0.46900000000000008</v>
      </c>
      <c r="CU28" s="69">
        <f t="shared" si="30"/>
        <v>-0.56299999999999994</v>
      </c>
      <c r="CV28" s="1" t="s">
        <v>15</v>
      </c>
      <c r="CW28" s="70">
        <f t="shared" si="39"/>
        <v>0.49200000000000005</v>
      </c>
      <c r="CX28" s="2">
        <f t="shared" si="39"/>
        <v>1.2499999999999997E-2</v>
      </c>
      <c r="CY28" s="2">
        <f t="shared" si="39"/>
        <v>0</v>
      </c>
      <c r="CZ28" s="33"/>
      <c r="DA28" s="33"/>
      <c r="DB28" s="33"/>
      <c r="DC28" s="33"/>
      <c r="DD28" s="33"/>
      <c r="DE28" s="33"/>
      <c r="DF28" s="33"/>
      <c r="DG28" s="33"/>
      <c r="DH28" s="33"/>
      <c r="DI28" s="34"/>
      <c r="DJ28" s="38"/>
      <c r="DK28" s="1" t="s">
        <v>15</v>
      </c>
      <c r="DL28" s="15">
        <v>1.4390000000000001</v>
      </c>
      <c r="DM28" s="2">
        <v>2.3780000000000001</v>
      </c>
      <c r="DN28" s="4">
        <v>-0.58399999999999996</v>
      </c>
      <c r="DO28" s="2">
        <v>0.53200000000000003</v>
      </c>
      <c r="DP28" s="2">
        <f>AVERAGE(1,0,0,0,0,0,0,0)</f>
        <v>0.125</v>
      </c>
      <c r="DQ28" s="2">
        <v>0</v>
      </c>
      <c r="DR28" s="33"/>
      <c r="DS28" s="1" t="s">
        <v>15</v>
      </c>
      <c r="DT28" s="12">
        <f t="shared" si="40"/>
        <v>0</v>
      </c>
      <c r="DU28" s="12">
        <f t="shared" si="41"/>
        <v>0</v>
      </c>
      <c r="DV28" s="12">
        <f t="shared" si="42"/>
        <v>0</v>
      </c>
      <c r="DW28" s="1" t="s">
        <v>15</v>
      </c>
      <c r="DX28" s="58">
        <f t="shared" si="43"/>
        <v>0</v>
      </c>
      <c r="DY28" s="2">
        <f t="shared" si="44"/>
        <v>0</v>
      </c>
      <c r="DZ28" s="2">
        <f t="shared" si="45"/>
        <v>0</v>
      </c>
      <c r="EA28" s="33"/>
      <c r="EB28" s="33"/>
      <c r="EC28" s="33"/>
      <c r="ED28" s="33"/>
      <c r="EE28" s="33"/>
      <c r="EF28" s="33"/>
      <c r="EG28" s="33"/>
      <c r="EH28" s="33"/>
      <c r="EI28" s="33"/>
      <c r="EJ28" s="34"/>
      <c r="EK28" s="38"/>
      <c r="EL28" s="1" t="s">
        <v>15</v>
      </c>
      <c r="EM28" s="15">
        <v>1.4390000000000001</v>
      </c>
      <c r="EN28" s="2">
        <v>2.3780000000000001</v>
      </c>
      <c r="EO28" s="4">
        <v>-0.58399999999999996</v>
      </c>
      <c r="EP28" s="2">
        <v>0.53200000000000003</v>
      </c>
      <c r="EQ28" s="2">
        <f>AVERAGE(1,0,0,0,0,0,0,0)</f>
        <v>0.125</v>
      </c>
      <c r="ER28" s="2">
        <v>0</v>
      </c>
      <c r="ES28" s="33"/>
      <c r="ET28" s="1" t="s">
        <v>15</v>
      </c>
      <c r="EU28" s="12">
        <f t="shared" si="46"/>
        <v>0</v>
      </c>
      <c r="EV28" s="12">
        <f t="shared" si="33"/>
        <v>0</v>
      </c>
      <c r="EW28" s="12">
        <f t="shared" si="34"/>
        <v>0</v>
      </c>
      <c r="EX28" s="1" t="s">
        <v>15</v>
      </c>
      <c r="EY28" s="58">
        <f t="shared" si="47"/>
        <v>0</v>
      </c>
      <c r="EZ28" s="2">
        <f t="shared" si="48"/>
        <v>0</v>
      </c>
      <c r="FA28" s="2">
        <f t="shared" si="49"/>
        <v>0</v>
      </c>
      <c r="FB28" s="33"/>
      <c r="FC28" s="33"/>
      <c r="FD28" s="33"/>
      <c r="FE28" s="33"/>
      <c r="FF28" s="33"/>
      <c r="FG28" s="33"/>
      <c r="FH28" s="33"/>
      <c r="FI28" s="33"/>
      <c r="FJ28" s="33"/>
      <c r="FK28" s="34"/>
      <c r="FL28" s="1" t="s">
        <v>15</v>
      </c>
      <c r="FM28" s="15">
        <v>1.3160000000000001</v>
      </c>
      <c r="FN28" s="15">
        <v>1.569</v>
      </c>
      <c r="FO28" s="15">
        <v>1.4390000000000001</v>
      </c>
      <c r="FP28" s="15">
        <v>1.4390000000000001</v>
      </c>
      <c r="FQ28" s="15">
        <v>1.4390000000000001</v>
      </c>
      <c r="FZ28" s="1" t="s">
        <v>15</v>
      </c>
      <c r="GA28" s="2">
        <v>1.66</v>
      </c>
      <c r="GB28" s="2">
        <v>1.909</v>
      </c>
      <c r="GC28" s="2">
        <v>2.3780000000000001</v>
      </c>
      <c r="GD28" s="2">
        <v>2.3780000000000001</v>
      </c>
      <c r="GE28" s="2">
        <v>2.3780000000000001</v>
      </c>
      <c r="GN28" s="1" t="s">
        <v>15</v>
      </c>
      <c r="GO28" s="4">
        <v>0.221</v>
      </c>
      <c r="GP28" s="4">
        <v>-2.1000000000000001E-2</v>
      </c>
      <c r="GQ28" s="4">
        <v>-0.58399999999999996</v>
      </c>
      <c r="GR28" s="4">
        <v>-0.58399999999999996</v>
      </c>
      <c r="GS28" s="4">
        <v>-0.58399999999999996</v>
      </c>
      <c r="HB28" s="1" t="s">
        <v>15</v>
      </c>
      <c r="HC28" s="12">
        <v>0.29499999999999998</v>
      </c>
      <c r="HD28" s="58">
        <v>0.04</v>
      </c>
      <c r="HE28" s="15">
        <v>0.53200000000000003</v>
      </c>
      <c r="HF28" s="2">
        <v>0.53200000000000003</v>
      </c>
      <c r="HG28" s="2">
        <v>0.53200000000000003</v>
      </c>
      <c r="HP28" s="1" t="s">
        <v>15</v>
      </c>
      <c r="HQ28" s="12">
        <v>9.1999999999999998E-2</v>
      </c>
      <c r="HR28" s="2">
        <v>0</v>
      </c>
      <c r="HS28" s="15">
        <v>0</v>
      </c>
      <c r="HT28" s="2">
        <v>0</v>
      </c>
      <c r="HU28" s="2">
        <v>0</v>
      </c>
      <c r="ID28" s="1" t="s">
        <v>15</v>
      </c>
      <c r="IE28" s="12">
        <v>0.11966666666666666</v>
      </c>
      <c r="IF28" s="15">
        <v>0.1125</v>
      </c>
      <c r="IG28" s="15">
        <v>0.125</v>
      </c>
      <c r="IH28" s="2">
        <v>0.125</v>
      </c>
      <c r="II28" s="2">
        <v>0.125</v>
      </c>
    </row>
    <row r="29" spans="1:243" ht="30" customHeight="1" thickBot="1" x14ac:dyDescent="0.35">
      <c r="A29" s="36" t="s">
        <v>16</v>
      </c>
      <c r="B29" s="15">
        <v>1.1950000000000001</v>
      </c>
      <c r="C29" s="2">
        <v>1.7430000000000001</v>
      </c>
      <c r="D29" s="4">
        <v>0.13800000000000001</v>
      </c>
      <c r="N29" s="1" t="s">
        <v>16</v>
      </c>
      <c r="O29" s="12">
        <v>0.47199999999999998</v>
      </c>
      <c r="P29" s="12">
        <v>0.121</v>
      </c>
      <c r="Q29" s="12">
        <f>AVERAGE(0.839,0.112,0.068,0.017,0,0.125,0.1,0,)</f>
        <v>0.1401111111111111</v>
      </c>
      <c r="AB29" s="1" t="s">
        <v>16</v>
      </c>
      <c r="AC29" s="15" t="s">
        <v>128</v>
      </c>
      <c r="AD29" s="2" t="s">
        <v>139</v>
      </c>
      <c r="AE29" s="4" t="s">
        <v>150</v>
      </c>
      <c r="AF29" s="15" t="s">
        <v>161</v>
      </c>
      <c r="AG29" s="2" t="s">
        <v>172</v>
      </c>
      <c r="AH29" s="4" t="s">
        <v>183</v>
      </c>
      <c r="AK29" s="1" t="s">
        <v>16</v>
      </c>
      <c r="AL29" s="51"/>
      <c r="AM29" s="52"/>
      <c r="AN29" s="53"/>
      <c r="AO29" s="51"/>
      <c r="AP29" s="52"/>
      <c r="AQ29" s="53"/>
      <c r="BI29" s="1" t="s">
        <v>16</v>
      </c>
      <c r="BJ29" s="15">
        <v>1.18</v>
      </c>
      <c r="BK29" s="2">
        <v>1.6819999999999999</v>
      </c>
      <c r="BL29" s="4">
        <v>0.19600000000000001</v>
      </c>
      <c r="BM29" s="58">
        <v>0.46800000000000003</v>
      </c>
      <c r="BN29" s="2">
        <f>AVERAGE(0.815,0.098,0.107,0.117,0.024,0,0,0)</f>
        <v>0.145125</v>
      </c>
      <c r="BO29" s="2">
        <v>0.154</v>
      </c>
      <c r="BQ29" s="1" t="s">
        <v>16</v>
      </c>
      <c r="BR29" s="12">
        <f t="shared" si="35"/>
        <v>-1.5000000000000124E-2</v>
      </c>
      <c r="BS29" s="12">
        <f t="shared" si="28"/>
        <v>-6.1000000000000165E-2</v>
      </c>
      <c r="BT29" s="12">
        <f>BL29-D29</f>
        <v>5.7999999999999996E-2</v>
      </c>
      <c r="BU29" s="1" t="s">
        <v>16</v>
      </c>
      <c r="BV29" s="70">
        <f t="shared" si="29"/>
        <v>-3.999999999999948E-3</v>
      </c>
      <c r="BW29" s="2">
        <f t="shared" si="36"/>
        <v>5.0138888888889011E-3</v>
      </c>
      <c r="BX29" s="2">
        <f t="shared" si="37"/>
        <v>3.3000000000000002E-2</v>
      </c>
      <c r="CI29" s="38"/>
      <c r="CJ29" s="1" t="s">
        <v>16</v>
      </c>
      <c r="CK29" s="15">
        <v>1.1779999999999999</v>
      </c>
      <c r="CL29" s="2">
        <v>1.671</v>
      </c>
      <c r="CM29" s="4">
        <v>0.20399999999999999</v>
      </c>
      <c r="CN29" s="15">
        <v>0.46600000000000003</v>
      </c>
      <c r="CO29" s="15">
        <f>AVERAGE(0.799,0.173,0.119,0.1,0.051,0,0,0)</f>
        <v>0.15525</v>
      </c>
      <c r="CP29" s="15">
        <v>0.161</v>
      </c>
      <c r="CQ29" s="33"/>
      <c r="CR29" s="1" t="s">
        <v>16</v>
      </c>
      <c r="CS29" s="12">
        <f t="shared" si="38"/>
        <v>-2.0000000000000018E-3</v>
      </c>
      <c r="CT29" s="69">
        <f t="shared" si="30"/>
        <v>-1.0999999999999899E-2</v>
      </c>
      <c r="CU29" s="69">
        <f t="shared" si="30"/>
        <v>7.9999999999999793E-3</v>
      </c>
      <c r="CV29" s="1" t="s">
        <v>16</v>
      </c>
      <c r="CW29" s="58">
        <f t="shared" si="39"/>
        <v>-2.0000000000000018E-3</v>
      </c>
      <c r="CX29" s="2">
        <f t="shared" si="39"/>
        <v>1.0124999999999995E-2</v>
      </c>
      <c r="CY29" s="2">
        <f t="shared" si="39"/>
        <v>7.0000000000000062E-3</v>
      </c>
      <c r="CZ29" s="33"/>
      <c r="DA29" s="33"/>
      <c r="DB29" s="33"/>
      <c r="DC29" s="33"/>
      <c r="DD29" s="33"/>
      <c r="DE29" s="33"/>
      <c r="DF29" s="33"/>
      <c r="DG29" s="33"/>
      <c r="DH29" s="33"/>
      <c r="DI29" s="34"/>
      <c r="DJ29" s="38"/>
      <c r="DK29" s="1" t="s">
        <v>16</v>
      </c>
      <c r="DL29" s="15">
        <v>1.1579999999999999</v>
      </c>
      <c r="DM29" s="2">
        <v>1.7070000000000001</v>
      </c>
      <c r="DN29" s="4">
        <v>0.17199999999999999</v>
      </c>
      <c r="DO29" s="2">
        <v>0.46800000000000003</v>
      </c>
      <c r="DP29" s="2">
        <f>AVERAGE(0.809,0.133,0.08,0.187,0.064,0.1,0,0)</f>
        <v>0.17162500000000003</v>
      </c>
      <c r="DQ29" s="2">
        <v>0.14000000000000001</v>
      </c>
      <c r="DR29" s="33"/>
      <c r="DS29" s="1" t="s">
        <v>16</v>
      </c>
      <c r="DT29" s="12">
        <f t="shared" si="40"/>
        <v>-2.0000000000000018E-2</v>
      </c>
      <c r="DU29" s="12">
        <f t="shared" si="41"/>
        <v>3.6000000000000032E-2</v>
      </c>
      <c r="DV29" s="12">
        <f t="shared" si="42"/>
        <v>-3.2000000000000001E-2</v>
      </c>
      <c r="DW29" s="1" t="s">
        <v>16</v>
      </c>
      <c r="DX29" s="58">
        <f t="shared" si="43"/>
        <v>2.0000000000000018E-3</v>
      </c>
      <c r="DY29" s="2">
        <f t="shared" si="44"/>
        <v>1.6375000000000028E-2</v>
      </c>
      <c r="DZ29" s="2">
        <f t="shared" si="45"/>
        <v>-2.0999999999999991E-2</v>
      </c>
      <c r="EA29" s="33"/>
      <c r="EB29" s="33"/>
      <c r="EC29" s="33"/>
      <c r="ED29" s="33"/>
      <c r="EE29" s="33"/>
      <c r="EF29" s="33"/>
      <c r="EG29" s="33"/>
      <c r="EH29" s="33"/>
      <c r="EI29" s="33"/>
      <c r="EJ29" s="34"/>
      <c r="EK29" s="38"/>
      <c r="EL29" s="1" t="s">
        <v>16</v>
      </c>
      <c r="EM29" s="15">
        <v>1.1870000000000001</v>
      </c>
      <c r="EN29" s="2">
        <v>1.7470000000000001</v>
      </c>
      <c r="EO29" s="4">
        <v>0.13700000000000001</v>
      </c>
      <c r="EP29" s="2">
        <v>0.46400000000000002</v>
      </c>
      <c r="EQ29" s="2">
        <f>AVERAGE(0.805,0.162,0.117,0.05,0,0.125,0,0)</f>
        <v>0.15737500000000001</v>
      </c>
      <c r="ER29" s="2">
        <v>0.13900000000000001</v>
      </c>
      <c r="ES29" s="33"/>
      <c r="ET29" s="1" t="s">
        <v>16</v>
      </c>
      <c r="EU29" s="69">
        <f t="shared" si="46"/>
        <v>2.9000000000000137E-2</v>
      </c>
      <c r="EV29" s="12">
        <f t="shared" si="33"/>
        <v>4.0000000000000036E-2</v>
      </c>
      <c r="EW29" s="12">
        <f t="shared" si="34"/>
        <v>-3.4999999999999976E-2</v>
      </c>
      <c r="EX29" s="1" t="s">
        <v>16</v>
      </c>
      <c r="EY29" s="58">
        <f t="shared" si="47"/>
        <v>-4.0000000000000036E-3</v>
      </c>
      <c r="EZ29" s="2">
        <f t="shared" si="48"/>
        <v>-1.4250000000000013E-2</v>
      </c>
      <c r="FA29" s="2">
        <f t="shared" si="49"/>
        <v>-1.0000000000000009E-3</v>
      </c>
      <c r="FB29" s="33"/>
      <c r="FC29" s="33"/>
      <c r="FD29" s="33"/>
      <c r="FE29" s="33"/>
      <c r="FF29" s="33"/>
      <c r="FG29" s="33"/>
      <c r="FH29" s="33"/>
      <c r="FI29" s="33"/>
      <c r="FJ29" s="33"/>
      <c r="FK29" s="34"/>
      <c r="FL29" s="1" t="s">
        <v>16</v>
      </c>
      <c r="FM29" s="15">
        <v>1.1950000000000001</v>
      </c>
      <c r="FN29" s="15">
        <v>1.18</v>
      </c>
      <c r="FO29" s="15">
        <v>1.1779999999999999</v>
      </c>
      <c r="FP29" s="15">
        <v>1.1579999999999999</v>
      </c>
      <c r="FQ29" s="15">
        <v>1.1870000000000001</v>
      </c>
      <c r="FZ29" s="1" t="s">
        <v>16</v>
      </c>
      <c r="GA29" s="2">
        <v>1.7430000000000001</v>
      </c>
      <c r="GB29" s="2">
        <v>1.6819999999999999</v>
      </c>
      <c r="GC29" s="2">
        <v>1.671</v>
      </c>
      <c r="GD29" s="2">
        <v>1.7070000000000001</v>
      </c>
      <c r="GE29" s="2">
        <v>1.7470000000000001</v>
      </c>
      <c r="GN29" s="1" t="s">
        <v>16</v>
      </c>
      <c r="GO29" s="4">
        <v>0.13800000000000001</v>
      </c>
      <c r="GP29" s="4">
        <v>0.19600000000000001</v>
      </c>
      <c r="GQ29" s="4">
        <v>0.20399999999999999</v>
      </c>
      <c r="GR29" s="4">
        <v>0.17199999999999999</v>
      </c>
      <c r="GS29" s="4">
        <v>0.13700000000000001</v>
      </c>
      <c r="HB29" s="1" t="s">
        <v>16</v>
      </c>
      <c r="HC29" s="12">
        <v>0.47199999999999998</v>
      </c>
      <c r="HD29" s="58">
        <v>0.46800000000000003</v>
      </c>
      <c r="HE29" s="15">
        <v>0.46600000000000003</v>
      </c>
      <c r="HF29" s="2">
        <v>0.46800000000000003</v>
      </c>
      <c r="HG29" s="2">
        <v>0.46400000000000002</v>
      </c>
      <c r="HP29" s="1" t="s">
        <v>16</v>
      </c>
      <c r="HQ29" s="12">
        <v>0.121</v>
      </c>
      <c r="HR29" s="2">
        <v>0.154</v>
      </c>
      <c r="HS29" s="15">
        <v>0.161</v>
      </c>
      <c r="HT29" s="2">
        <v>0.14000000000000001</v>
      </c>
      <c r="HU29" s="2">
        <v>0.13900000000000001</v>
      </c>
      <c r="ID29" s="1" t="s">
        <v>16</v>
      </c>
      <c r="IE29" s="12">
        <v>0.1401111111111111</v>
      </c>
      <c r="IF29" s="15">
        <v>0.145125</v>
      </c>
      <c r="IG29" s="15">
        <v>0.15525</v>
      </c>
      <c r="IH29" s="2">
        <v>0.17162500000000003</v>
      </c>
      <c r="II29" s="2">
        <v>0.15737500000000001</v>
      </c>
    </row>
    <row r="30" spans="1:243" ht="30" customHeight="1" thickBot="1" x14ac:dyDescent="0.35">
      <c r="A30" s="36" t="s">
        <v>17</v>
      </c>
      <c r="B30" s="15">
        <v>1.3109999999999999</v>
      </c>
      <c r="C30" s="2">
        <v>1.6579999999999999</v>
      </c>
      <c r="D30" s="4">
        <v>0.222</v>
      </c>
      <c r="N30" s="1" t="s">
        <v>17</v>
      </c>
      <c r="O30" s="12">
        <v>0.29699999999999999</v>
      </c>
      <c r="P30" s="12">
        <v>8.8999999999999996E-2</v>
      </c>
      <c r="Q30" s="12">
        <f>AVERAGE(0.454,0.435,0.129,0.017,0,0,0.175,0,)</f>
        <v>0.13444444444444445</v>
      </c>
      <c r="AB30" s="1" t="s">
        <v>17</v>
      </c>
      <c r="AC30" s="15" t="s">
        <v>129</v>
      </c>
      <c r="AD30" s="2" t="s">
        <v>140</v>
      </c>
      <c r="AE30" s="4" t="s">
        <v>151</v>
      </c>
      <c r="AF30" s="15" t="s">
        <v>162</v>
      </c>
      <c r="AG30" s="2" t="s">
        <v>173</v>
      </c>
      <c r="AH30" s="4" t="s">
        <v>184</v>
      </c>
      <c r="AK30" s="1" t="s">
        <v>17</v>
      </c>
      <c r="AL30" s="51"/>
      <c r="AM30" s="52"/>
      <c r="AN30" s="53"/>
      <c r="AO30" s="51"/>
      <c r="AP30" s="52"/>
      <c r="AQ30" s="53"/>
      <c r="BI30" s="1" t="s">
        <v>17</v>
      </c>
      <c r="BJ30" s="15">
        <v>1.569</v>
      </c>
      <c r="BK30" s="2">
        <v>1.909</v>
      </c>
      <c r="BL30" s="4">
        <v>-2.1000000000000001E-2</v>
      </c>
      <c r="BM30" s="58">
        <v>0.04</v>
      </c>
      <c r="BN30" s="2">
        <f>AVERAGE(0,0.9,0,0,0,0,0,0)</f>
        <v>0.1125</v>
      </c>
      <c r="BO30" s="2">
        <v>0</v>
      </c>
      <c r="BQ30" s="1" t="s">
        <v>17</v>
      </c>
      <c r="BR30" s="12">
        <f t="shared" si="35"/>
        <v>0.25800000000000001</v>
      </c>
      <c r="BS30" s="12">
        <f t="shared" si="28"/>
        <v>0.25100000000000011</v>
      </c>
      <c r="BT30" s="12">
        <f t="shared" si="28"/>
        <v>-0.24299999999999999</v>
      </c>
      <c r="BU30" s="1" t="s">
        <v>17</v>
      </c>
      <c r="BV30" s="70">
        <f t="shared" si="29"/>
        <v>-0.25700000000000001</v>
      </c>
      <c r="BW30" s="2">
        <f t="shared" si="36"/>
        <v>-2.1944444444444447E-2</v>
      </c>
      <c r="BX30" s="2">
        <f t="shared" si="37"/>
        <v>-8.8999999999999996E-2</v>
      </c>
      <c r="CI30" s="38"/>
      <c r="CJ30" s="1" t="s">
        <v>17</v>
      </c>
      <c r="CK30" s="15">
        <v>1.4390000000000001</v>
      </c>
      <c r="CL30" s="2">
        <v>2.3780000000000001</v>
      </c>
      <c r="CM30" s="4">
        <v>-0.58399999999999996</v>
      </c>
      <c r="CN30" s="15">
        <v>0.53200000000000003</v>
      </c>
      <c r="CO30" s="15">
        <f>AVERAGE(1,0,0,0,0,0,0,0)</f>
        <v>0.125</v>
      </c>
      <c r="CP30" s="15">
        <v>0</v>
      </c>
      <c r="CQ30" s="33"/>
      <c r="CR30" s="1" t="s">
        <v>17</v>
      </c>
      <c r="CS30" s="69">
        <f t="shared" si="38"/>
        <v>-0.12999999999999989</v>
      </c>
      <c r="CT30" s="69">
        <f t="shared" si="30"/>
        <v>0.46900000000000008</v>
      </c>
      <c r="CU30" s="69">
        <f t="shared" si="30"/>
        <v>-0.56299999999999994</v>
      </c>
      <c r="CV30" s="1" t="s">
        <v>17</v>
      </c>
      <c r="CW30" s="70">
        <f t="shared" si="39"/>
        <v>0.49200000000000005</v>
      </c>
      <c r="CX30" s="2">
        <f t="shared" si="39"/>
        <v>1.2499999999999997E-2</v>
      </c>
      <c r="CY30" s="2">
        <f t="shared" si="39"/>
        <v>0</v>
      </c>
      <c r="CZ30" s="33"/>
      <c r="DA30" s="33"/>
      <c r="DB30" s="33"/>
      <c r="DC30" s="33"/>
      <c r="DD30" s="33"/>
      <c r="DE30" s="33"/>
      <c r="DF30" s="33"/>
      <c r="DG30" s="33"/>
      <c r="DH30" s="33"/>
      <c r="DI30" s="34"/>
      <c r="DJ30" s="38"/>
      <c r="DK30" s="1" t="s">
        <v>17</v>
      </c>
      <c r="DL30" s="15">
        <v>1.391</v>
      </c>
      <c r="DM30" s="2">
        <v>1.7629999999999999</v>
      </c>
      <c r="DN30" s="4">
        <v>0.13</v>
      </c>
      <c r="DO30" s="2">
        <v>0.248</v>
      </c>
      <c r="DP30" s="2">
        <f>AVERAGE(0.412,0.46,0.033,0,0,0,0,0)</f>
        <v>0.113125</v>
      </c>
      <c r="DQ30" s="2">
        <v>0.06</v>
      </c>
      <c r="DR30" s="33"/>
      <c r="DS30" s="1" t="s">
        <v>17</v>
      </c>
      <c r="DT30" s="12">
        <f t="shared" si="40"/>
        <v>-4.8000000000000043E-2</v>
      </c>
      <c r="DU30" s="69">
        <f t="shared" si="41"/>
        <v>-0.61500000000000021</v>
      </c>
      <c r="DV30" s="69">
        <f t="shared" si="42"/>
        <v>0.71399999999999997</v>
      </c>
      <c r="DW30" s="1" t="s">
        <v>17</v>
      </c>
      <c r="DX30" s="70">
        <f t="shared" si="43"/>
        <v>-0.28400000000000003</v>
      </c>
      <c r="DY30" s="2">
        <f t="shared" si="44"/>
        <v>-1.1874999999999997E-2</v>
      </c>
      <c r="DZ30" s="2">
        <f t="shared" si="45"/>
        <v>0.06</v>
      </c>
      <c r="EA30" s="33"/>
      <c r="EB30" s="33"/>
      <c r="EC30" s="33"/>
      <c r="ED30" s="33"/>
      <c r="EE30" s="33"/>
      <c r="EF30" s="33"/>
      <c r="EG30" s="33"/>
      <c r="EH30" s="33"/>
      <c r="EI30" s="33"/>
      <c r="EJ30" s="34"/>
      <c r="EK30" s="38"/>
      <c r="EL30" s="1" t="s">
        <v>17</v>
      </c>
      <c r="EM30" s="15">
        <v>1.351</v>
      </c>
      <c r="EN30" s="2">
        <v>1.8029999999999999</v>
      </c>
      <c r="EO30" s="4">
        <v>9.0999999999999998E-2</v>
      </c>
      <c r="EP30" s="2">
        <v>0.40899999999999997</v>
      </c>
      <c r="EQ30" s="2">
        <f>AVERAGE(0.736,0.285,0.02,0,0,0,0,0)</f>
        <v>0.13012499999999999</v>
      </c>
      <c r="ER30" s="2">
        <v>0.113</v>
      </c>
      <c r="ES30" s="33"/>
      <c r="ET30" s="1" t="s">
        <v>17</v>
      </c>
      <c r="EU30" s="69">
        <f t="shared" si="46"/>
        <v>-4.0000000000000036E-2</v>
      </c>
      <c r="EV30" s="69">
        <f t="shared" si="33"/>
        <v>4.0000000000000036E-2</v>
      </c>
      <c r="EW30" s="69">
        <f t="shared" si="34"/>
        <v>-3.9000000000000007E-2</v>
      </c>
      <c r="EX30" s="1" t="s">
        <v>17</v>
      </c>
      <c r="EY30" s="70">
        <f t="shared" si="47"/>
        <v>0.16099999999999998</v>
      </c>
      <c r="EZ30" s="2">
        <f t="shared" si="48"/>
        <v>1.6999999999999987E-2</v>
      </c>
      <c r="FA30" s="2">
        <f t="shared" si="49"/>
        <v>5.3000000000000005E-2</v>
      </c>
      <c r="FB30" s="33"/>
      <c r="FC30" s="33"/>
      <c r="FD30" s="33"/>
      <c r="FE30" s="33"/>
      <c r="FF30" s="33"/>
      <c r="FG30" s="33"/>
      <c r="FH30" s="33"/>
      <c r="FI30" s="33"/>
      <c r="FJ30" s="33"/>
      <c r="FK30" s="34"/>
      <c r="FL30" s="1" t="s">
        <v>17</v>
      </c>
      <c r="FM30" s="15">
        <v>1.3109999999999999</v>
      </c>
      <c r="FN30" s="15">
        <v>1.569</v>
      </c>
      <c r="FO30" s="15">
        <v>1.4390000000000001</v>
      </c>
      <c r="FP30" s="15">
        <v>1.391</v>
      </c>
      <c r="FQ30" s="15">
        <v>1.351</v>
      </c>
      <c r="FZ30" s="1" t="s">
        <v>17</v>
      </c>
      <c r="GA30" s="2">
        <v>1.6579999999999999</v>
      </c>
      <c r="GB30" s="2">
        <v>1.909</v>
      </c>
      <c r="GC30" s="2">
        <v>2.3780000000000001</v>
      </c>
      <c r="GD30" s="2">
        <v>1.7629999999999999</v>
      </c>
      <c r="GE30" s="2">
        <v>1.8029999999999999</v>
      </c>
      <c r="GN30" s="1" t="s">
        <v>17</v>
      </c>
      <c r="GO30" s="4">
        <v>0.222</v>
      </c>
      <c r="GP30" s="4">
        <v>-2.1000000000000001E-2</v>
      </c>
      <c r="GQ30" s="4">
        <v>-0.58399999999999996</v>
      </c>
      <c r="GR30" s="4">
        <v>0.13</v>
      </c>
      <c r="GS30" s="4">
        <v>9.0999999999999998E-2</v>
      </c>
      <c r="HB30" s="1" t="s">
        <v>17</v>
      </c>
      <c r="HC30" s="12">
        <v>0.29699999999999999</v>
      </c>
      <c r="HD30" s="58">
        <v>0.04</v>
      </c>
      <c r="HE30" s="15">
        <v>0.53200000000000003</v>
      </c>
      <c r="HF30" s="2">
        <v>0.248</v>
      </c>
      <c r="HG30" s="2">
        <v>0.40899999999999997</v>
      </c>
      <c r="HP30" s="1" t="s">
        <v>17</v>
      </c>
      <c r="HQ30" s="12">
        <v>8.8999999999999996E-2</v>
      </c>
      <c r="HR30" s="2">
        <v>0</v>
      </c>
      <c r="HS30" s="15">
        <v>0</v>
      </c>
      <c r="HT30" s="2">
        <v>0.06</v>
      </c>
      <c r="HU30" s="2">
        <v>0.113</v>
      </c>
      <c r="ID30" s="1" t="s">
        <v>17</v>
      </c>
      <c r="IE30" s="12">
        <v>0.13444444444444445</v>
      </c>
      <c r="IF30" s="15">
        <v>0.1125</v>
      </c>
      <c r="IG30" s="15">
        <v>0.125</v>
      </c>
      <c r="IH30" s="2">
        <v>0.113125</v>
      </c>
      <c r="II30" s="2">
        <v>0.13012499999999999</v>
      </c>
    </row>
    <row r="31" spans="1:243" ht="30" customHeight="1" thickBot="1" x14ac:dyDescent="0.35">
      <c r="A31" s="36" t="s">
        <v>5</v>
      </c>
      <c r="B31" s="15">
        <v>1.34</v>
      </c>
      <c r="C31" s="2">
        <v>1.776</v>
      </c>
      <c r="D31" s="4">
        <v>0.111</v>
      </c>
      <c r="N31" s="1" t="s">
        <v>5</v>
      </c>
      <c r="O31" s="12">
        <v>0.36599999999999999</v>
      </c>
      <c r="P31" s="12">
        <v>0.113</v>
      </c>
      <c r="Q31" s="12">
        <f>AVERAGE(0.549,0.38,0.189,0.108,0.022,0.1,0.175,0,)</f>
        <v>0.16922222222222227</v>
      </c>
      <c r="AB31" s="1" t="s">
        <v>5</v>
      </c>
      <c r="AC31" s="15" t="s">
        <v>130</v>
      </c>
      <c r="AD31" s="2" t="s">
        <v>141</v>
      </c>
      <c r="AE31" s="4" t="s">
        <v>152</v>
      </c>
      <c r="AF31" s="15" t="s">
        <v>163</v>
      </c>
      <c r="AG31" s="2" t="s">
        <v>174</v>
      </c>
      <c r="AH31" s="4" t="s">
        <v>185</v>
      </c>
      <c r="AK31" s="1" t="s">
        <v>5</v>
      </c>
      <c r="AL31" s="51"/>
      <c r="AM31" s="52"/>
      <c r="AN31" s="53"/>
      <c r="AO31" s="51"/>
      <c r="AP31" s="52"/>
      <c r="AQ31" s="53"/>
      <c r="BI31" s="1" t="s">
        <v>5</v>
      </c>
      <c r="BJ31" s="15">
        <v>1.31</v>
      </c>
      <c r="BK31" s="2">
        <v>1.7589999999999999</v>
      </c>
      <c r="BL31" s="4">
        <v>0.126</v>
      </c>
      <c r="BM31" s="58">
        <v>0.372</v>
      </c>
      <c r="BN31" s="2">
        <f>AVERAGE(0.629,0.157,0.097,0.142,0.024,0.1,0.05,0)</f>
        <v>0.14987500000000001</v>
      </c>
      <c r="BO31" s="2">
        <v>6.7000000000000004E-2</v>
      </c>
      <c r="BQ31" s="1" t="s">
        <v>5</v>
      </c>
      <c r="BR31" s="12">
        <f t="shared" si="35"/>
        <v>-3.0000000000000027E-2</v>
      </c>
      <c r="BS31" s="12">
        <f t="shared" si="28"/>
        <v>-1.7000000000000126E-2</v>
      </c>
      <c r="BT31" s="12">
        <f t="shared" si="28"/>
        <v>1.4999999999999999E-2</v>
      </c>
      <c r="BU31" s="1" t="s">
        <v>5</v>
      </c>
      <c r="BV31" s="70">
        <f t="shared" si="29"/>
        <v>6.0000000000000053E-3</v>
      </c>
      <c r="BW31" s="2">
        <f t="shared" si="36"/>
        <v>-1.9347222222222266E-2</v>
      </c>
      <c r="BX31" s="2">
        <f t="shared" si="37"/>
        <v>-4.5999999999999999E-2</v>
      </c>
      <c r="CI31" s="38"/>
      <c r="CJ31" s="1" t="s">
        <v>5</v>
      </c>
      <c r="CK31" s="15">
        <v>1.2909999999999999</v>
      </c>
      <c r="CL31" s="2">
        <v>1.7070000000000001</v>
      </c>
      <c r="CM31" s="4">
        <v>0.17799999999999999</v>
      </c>
      <c r="CN31" s="15">
        <v>0.374</v>
      </c>
      <c r="CO31" s="15">
        <f>AVERAGE(0.638,0.277,0.058,0.1,0.064,0,0,0)</f>
        <v>0.14212500000000003</v>
      </c>
      <c r="CP31" s="15">
        <v>0.10299999999999999</v>
      </c>
      <c r="CQ31" s="33"/>
      <c r="CR31" s="1" t="s">
        <v>5</v>
      </c>
      <c r="CS31" s="12">
        <f t="shared" si="38"/>
        <v>-1.9000000000000128E-2</v>
      </c>
      <c r="CT31" s="69">
        <f t="shared" si="30"/>
        <v>-5.1999999999999824E-2</v>
      </c>
      <c r="CU31" s="69">
        <f t="shared" si="30"/>
        <v>5.1999999999999991E-2</v>
      </c>
      <c r="CV31" s="1" t="s">
        <v>5</v>
      </c>
      <c r="CW31" s="58">
        <f t="shared" si="39"/>
        <v>2.0000000000000018E-3</v>
      </c>
      <c r="CX31" s="2">
        <f t="shared" si="39"/>
        <v>-7.7499999999999791E-3</v>
      </c>
      <c r="CY31" s="2">
        <f t="shared" si="39"/>
        <v>3.599999999999999E-2</v>
      </c>
      <c r="CZ31" s="33"/>
      <c r="DA31" s="33"/>
      <c r="DB31" s="33"/>
      <c r="DC31" s="33"/>
      <c r="DD31" s="33"/>
      <c r="DE31" s="33"/>
      <c r="DF31" s="33"/>
      <c r="DG31" s="33"/>
      <c r="DH31" s="33"/>
      <c r="DI31" s="34"/>
      <c r="DJ31" s="38"/>
      <c r="DK31" s="1" t="s">
        <v>5</v>
      </c>
      <c r="DL31" s="15">
        <v>1.284</v>
      </c>
      <c r="DM31" s="2">
        <v>1.677</v>
      </c>
      <c r="DN31" s="4">
        <v>0.20799999999999999</v>
      </c>
      <c r="DO31" s="2">
        <v>0.34899999999999998</v>
      </c>
      <c r="DP31" s="2">
        <f>AVERAGE(0.582,0.343,0.077,0,0.064,0,0,0)</f>
        <v>0.13325000000000001</v>
      </c>
      <c r="DQ31" s="2">
        <v>9.9000000000000005E-2</v>
      </c>
      <c r="DR31" s="33"/>
      <c r="DS31" s="1" t="s">
        <v>5</v>
      </c>
      <c r="DT31" s="12">
        <f t="shared" si="40"/>
        <v>-6.9999999999998952E-3</v>
      </c>
      <c r="DU31" s="12">
        <f t="shared" si="41"/>
        <v>-3.0000000000000027E-2</v>
      </c>
      <c r="DV31" s="12">
        <f t="shared" si="42"/>
        <v>0.03</v>
      </c>
      <c r="DW31" s="1" t="s">
        <v>5</v>
      </c>
      <c r="DX31" s="58">
        <f t="shared" si="43"/>
        <v>-2.5000000000000022E-2</v>
      </c>
      <c r="DY31" s="2">
        <f t="shared" si="44"/>
        <v>-8.8750000000000218E-3</v>
      </c>
      <c r="DZ31" s="2">
        <f t="shared" si="45"/>
        <v>-3.9999999999999897E-3</v>
      </c>
      <c r="EA31" s="33"/>
      <c r="EB31" s="33"/>
      <c r="EC31" s="33"/>
      <c r="ED31" s="33"/>
      <c r="EE31" s="33"/>
      <c r="EF31" s="33"/>
      <c r="EG31" s="33"/>
      <c r="EH31" s="33"/>
      <c r="EI31" s="33"/>
      <c r="EJ31" s="34"/>
      <c r="EK31" s="38"/>
      <c r="EL31" s="1" t="s">
        <v>5</v>
      </c>
      <c r="EM31" s="15">
        <v>1.2889999999999999</v>
      </c>
      <c r="EN31" s="2">
        <v>1.675</v>
      </c>
      <c r="EO31" s="4">
        <v>0.20899999999999999</v>
      </c>
      <c r="EP31" s="2">
        <v>0.36799999999999999</v>
      </c>
      <c r="EQ31" s="2">
        <f>AVERAGE(0.571,0.29,0.188,0.067,0.053,0.1,0,0)</f>
        <v>0.15862499999999999</v>
      </c>
      <c r="ER31" s="2">
        <v>0.123</v>
      </c>
      <c r="ES31" s="33"/>
      <c r="ET31" s="1" t="s">
        <v>5</v>
      </c>
      <c r="EU31" s="12">
        <f t="shared" si="46"/>
        <v>4.9999999999998934E-3</v>
      </c>
      <c r="EV31" s="12">
        <f t="shared" si="33"/>
        <v>-2.0000000000000018E-3</v>
      </c>
      <c r="EW31" s="12">
        <f t="shared" si="34"/>
        <v>1.0000000000000009E-3</v>
      </c>
      <c r="EX31" s="1" t="s">
        <v>5</v>
      </c>
      <c r="EY31" s="58">
        <f t="shared" si="47"/>
        <v>1.9000000000000017E-2</v>
      </c>
      <c r="EZ31" s="2">
        <f t="shared" si="48"/>
        <v>2.5374999999999981E-2</v>
      </c>
      <c r="FA31" s="2">
        <f t="shared" si="49"/>
        <v>2.3999999999999994E-2</v>
      </c>
      <c r="FB31" s="33"/>
      <c r="FC31" s="33"/>
      <c r="FD31" s="33"/>
      <c r="FE31" s="33"/>
      <c r="FF31" s="33"/>
      <c r="FG31" s="33"/>
      <c r="FH31" s="33"/>
      <c r="FI31" s="33"/>
      <c r="FJ31" s="33"/>
      <c r="FK31" s="34"/>
      <c r="FL31" s="1" t="s">
        <v>5</v>
      </c>
      <c r="FM31" s="15">
        <v>1.34</v>
      </c>
      <c r="FN31" s="15">
        <v>1.31</v>
      </c>
      <c r="FO31" s="15">
        <v>1.2909999999999999</v>
      </c>
      <c r="FP31" s="15">
        <v>1.284</v>
      </c>
      <c r="FQ31" s="15">
        <v>1.2889999999999999</v>
      </c>
      <c r="FZ31" s="1" t="s">
        <v>5</v>
      </c>
      <c r="GA31" s="2">
        <v>1.776</v>
      </c>
      <c r="GB31" s="2">
        <v>1.7589999999999999</v>
      </c>
      <c r="GC31" s="2">
        <v>1.7070000000000001</v>
      </c>
      <c r="GD31" s="2">
        <v>1.677</v>
      </c>
      <c r="GE31" s="2">
        <v>1.675</v>
      </c>
      <c r="GN31" s="1" t="s">
        <v>5</v>
      </c>
      <c r="GO31" s="4">
        <v>0.111</v>
      </c>
      <c r="GP31" s="4">
        <v>0.126</v>
      </c>
      <c r="GQ31" s="4">
        <v>0.17799999999999999</v>
      </c>
      <c r="GR31" s="4">
        <v>0.20799999999999999</v>
      </c>
      <c r="GS31" s="4">
        <v>0.20899999999999999</v>
      </c>
      <c r="HB31" s="1" t="s">
        <v>5</v>
      </c>
      <c r="HC31" s="12">
        <v>0.36599999999999999</v>
      </c>
      <c r="HD31" s="58">
        <v>0.372</v>
      </c>
      <c r="HE31" s="15">
        <v>0.374</v>
      </c>
      <c r="HF31" s="2">
        <v>0.34899999999999998</v>
      </c>
      <c r="HG31" s="2">
        <v>0.36799999999999999</v>
      </c>
      <c r="HP31" s="1" t="s">
        <v>5</v>
      </c>
      <c r="HQ31" s="12">
        <v>0.113</v>
      </c>
      <c r="HR31" s="2">
        <v>6.7000000000000004E-2</v>
      </c>
      <c r="HS31" s="15">
        <v>0.10299999999999999</v>
      </c>
      <c r="HT31" s="2">
        <v>9.9000000000000005E-2</v>
      </c>
      <c r="HU31" s="2">
        <v>0.123</v>
      </c>
      <c r="ID31" s="1" t="s">
        <v>5</v>
      </c>
      <c r="IE31" s="12">
        <v>0.16922222222222227</v>
      </c>
      <c r="IF31" s="15">
        <v>0.14987500000000001</v>
      </c>
      <c r="IG31" s="15">
        <v>0.14212500000000003</v>
      </c>
      <c r="IH31" s="2">
        <v>0.13325000000000001</v>
      </c>
      <c r="II31" s="2">
        <v>0.15862499999999999</v>
      </c>
    </row>
    <row r="32" spans="1:243" ht="30" customHeight="1" thickBot="1" x14ac:dyDescent="0.35">
      <c r="A32" s="36" t="s">
        <v>6</v>
      </c>
      <c r="B32" s="15">
        <v>1.5209999999999999</v>
      </c>
      <c r="C32" s="2">
        <v>2.2930000000000001</v>
      </c>
      <c r="D32" s="4">
        <v>-0.50900000000000001</v>
      </c>
      <c r="N32" s="1" t="s">
        <v>6</v>
      </c>
      <c r="O32" s="12">
        <v>0.432</v>
      </c>
      <c r="P32" s="12">
        <v>0.105</v>
      </c>
      <c r="Q32" s="12">
        <f>AVERAGE(0.657,0,0.271,0.067,0.074,0.1,0.108,0.142)</f>
        <v>0.17737500000000003</v>
      </c>
      <c r="AB32" s="1" t="s">
        <v>6</v>
      </c>
      <c r="AC32" s="15" t="s">
        <v>131</v>
      </c>
      <c r="AD32" s="2" t="s">
        <v>142</v>
      </c>
      <c r="AE32" s="32" t="s">
        <v>153</v>
      </c>
      <c r="AF32" s="15" t="s">
        <v>164</v>
      </c>
      <c r="AG32" s="2" t="s">
        <v>175</v>
      </c>
      <c r="AH32" s="32" t="s">
        <v>186</v>
      </c>
      <c r="AK32" s="1" t="s">
        <v>6</v>
      </c>
      <c r="AL32" s="51"/>
      <c r="AM32" s="52"/>
      <c r="AN32" s="54"/>
      <c r="AO32" s="51"/>
      <c r="AP32" s="52"/>
      <c r="AQ32" s="54"/>
      <c r="BI32" s="1" t="s">
        <v>6</v>
      </c>
      <c r="BJ32" s="15">
        <v>1.5209999999999999</v>
      </c>
      <c r="BK32" s="2">
        <v>2.29</v>
      </c>
      <c r="BL32" s="4">
        <v>-0.50600000000000001</v>
      </c>
      <c r="BM32" s="58">
        <v>0.43099999999999999</v>
      </c>
      <c r="BN32" s="2">
        <f>AVERAGE(0.655,0,0.271,0.067,0.074,0.1,0.108,0.142)</f>
        <v>0.17712500000000003</v>
      </c>
      <c r="BO32" s="2">
        <v>0.105</v>
      </c>
      <c r="BQ32" s="1" t="s">
        <v>6</v>
      </c>
      <c r="BR32" s="12">
        <f t="shared" si="35"/>
        <v>0</v>
      </c>
      <c r="BS32" s="12">
        <f t="shared" si="28"/>
        <v>-3.0000000000001137E-3</v>
      </c>
      <c r="BT32" s="12">
        <f t="shared" si="28"/>
        <v>3.0000000000000027E-3</v>
      </c>
      <c r="BU32" s="1" t="s">
        <v>6</v>
      </c>
      <c r="BV32" s="70">
        <f t="shared" si="29"/>
        <v>-1.0000000000000009E-3</v>
      </c>
      <c r="BW32" s="2">
        <f t="shared" si="36"/>
        <v>-2.5000000000000022E-4</v>
      </c>
      <c r="BX32" s="2">
        <f t="shared" si="37"/>
        <v>0</v>
      </c>
      <c r="CI32" s="38"/>
      <c r="CJ32" s="1" t="s">
        <v>6</v>
      </c>
      <c r="CK32" s="15">
        <v>1.17</v>
      </c>
      <c r="CL32" s="2">
        <v>1.885</v>
      </c>
      <c r="CM32" s="4">
        <v>-5.0000000000000001E-3</v>
      </c>
      <c r="CN32" s="15">
        <v>0.51700000000000002</v>
      </c>
      <c r="CO32" s="15">
        <f>AVERAGE(0.749,0.045,0.414,0.02,0.161,0,0,0)</f>
        <v>0.173625</v>
      </c>
      <c r="CP32" s="15">
        <v>0.191</v>
      </c>
      <c r="CQ32" s="33"/>
      <c r="CR32" s="1" t="s">
        <v>6</v>
      </c>
      <c r="CS32" s="69">
        <f t="shared" si="38"/>
        <v>-0.35099999999999998</v>
      </c>
      <c r="CT32" s="69">
        <f t="shared" si="30"/>
        <v>-0.40500000000000003</v>
      </c>
      <c r="CU32" s="69">
        <f>CM32-BL32</f>
        <v>0.501</v>
      </c>
      <c r="CV32" s="1" t="s">
        <v>6</v>
      </c>
      <c r="CW32" s="70">
        <f t="shared" si="39"/>
        <v>8.6000000000000021E-2</v>
      </c>
      <c r="CX32" s="2">
        <f>CO32-BN32</f>
        <v>-3.5000000000000309E-3</v>
      </c>
      <c r="CY32" s="2">
        <f>CP32-BO32</f>
        <v>8.6000000000000007E-2</v>
      </c>
      <c r="CZ32" s="33"/>
      <c r="DA32" s="33"/>
      <c r="DB32" s="33"/>
      <c r="DC32" s="33"/>
      <c r="DD32" s="33"/>
      <c r="DE32" s="33"/>
      <c r="DF32" s="33"/>
      <c r="DG32" s="33"/>
      <c r="DH32" s="33"/>
      <c r="DI32" s="34"/>
      <c r="DJ32" s="38"/>
      <c r="DK32" s="1" t="s">
        <v>6</v>
      </c>
      <c r="DL32" s="15">
        <v>1.1559999999999999</v>
      </c>
      <c r="DM32" s="2">
        <v>1.86</v>
      </c>
      <c r="DN32" s="4">
        <v>1.7000000000000001E-2</v>
      </c>
      <c r="DO32" s="2">
        <v>0.502</v>
      </c>
      <c r="DP32" s="2">
        <f>AVERAGE(0.72,0.145,0.427,0,0.126,0,0.242,0)</f>
        <v>0.20750000000000002</v>
      </c>
      <c r="DQ32" s="2">
        <v>0.19700000000000001</v>
      </c>
      <c r="DR32" s="33"/>
      <c r="DS32" s="1" t="s">
        <v>6</v>
      </c>
      <c r="DT32" s="12">
        <f t="shared" si="40"/>
        <v>-1.4000000000000012E-2</v>
      </c>
      <c r="DU32" s="12">
        <f t="shared" si="41"/>
        <v>-2.4999999999999911E-2</v>
      </c>
      <c r="DV32" s="12">
        <f t="shared" si="42"/>
        <v>2.2000000000000002E-2</v>
      </c>
      <c r="DW32" s="1" t="s">
        <v>6</v>
      </c>
      <c r="DX32" s="58">
        <f t="shared" si="43"/>
        <v>-1.5000000000000013E-2</v>
      </c>
      <c r="DY32" s="2">
        <f>DP32-CO32</f>
        <v>3.3875000000000016E-2</v>
      </c>
      <c r="DZ32" s="2">
        <f t="shared" si="45"/>
        <v>6.0000000000000053E-3</v>
      </c>
      <c r="EA32" s="33"/>
      <c r="EB32" s="33"/>
      <c r="EC32" s="33"/>
      <c r="ED32" s="33"/>
      <c r="EE32" s="33"/>
      <c r="EF32" s="33"/>
      <c r="EG32" s="33"/>
      <c r="EH32" s="33"/>
      <c r="EI32" s="33"/>
      <c r="EJ32" s="34"/>
      <c r="EK32" s="38"/>
      <c r="EL32" s="1" t="s">
        <v>6</v>
      </c>
      <c r="EM32" s="15">
        <v>1.167</v>
      </c>
      <c r="EN32" s="2">
        <v>1.865</v>
      </c>
      <c r="EO32" s="4">
        <v>0.01</v>
      </c>
      <c r="EP32" s="2">
        <v>0.51800000000000002</v>
      </c>
      <c r="EQ32" s="2">
        <f>AVERAGE(0.793,0.04,0.362,0.037,0,0,0.033,0)</f>
        <v>0.15812499999999999</v>
      </c>
      <c r="ER32" s="2">
        <v>0.17799999999999999</v>
      </c>
      <c r="ES32" s="33"/>
      <c r="ET32" s="1" t="s">
        <v>6</v>
      </c>
      <c r="EU32" s="12">
        <f t="shared" si="46"/>
        <v>1.1000000000000121E-2</v>
      </c>
      <c r="EV32" s="12">
        <f t="shared" si="33"/>
        <v>4.9999999999998934E-3</v>
      </c>
      <c r="EW32" s="12">
        <f t="shared" si="34"/>
        <v>-7.000000000000001E-3</v>
      </c>
      <c r="EX32" s="1" t="s">
        <v>6</v>
      </c>
      <c r="EY32" s="58">
        <f t="shared" si="47"/>
        <v>1.6000000000000014E-2</v>
      </c>
      <c r="EZ32" s="2">
        <f t="shared" si="48"/>
        <v>-4.937500000000003E-2</v>
      </c>
      <c r="FA32" s="2">
        <f t="shared" si="49"/>
        <v>-1.9000000000000017E-2</v>
      </c>
      <c r="FB32" s="33"/>
      <c r="FC32" s="33"/>
      <c r="FD32" s="33"/>
      <c r="FE32" s="33"/>
      <c r="FF32" s="33"/>
      <c r="FG32" s="33"/>
      <c r="FH32" s="33"/>
      <c r="FI32" s="33"/>
      <c r="FJ32" s="33"/>
      <c r="FK32" s="34"/>
      <c r="FL32" s="1" t="s">
        <v>6</v>
      </c>
      <c r="FM32" s="15">
        <v>1.5209999999999999</v>
      </c>
      <c r="FN32" s="15">
        <v>1.5209999999999999</v>
      </c>
      <c r="FO32" s="15">
        <v>1.17</v>
      </c>
      <c r="FP32" s="15">
        <v>1.1559999999999999</v>
      </c>
      <c r="FQ32" s="15">
        <v>1.167</v>
      </c>
      <c r="FZ32" s="1" t="s">
        <v>6</v>
      </c>
      <c r="GA32" s="2">
        <v>2.2930000000000001</v>
      </c>
      <c r="GB32" s="2">
        <v>2.29</v>
      </c>
      <c r="GC32" s="2">
        <v>1.885</v>
      </c>
      <c r="GD32" s="2">
        <v>1.86</v>
      </c>
      <c r="GE32" s="2">
        <v>1.865</v>
      </c>
      <c r="GN32" s="1" t="s">
        <v>6</v>
      </c>
      <c r="GO32" s="4">
        <v>-0.50900000000000001</v>
      </c>
      <c r="GP32" s="4">
        <v>-0.50600000000000001</v>
      </c>
      <c r="GQ32" s="4">
        <v>-5.0000000000000001E-3</v>
      </c>
      <c r="GR32" s="4">
        <v>1.7000000000000001E-2</v>
      </c>
      <c r="GS32" s="4">
        <v>0.01</v>
      </c>
      <c r="HB32" s="1" t="s">
        <v>6</v>
      </c>
      <c r="HC32" s="12">
        <v>0.432</v>
      </c>
      <c r="HD32" s="58">
        <v>0.43099999999999999</v>
      </c>
      <c r="HE32" s="15">
        <v>0.51700000000000002</v>
      </c>
      <c r="HF32" s="2">
        <v>0.502</v>
      </c>
      <c r="HG32" s="2">
        <v>0.51800000000000002</v>
      </c>
      <c r="HP32" s="1" t="s">
        <v>6</v>
      </c>
      <c r="HQ32" s="12">
        <v>0.105</v>
      </c>
      <c r="HR32" s="2">
        <v>0.105</v>
      </c>
      <c r="HS32" s="15">
        <v>0.191</v>
      </c>
      <c r="HT32" s="2">
        <v>0.19700000000000001</v>
      </c>
      <c r="HU32" s="2">
        <v>0.17799999999999999</v>
      </c>
      <c r="ID32" s="1" t="s">
        <v>6</v>
      </c>
      <c r="IE32" s="12">
        <v>0.17737500000000003</v>
      </c>
      <c r="IF32" s="15">
        <v>0.17712500000000003</v>
      </c>
      <c r="IG32" s="15">
        <v>0.173625</v>
      </c>
      <c r="IH32" s="2">
        <v>0.20750000000000002</v>
      </c>
      <c r="II32" s="2">
        <v>0.15812499999999999</v>
      </c>
    </row>
    <row r="33" spans="1:243" ht="30" customHeight="1" thickBot="1" x14ac:dyDescent="0.35">
      <c r="A33" s="36" t="s">
        <v>7</v>
      </c>
      <c r="B33" s="15">
        <v>1.29</v>
      </c>
      <c r="C33" s="2">
        <v>1.673</v>
      </c>
      <c r="D33" s="4">
        <v>0.20200000000000001</v>
      </c>
      <c r="N33" s="1" t="s">
        <v>7</v>
      </c>
      <c r="O33" s="12">
        <v>0.33400000000000002</v>
      </c>
      <c r="P33" s="12">
        <v>0.113</v>
      </c>
      <c r="Q33" s="12">
        <f>AVERAGE(0.492,0.415,0.211,0.237,0.037,0,0,0,)</f>
        <v>0.15466666666666665</v>
      </c>
      <c r="AB33" s="1" t="s">
        <v>7</v>
      </c>
      <c r="AC33" s="15" t="s">
        <v>132</v>
      </c>
      <c r="AD33" s="2" t="s">
        <v>143</v>
      </c>
      <c r="AE33" s="4" t="s">
        <v>154</v>
      </c>
      <c r="AF33" s="15" t="s">
        <v>165</v>
      </c>
      <c r="AG33" s="2" t="s">
        <v>176</v>
      </c>
      <c r="AH33" s="4" t="s">
        <v>187</v>
      </c>
      <c r="AK33" s="1" t="s">
        <v>7</v>
      </c>
      <c r="AL33" s="51"/>
      <c r="AM33" s="52"/>
      <c r="AN33" s="53"/>
      <c r="AO33" s="51"/>
      <c r="AP33" s="52"/>
      <c r="AQ33" s="53"/>
      <c r="BI33" s="1" t="s">
        <v>7</v>
      </c>
      <c r="BJ33" s="15">
        <v>1.29</v>
      </c>
      <c r="BK33" s="2">
        <v>1.673</v>
      </c>
      <c r="BL33" s="4">
        <v>0.20200000000000001</v>
      </c>
      <c r="BM33" s="58">
        <v>0.33700000000000002</v>
      </c>
      <c r="BN33" s="2">
        <f>AVERAGE(0.494,0.415,0.215,0.237,0.037,0,0,0)</f>
        <v>0.17475000000000002</v>
      </c>
      <c r="BO33" s="2">
        <v>0.115</v>
      </c>
      <c r="BQ33" s="1" t="s">
        <v>7</v>
      </c>
      <c r="BR33" s="12">
        <f t="shared" si="35"/>
        <v>0</v>
      </c>
      <c r="BS33" s="12">
        <f t="shared" si="28"/>
        <v>0</v>
      </c>
      <c r="BT33" s="12">
        <f t="shared" si="28"/>
        <v>0</v>
      </c>
      <c r="BU33" s="1" t="s">
        <v>7</v>
      </c>
      <c r="BV33" s="70">
        <f t="shared" si="29"/>
        <v>3.0000000000000027E-3</v>
      </c>
      <c r="BW33" s="2">
        <f t="shared" si="36"/>
        <v>2.008333333333337E-2</v>
      </c>
      <c r="BX33" s="2">
        <f t="shared" si="37"/>
        <v>2.0000000000000018E-3</v>
      </c>
      <c r="CI33" s="38"/>
      <c r="CJ33" s="1" t="s">
        <v>7</v>
      </c>
      <c r="CK33" s="15">
        <v>1.1659999999999999</v>
      </c>
      <c r="CL33" s="2">
        <v>1.7410000000000001</v>
      </c>
      <c r="CM33" s="4">
        <v>0.13900000000000001</v>
      </c>
      <c r="CN33" s="15">
        <v>0.48699999999999999</v>
      </c>
      <c r="CO33" s="15">
        <f>AVERAGE(0.872,0.112,0.045,0.02,0.051,0,0,0)</f>
        <v>0.13749999999999998</v>
      </c>
      <c r="CP33" s="15">
        <v>0.14199999999999999</v>
      </c>
      <c r="CQ33" s="33"/>
      <c r="CR33" s="1" t="s">
        <v>7</v>
      </c>
      <c r="CS33" s="69">
        <f t="shared" si="38"/>
        <v>-0.12400000000000011</v>
      </c>
      <c r="CT33" s="12">
        <f t="shared" si="30"/>
        <v>6.800000000000006E-2</v>
      </c>
      <c r="CU33" s="12">
        <f t="shared" si="30"/>
        <v>-6.3E-2</v>
      </c>
      <c r="CV33" s="1" t="s">
        <v>7</v>
      </c>
      <c r="CW33" s="70">
        <f t="shared" si="39"/>
        <v>0.14999999999999997</v>
      </c>
      <c r="CX33" s="2">
        <f t="shared" ref="CX33:CY36" si="50">CO33-BN33</f>
        <v>-3.7250000000000033E-2</v>
      </c>
      <c r="CY33" s="2">
        <f t="shared" si="50"/>
        <v>2.6999999999999982E-2</v>
      </c>
      <c r="CZ33" s="33"/>
      <c r="DA33" s="33"/>
      <c r="DB33" s="33"/>
      <c r="DC33" s="33"/>
      <c r="DD33" s="33"/>
      <c r="DE33" s="33"/>
      <c r="DF33" s="33"/>
      <c r="DG33" s="33"/>
      <c r="DH33" s="33"/>
      <c r="DI33" s="34"/>
      <c r="DJ33" s="38"/>
      <c r="DK33" s="1" t="s">
        <v>7</v>
      </c>
      <c r="DL33" s="15">
        <v>1.1619999999999999</v>
      </c>
      <c r="DM33" s="2">
        <v>1.8</v>
      </c>
      <c r="DN33" s="4">
        <v>8.2000000000000003E-2</v>
      </c>
      <c r="DO33" s="2">
        <v>0.496</v>
      </c>
      <c r="DP33" s="2">
        <f>AVERAGE(0.892,0.103,0.029,0.153,0.062,0,0,0)</f>
        <v>0.15487500000000001</v>
      </c>
      <c r="DQ33" s="2">
        <v>0.121</v>
      </c>
      <c r="DR33" s="33"/>
      <c r="DS33" s="1" t="s">
        <v>7</v>
      </c>
      <c r="DT33" s="12">
        <f t="shared" si="40"/>
        <v>-4.0000000000000036E-3</v>
      </c>
      <c r="DU33" s="69">
        <f t="shared" si="41"/>
        <v>5.8999999999999941E-2</v>
      </c>
      <c r="DV33" s="69">
        <f t="shared" si="42"/>
        <v>-5.7000000000000009E-2</v>
      </c>
      <c r="DW33" s="1" t="s">
        <v>7</v>
      </c>
      <c r="DX33" s="58">
        <f t="shared" si="43"/>
        <v>9.000000000000008E-3</v>
      </c>
      <c r="DY33" s="2">
        <f t="shared" si="44"/>
        <v>1.7375000000000029E-2</v>
      </c>
      <c r="DZ33" s="2">
        <f t="shared" si="45"/>
        <v>-2.0999999999999991E-2</v>
      </c>
      <c r="EA33" s="33"/>
      <c r="EB33" s="33"/>
      <c r="EC33" s="33"/>
      <c r="ED33" s="33"/>
      <c r="EE33" s="33"/>
      <c r="EF33" s="33"/>
      <c r="EG33" s="33"/>
      <c r="EH33" s="33"/>
      <c r="EI33" s="33"/>
      <c r="EJ33" s="34"/>
      <c r="EK33" s="38"/>
      <c r="EL33" s="1" t="s">
        <v>7</v>
      </c>
      <c r="EM33" s="15">
        <v>1.19</v>
      </c>
      <c r="EN33" s="2">
        <v>1.843</v>
      </c>
      <c r="EO33" s="4">
        <v>3.9E-2</v>
      </c>
      <c r="EP33" s="2">
        <v>0.52300000000000002</v>
      </c>
      <c r="EQ33" s="2">
        <f>AVERAGE(0.927,0,0.101,0.067,0.064,0,0,0)</f>
        <v>0.144875</v>
      </c>
      <c r="ER33" s="2">
        <v>0.126</v>
      </c>
      <c r="ES33" s="33"/>
      <c r="ET33" s="1" t="s">
        <v>7</v>
      </c>
      <c r="EU33" s="12">
        <f t="shared" si="46"/>
        <v>2.8000000000000025E-2</v>
      </c>
      <c r="EV33" s="69">
        <f t="shared" si="33"/>
        <v>4.2999999999999927E-2</v>
      </c>
      <c r="EW33" s="69">
        <f t="shared" si="34"/>
        <v>-4.3000000000000003E-2</v>
      </c>
      <c r="EX33" s="1" t="s">
        <v>7</v>
      </c>
      <c r="EY33" s="70">
        <f t="shared" si="47"/>
        <v>2.7000000000000024E-2</v>
      </c>
      <c r="EZ33" s="2">
        <f t="shared" si="48"/>
        <v>-1.0000000000000009E-2</v>
      </c>
      <c r="FA33" s="2">
        <f t="shared" si="49"/>
        <v>5.0000000000000044E-3</v>
      </c>
      <c r="FB33" s="33"/>
      <c r="FC33" s="33"/>
      <c r="FD33" s="33"/>
      <c r="FE33" s="33"/>
      <c r="FF33" s="33"/>
      <c r="FG33" s="33"/>
      <c r="FH33" s="33"/>
      <c r="FI33" s="33"/>
      <c r="FJ33" s="33"/>
      <c r="FK33" s="34"/>
      <c r="FL33" s="1" t="s">
        <v>7</v>
      </c>
      <c r="FM33" s="15">
        <v>1.29</v>
      </c>
      <c r="FN33" s="15">
        <v>1.29</v>
      </c>
      <c r="FO33" s="15">
        <v>1.1659999999999999</v>
      </c>
      <c r="FP33" s="15">
        <v>1.1619999999999999</v>
      </c>
      <c r="FQ33" s="15">
        <v>1.19</v>
      </c>
      <c r="FZ33" s="1" t="s">
        <v>7</v>
      </c>
      <c r="GA33" s="2">
        <v>1.673</v>
      </c>
      <c r="GB33" s="2">
        <v>1.673</v>
      </c>
      <c r="GC33" s="2">
        <v>1.7410000000000001</v>
      </c>
      <c r="GD33" s="2">
        <v>1.8</v>
      </c>
      <c r="GE33" s="2">
        <v>1.843</v>
      </c>
      <c r="GN33" s="1" t="s">
        <v>7</v>
      </c>
      <c r="GO33" s="4">
        <v>0.20200000000000001</v>
      </c>
      <c r="GP33" s="4">
        <v>0.20200000000000001</v>
      </c>
      <c r="GQ33" s="4">
        <v>0.13900000000000001</v>
      </c>
      <c r="GR33" s="4">
        <v>8.2000000000000003E-2</v>
      </c>
      <c r="GS33" s="4">
        <v>3.9E-2</v>
      </c>
      <c r="HB33" s="1" t="s">
        <v>7</v>
      </c>
      <c r="HC33" s="12">
        <v>0.33400000000000002</v>
      </c>
      <c r="HD33" s="58">
        <v>0.33700000000000002</v>
      </c>
      <c r="HE33" s="15">
        <v>0.48699999999999999</v>
      </c>
      <c r="HF33" s="2">
        <v>0.496</v>
      </c>
      <c r="HG33" s="2">
        <v>0.52300000000000002</v>
      </c>
      <c r="HP33" s="1" t="s">
        <v>7</v>
      </c>
      <c r="HQ33" s="12">
        <v>0.113</v>
      </c>
      <c r="HR33" s="2">
        <v>0.115</v>
      </c>
      <c r="HS33" s="15">
        <v>0.14199999999999999</v>
      </c>
      <c r="HT33" s="2">
        <v>0.121</v>
      </c>
      <c r="HU33" s="2">
        <v>0.126</v>
      </c>
      <c r="ID33" s="1" t="s">
        <v>7</v>
      </c>
      <c r="IE33" s="12">
        <v>0.15466666666666665</v>
      </c>
      <c r="IF33" s="15">
        <v>0.17475000000000002</v>
      </c>
      <c r="IG33" s="15">
        <v>0.13749999999999998</v>
      </c>
      <c r="IH33" s="2">
        <v>0.15487500000000001</v>
      </c>
      <c r="II33" s="2">
        <v>0.144875</v>
      </c>
    </row>
    <row r="34" spans="1:243" ht="30" customHeight="1" thickBot="1" x14ac:dyDescent="0.35">
      <c r="A34" s="36" t="s">
        <v>10</v>
      </c>
      <c r="B34" s="15">
        <v>1.304</v>
      </c>
      <c r="C34" s="2">
        <v>1.6970000000000001</v>
      </c>
      <c r="D34" s="4">
        <v>0.185</v>
      </c>
      <c r="N34" s="1" t="s">
        <v>10</v>
      </c>
      <c r="O34" s="12">
        <v>0.35</v>
      </c>
      <c r="P34" s="12">
        <v>0.12</v>
      </c>
      <c r="Q34" s="12">
        <f>AVERAGE(0.533,0.307,0.196,0.087,0.012,0.2,0.025,0,)</f>
        <v>0.15111111111111108</v>
      </c>
      <c r="AB34" s="1" t="s">
        <v>10</v>
      </c>
      <c r="AC34" s="15" t="s">
        <v>133</v>
      </c>
      <c r="AD34" s="2" t="s">
        <v>144</v>
      </c>
      <c r="AE34" s="4" t="s">
        <v>155</v>
      </c>
      <c r="AF34" s="15" t="s">
        <v>166</v>
      </c>
      <c r="AG34" s="2" t="s">
        <v>177</v>
      </c>
      <c r="AH34" s="4" t="s">
        <v>188</v>
      </c>
      <c r="AK34" s="1" t="s">
        <v>10</v>
      </c>
      <c r="AL34" s="51"/>
      <c r="AM34" s="52"/>
      <c r="AN34" s="53"/>
      <c r="AO34" s="51"/>
      <c r="AP34" s="52"/>
      <c r="AQ34" s="53"/>
      <c r="BI34" s="1" t="s">
        <v>10</v>
      </c>
      <c r="BJ34" s="15">
        <v>1.3049999999999999</v>
      </c>
      <c r="BK34" s="2">
        <v>1.698</v>
      </c>
      <c r="BL34" s="4">
        <v>0.184</v>
      </c>
      <c r="BM34" s="58">
        <v>0.35</v>
      </c>
      <c r="BN34" s="2">
        <f>AVERAGE(0.533,0.307,0.196,0.087,0.012,0.2,0.025,0)</f>
        <v>0.16999999999999998</v>
      </c>
      <c r="BO34" s="2">
        <v>0.12</v>
      </c>
      <c r="BQ34" s="1" t="s">
        <v>10</v>
      </c>
      <c r="BR34" s="12">
        <f t="shared" si="35"/>
        <v>9.9999999999988987E-4</v>
      </c>
      <c r="BS34" s="12">
        <f t="shared" si="28"/>
        <v>9.9999999999988987E-4</v>
      </c>
      <c r="BT34" s="12">
        <f t="shared" si="28"/>
        <v>-1.0000000000000009E-3</v>
      </c>
      <c r="BU34" s="1" t="s">
        <v>10</v>
      </c>
      <c r="BV34" s="70">
        <f t="shared" si="29"/>
        <v>0</v>
      </c>
      <c r="BW34" s="2">
        <f t="shared" si="36"/>
        <v>1.8888888888888899E-2</v>
      </c>
      <c r="BX34" s="2">
        <f t="shared" si="37"/>
        <v>0</v>
      </c>
      <c r="CI34" s="38"/>
      <c r="CJ34" s="1" t="s">
        <v>10</v>
      </c>
      <c r="CK34" s="15">
        <v>1.2789999999999999</v>
      </c>
      <c r="CL34" s="2">
        <v>1.7</v>
      </c>
      <c r="CM34" s="4">
        <v>0.183</v>
      </c>
      <c r="CN34" s="15">
        <v>0.40100000000000002</v>
      </c>
      <c r="CO34" s="15">
        <f>AVERAGE(0.653,0.443,0.121,0.117,0.08,0,0,0)</f>
        <v>0.17675000000000002</v>
      </c>
      <c r="CP34" s="15">
        <v>0.13100000000000001</v>
      </c>
      <c r="CQ34" s="33"/>
      <c r="CR34" s="1" t="s">
        <v>10</v>
      </c>
      <c r="CS34" s="12">
        <f t="shared" si="38"/>
        <v>-2.6000000000000023E-2</v>
      </c>
      <c r="CT34" s="12">
        <f t="shared" si="30"/>
        <v>2.0000000000000018E-3</v>
      </c>
      <c r="CU34" s="12">
        <f t="shared" si="30"/>
        <v>-1.0000000000000009E-3</v>
      </c>
      <c r="CV34" s="1" t="s">
        <v>10</v>
      </c>
      <c r="CW34" s="70">
        <f t="shared" si="39"/>
        <v>5.1000000000000045E-2</v>
      </c>
      <c r="CX34" s="2">
        <f t="shared" si="50"/>
        <v>6.7500000000000338E-3</v>
      </c>
      <c r="CY34" s="2">
        <f t="shared" si="50"/>
        <v>1.100000000000001E-2</v>
      </c>
      <c r="CZ34" s="33"/>
      <c r="DA34" s="33"/>
      <c r="DB34" s="33"/>
      <c r="DC34" s="33"/>
      <c r="DD34" s="33"/>
      <c r="DE34" s="33"/>
      <c r="DF34" s="33"/>
      <c r="DG34" s="33"/>
      <c r="DH34" s="33"/>
      <c r="DI34" s="34"/>
      <c r="DJ34" s="38"/>
      <c r="DK34" s="1" t="s">
        <v>10</v>
      </c>
      <c r="DL34" s="15">
        <v>1.284</v>
      </c>
      <c r="DM34" s="2">
        <v>1.776</v>
      </c>
      <c r="DN34" s="4">
        <v>0.108</v>
      </c>
      <c r="DO34" s="2">
        <v>0.41699999999999998</v>
      </c>
      <c r="DP34" s="2">
        <f>AVERAGE(0.697,0.195,0.153,0.025,0.043,0,0,0)</f>
        <v>0.13912499999999997</v>
      </c>
      <c r="DQ34" s="2">
        <v>0.123</v>
      </c>
      <c r="DR34" s="33"/>
      <c r="DS34" s="1" t="s">
        <v>10</v>
      </c>
      <c r="DT34" s="12">
        <f t="shared" si="40"/>
        <v>5.0000000000001155E-3</v>
      </c>
      <c r="DU34" s="69">
        <f t="shared" si="41"/>
        <v>7.6000000000000068E-2</v>
      </c>
      <c r="DV34" s="69">
        <f t="shared" si="42"/>
        <v>-7.4999999999999997E-2</v>
      </c>
      <c r="DW34" s="1" t="s">
        <v>10</v>
      </c>
      <c r="DX34" s="58">
        <f t="shared" si="43"/>
        <v>1.5999999999999959E-2</v>
      </c>
      <c r="DY34" s="2">
        <f t="shared" si="44"/>
        <v>-3.7625000000000047E-2</v>
      </c>
      <c r="DZ34" s="2">
        <f t="shared" si="45"/>
        <v>-8.0000000000000071E-3</v>
      </c>
      <c r="EA34" s="33"/>
      <c r="EB34" s="33"/>
      <c r="EC34" s="33"/>
      <c r="ED34" s="33"/>
      <c r="EE34" s="33"/>
      <c r="EF34" s="33"/>
      <c r="EG34" s="33"/>
      <c r="EH34" s="33"/>
      <c r="EI34" s="33"/>
      <c r="EJ34" s="34"/>
      <c r="EK34" s="38"/>
      <c r="EL34" s="1" t="s">
        <v>10</v>
      </c>
      <c r="EM34" s="15">
        <v>1.3</v>
      </c>
      <c r="EN34" s="2">
        <v>1.7549999999999999</v>
      </c>
      <c r="EO34" s="4">
        <v>0.129</v>
      </c>
      <c r="EP34" s="2">
        <v>0.40899999999999997</v>
      </c>
      <c r="EQ34" s="2">
        <f>AVERAGE(0.685,0.273,0.104,0.067,0.093,0,0,0)</f>
        <v>0.15275</v>
      </c>
      <c r="ER34" s="2">
        <v>0.114</v>
      </c>
      <c r="ES34" s="33"/>
      <c r="ET34" s="1" t="s">
        <v>10</v>
      </c>
      <c r="EU34" s="12">
        <f t="shared" si="46"/>
        <v>1.6000000000000014E-2</v>
      </c>
      <c r="EV34" s="12">
        <f t="shared" si="33"/>
        <v>-2.100000000000013E-2</v>
      </c>
      <c r="EW34" s="12">
        <f t="shared" si="34"/>
        <v>2.1000000000000005E-2</v>
      </c>
      <c r="EX34" s="1" t="s">
        <v>10</v>
      </c>
      <c r="EY34" s="58">
        <f t="shared" si="47"/>
        <v>-8.0000000000000071E-3</v>
      </c>
      <c r="EZ34" s="2">
        <f t="shared" si="48"/>
        <v>1.3625000000000026E-2</v>
      </c>
      <c r="FA34" s="2">
        <f t="shared" si="49"/>
        <v>-8.9999999999999941E-3</v>
      </c>
      <c r="FB34" s="33"/>
      <c r="FC34" s="33"/>
      <c r="FD34" s="33"/>
      <c r="FE34" s="33"/>
      <c r="FF34" s="33"/>
      <c r="FG34" s="33"/>
      <c r="FH34" s="33"/>
      <c r="FI34" s="33"/>
      <c r="FJ34" s="33"/>
      <c r="FK34" s="34"/>
      <c r="FL34" s="1" t="s">
        <v>10</v>
      </c>
      <c r="FM34" s="15">
        <v>1.304</v>
      </c>
      <c r="FN34" s="15">
        <v>1.3049999999999999</v>
      </c>
      <c r="FO34" s="15">
        <v>1.2789999999999999</v>
      </c>
      <c r="FP34" s="15">
        <v>1.284</v>
      </c>
      <c r="FQ34" s="15">
        <v>1.3</v>
      </c>
      <c r="FZ34" s="1" t="s">
        <v>10</v>
      </c>
      <c r="GA34" s="2">
        <v>1.6970000000000001</v>
      </c>
      <c r="GB34" s="2">
        <v>1.698</v>
      </c>
      <c r="GC34" s="2">
        <v>1.7</v>
      </c>
      <c r="GD34" s="2">
        <v>1.776</v>
      </c>
      <c r="GE34" s="2">
        <v>1.7549999999999999</v>
      </c>
      <c r="GN34" s="1" t="s">
        <v>10</v>
      </c>
      <c r="GO34" s="4">
        <v>0.185</v>
      </c>
      <c r="GP34" s="4">
        <v>0.184</v>
      </c>
      <c r="GQ34" s="4">
        <v>0.183</v>
      </c>
      <c r="GR34" s="4">
        <v>0.108</v>
      </c>
      <c r="GS34" s="4">
        <v>0.129</v>
      </c>
      <c r="HB34" s="1" t="s">
        <v>10</v>
      </c>
      <c r="HC34" s="12">
        <v>0.35</v>
      </c>
      <c r="HD34" s="58">
        <v>0.35</v>
      </c>
      <c r="HE34" s="15">
        <v>0.40100000000000002</v>
      </c>
      <c r="HF34" s="2">
        <v>0.41699999999999998</v>
      </c>
      <c r="HG34" s="2">
        <v>0.40899999999999997</v>
      </c>
      <c r="HP34" s="1" t="s">
        <v>10</v>
      </c>
      <c r="HQ34" s="12">
        <v>0.12</v>
      </c>
      <c r="HR34" s="2">
        <v>0.12</v>
      </c>
      <c r="HS34" s="15">
        <v>0.13100000000000001</v>
      </c>
      <c r="HT34" s="2">
        <v>0.123</v>
      </c>
      <c r="HU34" s="2">
        <v>0.114</v>
      </c>
      <c r="ID34" s="1" t="s">
        <v>10</v>
      </c>
      <c r="IE34" s="12">
        <v>0.15111111111111108</v>
      </c>
      <c r="IF34" s="15">
        <v>0.16999999999999998</v>
      </c>
      <c r="IG34" s="15">
        <v>0.17675000000000002</v>
      </c>
      <c r="IH34" s="2">
        <v>0.13912499999999997</v>
      </c>
      <c r="II34" s="2">
        <v>0.15275</v>
      </c>
    </row>
    <row r="35" spans="1:243" ht="30" customHeight="1" thickBot="1" x14ac:dyDescent="0.35">
      <c r="A35" s="36" t="s">
        <v>18</v>
      </c>
      <c r="B35" s="15">
        <v>1.2889999999999999</v>
      </c>
      <c r="C35" s="2">
        <v>1.645</v>
      </c>
      <c r="D35" s="4">
        <v>0.23300000000000001</v>
      </c>
      <c r="N35" s="1" t="s">
        <v>18</v>
      </c>
      <c r="O35" s="12">
        <v>0.34200000000000003</v>
      </c>
      <c r="P35" s="12">
        <v>0.11799999999999999</v>
      </c>
      <c r="Q35" s="12">
        <f>AVERAGE(0.519,0.343,0.154,0.117,0.022,0.208,0.075,0.05,)</f>
        <v>0.16533333333333333</v>
      </c>
      <c r="AB35" s="1" t="s">
        <v>18</v>
      </c>
      <c r="AC35" s="15" t="s">
        <v>134</v>
      </c>
      <c r="AD35" s="2" t="s">
        <v>145</v>
      </c>
      <c r="AE35" s="4" t="s">
        <v>156</v>
      </c>
      <c r="AF35" s="15" t="s">
        <v>167</v>
      </c>
      <c r="AG35" s="2" t="s">
        <v>178</v>
      </c>
      <c r="AH35" s="4" t="s">
        <v>189</v>
      </c>
      <c r="AK35" s="1" t="s">
        <v>18</v>
      </c>
      <c r="AL35" s="51"/>
      <c r="AM35" s="52"/>
      <c r="AN35" s="53"/>
      <c r="AO35" s="51"/>
      <c r="AP35" s="52"/>
      <c r="AQ35" s="53"/>
      <c r="BI35" s="1" t="s">
        <v>18</v>
      </c>
      <c r="BJ35" s="15">
        <v>1.2889999999999999</v>
      </c>
      <c r="BK35" s="2">
        <v>1.645</v>
      </c>
      <c r="BL35" s="4">
        <v>0.23300000000000001</v>
      </c>
      <c r="BM35" s="58">
        <v>0.34200000000000003</v>
      </c>
      <c r="BN35" s="2">
        <f>AVERAGE(0.519,0.343,0.154,0.117,0.022,0.208,0.075,0.05)</f>
        <v>0.186</v>
      </c>
      <c r="BO35" s="2">
        <v>0.11799999999999999</v>
      </c>
      <c r="BQ35" s="1" t="s">
        <v>18</v>
      </c>
      <c r="BR35" s="12">
        <f t="shared" si="35"/>
        <v>0</v>
      </c>
      <c r="BS35" s="12">
        <f t="shared" si="28"/>
        <v>0</v>
      </c>
      <c r="BT35" s="12">
        <f t="shared" si="28"/>
        <v>0</v>
      </c>
      <c r="BU35" s="1" t="s">
        <v>18</v>
      </c>
      <c r="BV35" s="70">
        <f t="shared" si="29"/>
        <v>0</v>
      </c>
      <c r="BW35" s="2">
        <f t="shared" si="36"/>
        <v>2.0666666666666667E-2</v>
      </c>
      <c r="BX35" s="2">
        <f t="shared" si="37"/>
        <v>0</v>
      </c>
      <c r="CI35" s="38"/>
      <c r="CJ35" s="1" t="s">
        <v>18</v>
      </c>
      <c r="CK35" s="15">
        <v>1.274</v>
      </c>
      <c r="CL35" s="2">
        <v>1.629</v>
      </c>
      <c r="CM35" s="4">
        <v>0.248</v>
      </c>
      <c r="CN35" s="15">
        <v>0.34200000000000003</v>
      </c>
      <c r="CO35" s="15">
        <f>AVERAGE(0.517,0.41,0.158,0.133,0.024,0.125,0.125,0)</f>
        <v>0.1865</v>
      </c>
      <c r="CP35" s="15">
        <v>0.126</v>
      </c>
      <c r="CQ35" s="33"/>
      <c r="CR35" s="1" t="s">
        <v>18</v>
      </c>
      <c r="CS35" s="12">
        <f t="shared" si="38"/>
        <v>-1.4999999999999902E-2</v>
      </c>
      <c r="CT35" s="12">
        <f t="shared" si="30"/>
        <v>-1.6000000000000014E-2</v>
      </c>
      <c r="CU35" s="12">
        <f t="shared" si="30"/>
        <v>1.4999999999999986E-2</v>
      </c>
      <c r="CV35" s="1" t="s">
        <v>18</v>
      </c>
      <c r="CW35" s="58">
        <f t="shared" si="39"/>
        <v>0</v>
      </c>
      <c r="CX35" s="2">
        <f t="shared" si="50"/>
        <v>5.0000000000000044E-4</v>
      </c>
      <c r="CY35" s="2">
        <f t="shared" si="50"/>
        <v>8.0000000000000071E-3</v>
      </c>
      <c r="CZ35" s="33"/>
      <c r="DA35" s="33"/>
      <c r="DB35" s="33"/>
      <c r="DC35" s="33"/>
      <c r="DD35" s="33"/>
      <c r="DE35" s="33"/>
      <c r="DF35" s="33"/>
      <c r="DG35" s="33"/>
      <c r="DH35" s="33"/>
      <c r="DI35" s="34"/>
      <c r="DJ35" s="38"/>
      <c r="DK35" s="1" t="s">
        <v>18</v>
      </c>
      <c r="DL35" s="15">
        <v>1.268</v>
      </c>
      <c r="DM35" s="2">
        <v>1.633</v>
      </c>
      <c r="DN35" s="4">
        <v>0.24399999999999999</v>
      </c>
      <c r="DO35" s="2">
        <v>0.35699999999999998</v>
      </c>
      <c r="DP35" s="2">
        <f>AVERAGE(0.558,0.302,0.152,0.017,0.027,0.15,0.1,0.05)</f>
        <v>0.16949999999999998</v>
      </c>
      <c r="DQ35" s="2">
        <v>0.11899999999999999</v>
      </c>
      <c r="DR35" s="33"/>
      <c r="DS35" s="1" t="s">
        <v>18</v>
      </c>
      <c r="DT35" s="12">
        <f t="shared" si="40"/>
        <v>-6.0000000000000053E-3</v>
      </c>
      <c r="DU35" s="12">
        <f t="shared" si="41"/>
        <v>4.0000000000000036E-3</v>
      </c>
      <c r="DV35" s="12">
        <f t="shared" si="42"/>
        <v>-4.0000000000000036E-3</v>
      </c>
      <c r="DW35" s="1" t="s">
        <v>18</v>
      </c>
      <c r="DX35" s="58">
        <f t="shared" si="43"/>
        <v>1.4999999999999958E-2</v>
      </c>
      <c r="DY35" s="2">
        <f t="shared" si="44"/>
        <v>-1.7000000000000015E-2</v>
      </c>
      <c r="DZ35" s="2">
        <f t="shared" si="45"/>
        <v>-7.0000000000000062E-3</v>
      </c>
      <c r="EA35" s="33"/>
      <c r="EB35" s="33"/>
      <c r="EC35" s="33"/>
      <c r="ED35" s="33"/>
      <c r="EE35" s="33"/>
      <c r="EF35" s="33"/>
      <c r="EG35" s="33"/>
      <c r="EH35" s="33"/>
      <c r="EI35" s="33"/>
      <c r="EJ35" s="34"/>
      <c r="EK35" s="38"/>
      <c r="EL35" s="1" t="s">
        <v>18</v>
      </c>
      <c r="EM35" s="15">
        <v>1.2809999999999999</v>
      </c>
      <c r="EN35" s="2">
        <v>1.645</v>
      </c>
      <c r="EO35" s="4">
        <v>0.23499999999999999</v>
      </c>
      <c r="EP35" s="2">
        <v>0.33</v>
      </c>
      <c r="EQ35" s="2">
        <f>AVERAGE(0.511,0.377,0.154,0.067,0.014,0.175,0,0)</f>
        <v>0.16225000000000001</v>
      </c>
      <c r="ER35" s="2">
        <v>0.108</v>
      </c>
      <c r="ES35" s="33"/>
      <c r="ET35" s="1" t="s">
        <v>18</v>
      </c>
      <c r="EU35" s="12">
        <f t="shared" si="46"/>
        <v>1.2999999999999901E-2</v>
      </c>
      <c r="EV35" s="12">
        <f t="shared" si="33"/>
        <v>1.2000000000000011E-2</v>
      </c>
      <c r="EW35" s="12">
        <f t="shared" si="34"/>
        <v>-9.000000000000008E-3</v>
      </c>
      <c r="EX35" s="1" t="s">
        <v>18</v>
      </c>
      <c r="EY35" s="58">
        <f t="shared" si="47"/>
        <v>-2.6999999999999968E-2</v>
      </c>
      <c r="EZ35" s="2">
        <f t="shared" si="48"/>
        <v>-7.2499999999999787E-3</v>
      </c>
      <c r="FA35" s="2">
        <f t="shared" si="49"/>
        <v>-1.0999999999999996E-2</v>
      </c>
      <c r="FB35" s="33"/>
      <c r="FC35" s="33"/>
      <c r="FD35" s="33"/>
      <c r="FE35" s="33"/>
      <c r="FF35" s="33"/>
      <c r="FG35" s="33"/>
      <c r="FH35" s="33"/>
      <c r="FI35" s="33"/>
      <c r="FJ35" s="33"/>
      <c r="FK35" s="34"/>
      <c r="FL35" s="1" t="s">
        <v>18</v>
      </c>
      <c r="FM35" s="15">
        <v>1.2889999999999999</v>
      </c>
      <c r="FN35" s="15">
        <v>1.2889999999999999</v>
      </c>
      <c r="FO35" s="15">
        <v>1.274</v>
      </c>
      <c r="FP35" s="15">
        <v>1.268</v>
      </c>
      <c r="FQ35" s="15">
        <v>1.2809999999999999</v>
      </c>
      <c r="FZ35" s="1" t="s">
        <v>18</v>
      </c>
      <c r="GA35" s="2">
        <v>1.645</v>
      </c>
      <c r="GB35" s="2">
        <v>1.645</v>
      </c>
      <c r="GC35" s="2">
        <v>1.629</v>
      </c>
      <c r="GD35" s="2">
        <v>1.633</v>
      </c>
      <c r="GE35" s="2">
        <v>1.645</v>
      </c>
      <c r="GN35" s="1" t="s">
        <v>18</v>
      </c>
      <c r="GO35" s="4">
        <v>0.23300000000000001</v>
      </c>
      <c r="GP35" s="4">
        <v>0.23300000000000001</v>
      </c>
      <c r="GQ35" s="4">
        <v>0.248</v>
      </c>
      <c r="GR35" s="4">
        <v>0.24399999999999999</v>
      </c>
      <c r="GS35" s="4">
        <v>0.23499999999999999</v>
      </c>
      <c r="HB35" s="1" t="s">
        <v>18</v>
      </c>
      <c r="HC35" s="12">
        <v>0.34200000000000003</v>
      </c>
      <c r="HD35" s="58">
        <v>0.34200000000000003</v>
      </c>
      <c r="HE35" s="15">
        <v>0.34200000000000003</v>
      </c>
      <c r="HF35" s="2">
        <v>0.35699999999999998</v>
      </c>
      <c r="HG35" s="2">
        <v>0.33</v>
      </c>
      <c r="HP35" s="1" t="s">
        <v>18</v>
      </c>
      <c r="HQ35" s="12">
        <v>0.11799999999999999</v>
      </c>
      <c r="HR35" s="2">
        <v>0.11799999999999999</v>
      </c>
      <c r="HS35" s="15">
        <v>0.126</v>
      </c>
      <c r="HT35" s="2">
        <v>0.11899999999999999</v>
      </c>
      <c r="HU35" s="2">
        <v>0.108</v>
      </c>
      <c r="ID35" s="1" t="s">
        <v>18</v>
      </c>
      <c r="IE35" s="12">
        <v>0.16533333333333333</v>
      </c>
      <c r="IF35" s="15">
        <v>0.186</v>
      </c>
      <c r="IG35" s="15">
        <v>0.1865</v>
      </c>
      <c r="IH35" s="2">
        <v>0.16949999999999998</v>
      </c>
      <c r="II35" s="2">
        <v>0.16225000000000001</v>
      </c>
    </row>
    <row r="36" spans="1:243" ht="30" customHeight="1" thickBot="1" x14ac:dyDescent="0.35">
      <c r="A36" s="36" t="s">
        <v>19</v>
      </c>
      <c r="B36" s="15">
        <v>1.353</v>
      </c>
      <c r="C36" s="2">
        <v>1.804</v>
      </c>
      <c r="D36" s="4">
        <v>7.5999999999999998E-2</v>
      </c>
      <c r="N36" s="1" t="s">
        <v>19</v>
      </c>
      <c r="O36" s="12">
        <v>0.36799999999999999</v>
      </c>
      <c r="P36" s="12">
        <v>0.11799999999999999</v>
      </c>
      <c r="Q36" s="12">
        <f>AVERAGE(0.559,0.358,0.184,0.357,0.014,0.1,0.1,0.05,)</f>
        <v>0.19133333333333336</v>
      </c>
      <c r="AB36" s="1" t="s">
        <v>19</v>
      </c>
      <c r="AC36" s="15" t="s">
        <v>135</v>
      </c>
      <c r="AD36" s="2" t="s">
        <v>146</v>
      </c>
      <c r="AE36" s="4" t="s">
        <v>157</v>
      </c>
      <c r="AF36" s="15" t="s">
        <v>168</v>
      </c>
      <c r="AG36" s="2" t="s">
        <v>179</v>
      </c>
      <c r="AH36" s="4" t="s">
        <v>190</v>
      </c>
      <c r="AK36" s="1" t="s">
        <v>19</v>
      </c>
      <c r="AL36" s="51"/>
      <c r="AM36" s="52"/>
      <c r="AN36" s="53"/>
      <c r="AO36" s="51"/>
      <c r="AP36" s="52"/>
      <c r="AQ36" s="53"/>
      <c r="BI36" s="1" t="s">
        <v>19</v>
      </c>
      <c r="BJ36" s="15">
        <v>1.4570000000000001</v>
      </c>
      <c r="BK36" s="2">
        <v>1.8939999999999999</v>
      </c>
      <c r="BL36" s="4">
        <v>-2.8000000000000001E-2</v>
      </c>
      <c r="BM36" s="58">
        <v>0.36099999999999999</v>
      </c>
      <c r="BN36" s="2">
        <f>AVERAGE(0.529,0.22,0.237,0.125,0.143,0.2,0.033,0.033)</f>
        <v>0.18999999999999997</v>
      </c>
      <c r="BO36" s="2">
        <v>0.112</v>
      </c>
      <c r="BQ36" s="1" t="s">
        <v>19</v>
      </c>
      <c r="BR36" s="12">
        <f t="shared" si="35"/>
        <v>0.10400000000000009</v>
      </c>
      <c r="BS36" s="12">
        <f t="shared" si="28"/>
        <v>8.9999999999999858E-2</v>
      </c>
      <c r="BT36" s="12">
        <f t="shared" si="28"/>
        <v>-0.104</v>
      </c>
      <c r="BU36" s="1" t="s">
        <v>19</v>
      </c>
      <c r="BV36" s="70">
        <f t="shared" si="29"/>
        <v>-7.0000000000000062E-3</v>
      </c>
      <c r="BW36" s="2">
        <f t="shared" si="36"/>
        <v>-1.3333333333333808E-3</v>
      </c>
      <c r="BX36" s="2">
        <f t="shared" si="37"/>
        <v>-5.9999999999999915E-3</v>
      </c>
      <c r="CI36" s="38"/>
      <c r="CJ36" s="1" t="s">
        <v>19</v>
      </c>
      <c r="CK36" s="15">
        <v>1.2889999999999999</v>
      </c>
      <c r="CL36" s="3">
        <v>1.651</v>
      </c>
      <c r="CM36" s="4">
        <v>0.22500000000000001</v>
      </c>
      <c r="CN36" s="15">
        <v>0.33500000000000002</v>
      </c>
      <c r="CO36" s="15">
        <f>AVERAGE(0.498,0.393,0.216,0.017,0.037,0,0,0)</f>
        <v>0.14512499999999998</v>
      </c>
      <c r="CP36" s="15">
        <v>0.12</v>
      </c>
      <c r="CQ36" s="33"/>
      <c r="CR36" s="1" t="s">
        <v>19</v>
      </c>
      <c r="CS36" s="69">
        <f t="shared" si="38"/>
        <v>-0.16800000000000015</v>
      </c>
      <c r="CT36" s="69">
        <f t="shared" si="30"/>
        <v>-0.24299999999999988</v>
      </c>
      <c r="CU36" s="69">
        <f t="shared" si="30"/>
        <v>0.253</v>
      </c>
      <c r="CV36" s="1" t="s">
        <v>19</v>
      </c>
      <c r="CW36" s="58">
        <f t="shared" si="39"/>
        <v>-2.5999999999999968E-2</v>
      </c>
      <c r="CX36" s="2">
        <f t="shared" si="50"/>
        <v>-4.4874999999999998E-2</v>
      </c>
      <c r="CY36" s="2">
        <f t="shared" si="50"/>
        <v>7.9999999999999932E-3</v>
      </c>
      <c r="CZ36" s="33"/>
      <c r="DA36" s="33"/>
      <c r="DB36" s="33"/>
      <c r="DC36" s="33"/>
      <c r="DD36" s="33"/>
      <c r="DE36" s="33"/>
      <c r="DF36" s="33"/>
      <c r="DG36" s="33"/>
      <c r="DH36" s="33"/>
      <c r="DI36" s="34"/>
      <c r="DJ36" s="38"/>
      <c r="DK36" s="1" t="s">
        <v>19</v>
      </c>
      <c r="DL36" s="15">
        <v>1.2549999999999999</v>
      </c>
      <c r="DM36" s="2">
        <v>1.617</v>
      </c>
      <c r="DN36" s="4">
        <v>0.25800000000000001</v>
      </c>
      <c r="DO36" s="2">
        <v>0.34899999999999998</v>
      </c>
      <c r="DP36" s="2">
        <f>AVERAGE(0.57,0.235,0.119,0.137,0.066,0.1,0,0)</f>
        <v>0.15337500000000001</v>
      </c>
      <c r="DQ36" s="2">
        <v>0.105</v>
      </c>
      <c r="DR36" s="33"/>
      <c r="DS36" s="1" t="s">
        <v>19</v>
      </c>
      <c r="DT36" s="69">
        <f t="shared" si="40"/>
        <v>-3.400000000000003E-2</v>
      </c>
      <c r="DU36" s="69">
        <f t="shared" si="41"/>
        <v>-3.400000000000003E-2</v>
      </c>
      <c r="DV36" s="12">
        <f>DN36-CM36</f>
        <v>3.3000000000000002E-2</v>
      </c>
      <c r="DW36" s="1" t="s">
        <v>19</v>
      </c>
      <c r="DX36" s="58">
        <f t="shared" si="43"/>
        <v>1.3999999999999957E-2</v>
      </c>
      <c r="DY36" s="2">
        <f t="shared" si="44"/>
        <v>8.2500000000000351E-3</v>
      </c>
      <c r="DZ36" s="2">
        <f>DQ36-CP36</f>
        <v>-1.4999999999999999E-2</v>
      </c>
      <c r="EA36" s="33"/>
      <c r="EB36" s="33"/>
      <c r="EC36" s="33"/>
      <c r="ED36" s="33"/>
      <c r="EE36" s="33"/>
      <c r="EF36" s="33"/>
      <c r="EG36" s="33"/>
      <c r="EH36" s="33"/>
      <c r="EI36" s="33"/>
      <c r="EJ36" s="34"/>
      <c r="EK36" s="38"/>
      <c r="EL36" s="1" t="s">
        <v>19</v>
      </c>
      <c r="EM36" s="15">
        <v>1.278</v>
      </c>
      <c r="EN36" s="2">
        <v>1.645</v>
      </c>
      <c r="EO36" s="4">
        <v>0.23400000000000001</v>
      </c>
      <c r="EP36" s="2">
        <v>0.34699999999999998</v>
      </c>
      <c r="EQ36" s="2">
        <f>AVERAGE(0.539,0.382,0.13,0.067,0.039,0.158,0.15,0)</f>
        <v>0.18312499999999998</v>
      </c>
      <c r="ER36" s="2">
        <v>0.112</v>
      </c>
      <c r="ES36" s="33"/>
      <c r="ET36" s="1" t="s">
        <v>19</v>
      </c>
      <c r="EU36" s="12">
        <f t="shared" si="46"/>
        <v>2.3000000000000131E-2</v>
      </c>
      <c r="EV36" s="12">
        <f t="shared" si="33"/>
        <v>2.8000000000000025E-2</v>
      </c>
      <c r="EW36" s="12">
        <f>EO36-DN36</f>
        <v>-2.3999999999999994E-2</v>
      </c>
      <c r="EX36" s="1" t="s">
        <v>19</v>
      </c>
      <c r="EY36" s="58">
        <f t="shared" si="47"/>
        <v>-2.0000000000000018E-3</v>
      </c>
      <c r="EZ36" s="2">
        <f t="shared" si="48"/>
        <v>2.9749999999999971E-2</v>
      </c>
      <c r="FA36" s="2">
        <f t="shared" si="49"/>
        <v>7.0000000000000062E-3</v>
      </c>
      <c r="FB36" s="33"/>
      <c r="FC36" s="33"/>
      <c r="FD36" s="33"/>
      <c r="FE36" s="33"/>
      <c r="FF36" s="33"/>
      <c r="FG36" s="33"/>
      <c r="FH36" s="33"/>
      <c r="FI36" s="33"/>
      <c r="FJ36" s="33"/>
      <c r="FK36" s="34"/>
      <c r="FL36" s="1" t="s">
        <v>19</v>
      </c>
      <c r="FM36" s="15">
        <v>1.353</v>
      </c>
      <c r="FN36" s="15">
        <v>1.4570000000000001</v>
      </c>
      <c r="FO36" s="15">
        <v>1.2889999999999999</v>
      </c>
      <c r="FP36" s="15">
        <v>1.2549999999999999</v>
      </c>
      <c r="FQ36" s="15">
        <v>1.278</v>
      </c>
      <c r="FZ36" s="1" t="s">
        <v>19</v>
      </c>
      <c r="GA36" s="2">
        <v>1.804</v>
      </c>
      <c r="GB36" s="2">
        <v>1.8939999999999999</v>
      </c>
      <c r="GC36" s="3">
        <v>1.651</v>
      </c>
      <c r="GD36" s="2">
        <v>1.617</v>
      </c>
      <c r="GE36" s="2">
        <v>1.645</v>
      </c>
      <c r="GN36" s="1" t="s">
        <v>19</v>
      </c>
      <c r="GO36" s="4">
        <v>7.5999999999999998E-2</v>
      </c>
      <c r="GP36" s="4">
        <v>-2.8000000000000001E-2</v>
      </c>
      <c r="GQ36" s="4">
        <v>0.22500000000000001</v>
      </c>
      <c r="GR36" s="4">
        <v>0.25800000000000001</v>
      </c>
      <c r="GS36" s="4">
        <v>0.23400000000000001</v>
      </c>
      <c r="HB36" s="1" t="s">
        <v>19</v>
      </c>
      <c r="HC36" s="12">
        <v>0.36799999999999999</v>
      </c>
      <c r="HD36" s="58">
        <v>0.36099999999999999</v>
      </c>
      <c r="HE36" s="15">
        <v>0.33500000000000002</v>
      </c>
      <c r="HF36" s="2">
        <v>0.34899999999999998</v>
      </c>
      <c r="HG36" s="2">
        <v>0.34699999999999998</v>
      </c>
      <c r="HP36" s="1" t="s">
        <v>19</v>
      </c>
      <c r="HQ36" s="12">
        <v>0.11799999999999999</v>
      </c>
      <c r="HR36" s="2">
        <v>0.112</v>
      </c>
      <c r="HS36" s="15">
        <v>0.12</v>
      </c>
      <c r="HT36" s="2">
        <v>0.105</v>
      </c>
      <c r="HU36" s="2">
        <v>0.112</v>
      </c>
      <c r="ID36" s="1" t="s">
        <v>19</v>
      </c>
      <c r="IE36" s="12">
        <v>0.19133333333333336</v>
      </c>
      <c r="IF36" s="15">
        <v>0.18999999999999997</v>
      </c>
      <c r="IG36" s="15">
        <v>0.14512499999999998</v>
      </c>
      <c r="IH36" s="2">
        <v>0.15337500000000001</v>
      </c>
      <c r="II36" s="2">
        <v>0.18312499999999998</v>
      </c>
    </row>
    <row r="37" spans="1:243" s="33" customFormat="1" ht="30" customHeight="1" thickBot="1" x14ac:dyDescent="0.35">
      <c r="A37" s="38"/>
      <c r="Z37" s="34"/>
      <c r="AA37" s="38"/>
      <c r="AI37" s="34"/>
      <c r="AJ37" s="38"/>
      <c r="BG37" s="34"/>
      <c r="BH37" s="38"/>
      <c r="CH37" s="34"/>
      <c r="CI37" s="38"/>
      <c r="DI37" s="34"/>
      <c r="DJ37" s="38"/>
      <c r="EJ37" s="34"/>
      <c r="EK37" s="38"/>
      <c r="FK37" s="34"/>
    </row>
    <row r="38" spans="1:243" ht="30" customHeight="1" thickBot="1" x14ac:dyDescent="0.35">
      <c r="A38" s="74" t="s">
        <v>23</v>
      </c>
      <c r="B38" s="75"/>
      <c r="C38" s="75"/>
      <c r="D38" s="75"/>
      <c r="E38" s="76"/>
      <c r="AB38" s="74" t="s">
        <v>23</v>
      </c>
      <c r="AC38" s="75"/>
      <c r="AD38" s="75"/>
      <c r="AE38" s="75"/>
      <c r="AF38" s="76"/>
      <c r="AK38" s="74" t="s">
        <v>23</v>
      </c>
      <c r="AL38" s="75"/>
      <c r="AM38" s="75"/>
      <c r="AN38" s="75"/>
      <c r="AO38" s="76"/>
      <c r="AQ38" s="71" t="s">
        <v>120</v>
      </c>
      <c r="AR38" s="72"/>
      <c r="AS38" s="72"/>
      <c r="AT38" s="72"/>
      <c r="AU38" s="73"/>
      <c r="BI38" s="74" t="s">
        <v>23</v>
      </c>
      <c r="BJ38" s="75"/>
      <c r="BK38" s="75"/>
      <c r="BL38" s="75"/>
      <c r="BM38" s="76"/>
      <c r="BQ38" s="71" t="s">
        <v>120</v>
      </c>
      <c r="BR38" s="72"/>
      <c r="BS38" s="72"/>
      <c r="BT38" s="72"/>
      <c r="BU38" s="73"/>
      <c r="CI38" s="38"/>
      <c r="CJ38" s="74" t="s">
        <v>23</v>
      </c>
      <c r="CK38" s="75"/>
      <c r="CL38" s="75"/>
      <c r="CM38" s="75"/>
      <c r="CN38" s="76"/>
      <c r="CO38" s="33"/>
      <c r="CP38" s="33"/>
      <c r="CQ38" s="33"/>
      <c r="CR38" s="71" t="s">
        <v>120</v>
      </c>
      <c r="CS38" s="72"/>
      <c r="CT38" s="72"/>
      <c r="CU38" s="72"/>
      <c r="CV38" s="7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4"/>
      <c r="DJ38" s="38"/>
      <c r="DK38" s="74" t="s">
        <v>23</v>
      </c>
      <c r="DL38" s="75"/>
      <c r="DM38" s="75"/>
      <c r="DN38" s="75"/>
      <c r="DO38" s="76"/>
      <c r="DP38" s="33"/>
      <c r="DQ38" s="33"/>
      <c r="DR38" s="33"/>
      <c r="DS38" s="71" t="s">
        <v>120</v>
      </c>
      <c r="DT38" s="72"/>
      <c r="DU38" s="72"/>
      <c r="DV38" s="72"/>
      <c r="DW38" s="7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4"/>
      <c r="EK38" s="38"/>
      <c r="EL38" s="74" t="s">
        <v>23</v>
      </c>
      <c r="EM38" s="75"/>
      <c r="EN38" s="75"/>
      <c r="EO38" s="75"/>
      <c r="EP38" s="76"/>
      <c r="EQ38" s="33"/>
      <c r="ER38" s="33"/>
      <c r="ES38" s="33"/>
      <c r="ET38" s="71" t="s">
        <v>120</v>
      </c>
      <c r="EU38" s="72"/>
      <c r="EV38" s="72"/>
      <c r="EW38" s="72"/>
      <c r="EX38" s="7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4"/>
    </row>
    <row r="39" spans="1:243" ht="30" customHeight="1" thickBot="1" x14ac:dyDescent="0.35">
      <c r="A39" s="35"/>
      <c r="B39" s="10" t="s">
        <v>0</v>
      </c>
      <c r="C39" s="10" t="s">
        <v>1</v>
      </c>
      <c r="D39" s="10" t="s">
        <v>2</v>
      </c>
      <c r="E39" s="11" t="s">
        <v>3</v>
      </c>
      <c r="AB39" s="9"/>
      <c r="AC39" s="10" t="s">
        <v>0</v>
      </c>
      <c r="AD39" s="10" t="s">
        <v>1</v>
      </c>
      <c r="AE39" s="10" t="s">
        <v>2</v>
      </c>
      <c r="AF39" s="11" t="s">
        <v>3</v>
      </c>
      <c r="AK39" s="9"/>
      <c r="AL39" s="10" t="s">
        <v>0</v>
      </c>
      <c r="AM39" s="10" t="s">
        <v>1</v>
      </c>
      <c r="AN39" s="10" t="s">
        <v>2</v>
      </c>
      <c r="AO39" s="11" t="s">
        <v>3</v>
      </c>
      <c r="AQ39" s="41"/>
      <c r="AR39" s="42" t="s">
        <v>0</v>
      </c>
      <c r="AS39" s="42" t="s">
        <v>1</v>
      </c>
      <c r="AT39" s="42" t="s">
        <v>2</v>
      </c>
      <c r="AU39" s="43" t="s">
        <v>3</v>
      </c>
      <c r="BI39" s="9"/>
      <c r="BJ39" s="10" t="s">
        <v>0</v>
      </c>
      <c r="BK39" s="10" t="s">
        <v>1</v>
      </c>
      <c r="BL39" s="10" t="s">
        <v>2</v>
      </c>
      <c r="BM39" s="11" t="s">
        <v>3</v>
      </c>
      <c r="BQ39" s="41"/>
      <c r="BR39" s="42" t="s">
        <v>0</v>
      </c>
      <c r="BS39" s="42" t="s">
        <v>1</v>
      </c>
      <c r="BT39" s="42" t="s">
        <v>2</v>
      </c>
      <c r="BU39" s="43" t="s">
        <v>3</v>
      </c>
      <c r="CI39" s="38"/>
      <c r="CJ39" s="9"/>
      <c r="CK39" s="10" t="s">
        <v>0</v>
      </c>
      <c r="CL39" s="10" t="s">
        <v>1</v>
      </c>
      <c r="CM39" s="10" t="s">
        <v>2</v>
      </c>
      <c r="CN39" s="11" t="s">
        <v>3</v>
      </c>
      <c r="CO39" s="33"/>
      <c r="CP39" s="33"/>
      <c r="CQ39" s="33"/>
      <c r="CR39" s="41"/>
      <c r="CS39" s="42" t="s">
        <v>0</v>
      </c>
      <c r="CT39" s="42" t="s">
        <v>1</v>
      </c>
      <c r="CU39" s="42" t="s">
        <v>2</v>
      </c>
      <c r="CV39" s="43" t="s">
        <v>3</v>
      </c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4"/>
      <c r="DJ39" s="38"/>
      <c r="DK39" s="9"/>
      <c r="DL39" s="10" t="s">
        <v>0</v>
      </c>
      <c r="DM39" s="10" t="s">
        <v>1</v>
      </c>
      <c r="DN39" s="10" t="s">
        <v>2</v>
      </c>
      <c r="DO39" s="11" t="s">
        <v>3</v>
      </c>
      <c r="DP39" s="33"/>
      <c r="DQ39" s="33"/>
      <c r="DR39" s="33"/>
      <c r="DS39" s="41"/>
      <c r="DT39" s="42" t="s">
        <v>0</v>
      </c>
      <c r="DU39" s="42" t="s">
        <v>1</v>
      </c>
      <c r="DV39" s="42" t="s">
        <v>2</v>
      </c>
      <c r="DW39" s="43" t="s">
        <v>3</v>
      </c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4"/>
      <c r="EK39" s="38"/>
      <c r="EL39" s="9"/>
      <c r="EM39" s="10" t="s">
        <v>0</v>
      </c>
      <c r="EN39" s="10" t="s">
        <v>1</v>
      </c>
      <c r="EO39" s="10" t="s">
        <v>2</v>
      </c>
      <c r="EP39" s="11" t="s">
        <v>3</v>
      </c>
      <c r="EQ39" s="33"/>
      <c r="ER39" s="33"/>
      <c r="ES39" s="33"/>
      <c r="ET39" s="41"/>
      <c r="EU39" s="42" t="s">
        <v>0</v>
      </c>
      <c r="EV39" s="42" t="s">
        <v>1</v>
      </c>
      <c r="EW39" s="42" t="s">
        <v>2</v>
      </c>
      <c r="EX39" s="43" t="s">
        <v>3</v>
      </c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4"/>
    </row>
    <row r="40" spans="1:243" ht="30" customHeight="1" thickBot="1" x14ac:dyDescent="0.35">
      <c r="A40" s="36" t="s">
        <v>4</v>
      </c>
      <c r="B40" s="2">
        <v>0.255</v>
      </c>
      <c r="C40" s="2">
        <v>0.51500000000000001</v>
      </c>
      <c r="D40" s="3">
        <f>AVERAGE(0.119,0.874)</f>
        <v>0.4965</v>
      </c>
      <c r="E40" s="4">
        <v>5.0000000000000001E-3</v>
      </c>
      <c r="AB40" s="1" t="s">
        <v>4</v>
      </c>
      <c r="AC40" s="2" t="s">
        <v>91</v>
      </c>
      <c r="AD40" s="2" t="s">
        <v>90</v>
      </c>
      <c r="AE40" s="3" t="s">
        <v>89</v>
      </c>
      <c r="AF40" s="4" t="s">
        <v>88</v>
      </c>
      <c r="AK40" s="1" t="s">
        <v>4</v>
      </c>
      <c r="AL40" s="12">
        <v>0.70899999999999996</v>
      </c>
      <c r="AM40" s="13">
        <v>0.64600000000000002</v>
      </c>
      <c r="AN40" s="16">
        <f>AVERAGE(0.807,0.264)</f>
        <v>0.53550000000000009</v>
      </c>
      <c r="AO40" s="14">
        <v>8.4000000000000005E-2</v>
      </c>
      <c r="AQ40" s="18" t="s">
        <v>4</v>
      </c>
      <c r="AR40" s="69">
        <f>AL40-B40</f>
        <v>0.45399999999999996</v>
      </c>
      <c r="AS40" s="69">
        <f t="shared" ref="AS40:AS47" si="51">AM40-C40</f>
        <v>0.13100000000000001</v>
      </c>
      <c r="AT40" s="12">
        <f t="shared" ref="AT40:AT47" si="52">AN40-D40</f>
        <v>3.900000000000009E-2</v>
      </c>
      <c r="AU40" s="12">
        <f t="shared" ref="AU40:AU47" si="53">AO40-E40</f>
        <v>7.9000000000000001E-2</v>
      </c>
      <c r="BI40" s="1" t="s">
        <v>4</v>
      </c>
      <c r="BJ40" s="12">
        <v>0.66800000000000004</v>
      </c>
      <c r="BK40" s="13">
        <v>0.64500000000000002</v>
      </c>
      <c r="BL40" s="16">
        <f>AVERAGE(0.759,0.258)</f>
        <v>0.50849999999999995</v>
      </c>
      <c r="BM40" s="14">
        <v>0.03</v>
      </c>
      <c r="BQ40" s="18" t="s">
        <v>4</v>
      </c>
      <c r="BR40" s="12">
        <f t="shared" ref="BR40:BU47" si="54">BJ40-AL40</f>
        <v>-4.0999999999999925E-2</v>
      </c>
      <c r="BS40" s="12">
        <f t="shared" si="54"/>
        <v>-1.0000000000000009E-3</v>
      </c>
      <c r="BT40" s="12">
        <f t="shared" si="54"/>
        <v>-2.7000000000000135E-2</v>
      </c>
      <c r="BU40" s="12">
        <f t="shared" si="54"/>
        <v>-5.4000000000000006E-2</v>
      </c>
      <c r="CI40" s="38"/>
      <c r="CJ40" s="1" t="s">
        <v>4</v>
      </c>
      <c r="CK40" s="12">
        <v>0.66800000000000004</v>
      </c>
      <c r="CL40" s="13">
        <v>0.64500000000000002</v>
      </c>
      <c r="CM40" s="16">
        <f>AVERAGE(0.759,0.258)</f>
        <v>0.50849999999999995</v>
      </c>
      <c r="CN40" s="14">
        <v>0.03</v>
      </c>
      <c r="CO40" s="33"/>
      <c r="CP40" s="33"/>
      <c r="CQ40" s="33"/>
      <c r="CR40" s="18" t="s">
        <v>4</v>
      </c>
      <c r="CS40" s="12">
        <f>CK40-BJ40</f>
        <v>0</v>
      </c>
      <c r="CT40" s="12">
        <f t="shared" ref="CT40:CV47" si="55">CL40-BK40</f>
        <v>0</v>
      </c>
      <c r="CU40" s="12">
        <f t="shared" si="55"/>
        <v>0</v>
      </c>
      <c r="CV40" s="12">
        <f t="shared" si="55"/>
        <v>0</v>
      </c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4"/>
      <c r="DJ40" s="38"/>
      <c r="DK40" s="1" t="s">
        <v>4</v>
      </c>
      <c r="DL40" s="12">
        <v>0.72899999999999998</v>
      </c>
      <c r="DM40" s="13">
        <v>0.69399999999999995</v>
      </c>
      <c r="DN40" s="16">
        <f>AVERAGE(0.833,0.258)</f>
        <v>0.54549999999999998</v>
      </c>
      <c r="DO40" s="14">
        <v>8.8999999999999996E-2</v>
      </c>
      <c r="DP40" s="33"/>
      <c r="DQ40" s="33"/>
      <c r="DR40" s="33"/>
      <c r="DS40" s="18" t="s">
        <v>4</v>
      </c>
      <c r="DT40" s="69">
        <f>DL40-CK40</f>
        <v>6.0999999999999943E-2</v>
      </c>
      <c r="DU40" s="69">
        <f t="shared" ref="DU40:DW40" si="56">DM40-CL40</f>
        <v>4.8999999999999932E-2</v>
      </c>
      <c r="DV40" s="12">
        <f t="shared" si="56"/>
        <v>3.7000000000000033E-2</v>
      </c>
      <c r="DW40" s="12">
        <f t="shared" si="56"/>
        <v>5.8999999999999997E-2</v>
      </c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4"/>
      <c r="EK40" s="38"/>
      <c r="EL40" s="1" t="s">
        <v>4</v>
      </c>
      <c r="EM40" s="12">
        <v>0.72799999999999998</v>
      </c>
      <c r="EN40" s="13">
        <v>0.70199999999999996</v>
      </c>
      <c r="EO40" s="16">
        <f>AVERAGE(0.774,0.52)</f>
        <v>0.64700000000000002</v>
      </c>
      <c r="EP40" s="14">
        <v>0.24099999999999999</v>
      </c>
      <c r="EQ40" s="33"/>
      <c r="ER40" s="33"/>
      <c r="ES40" s="33"/>
      <c r="ET40" s="18" t="s">
        <v>4</v>
      </c>
      <c r="EU40" s="12">
        <f>EM40-DL40</f>
        <v>-1.0000000000000009E-3</v>
      </c>
      <c r="EV40" s="12">
        <f t="shared" ref="EV40:EV47" si="57">EN40-DM40</f>
        <v>8.0000000000000071E-3</v>
      </c>
      <c r="EW40" s="69">
        <f t="shared" ref="EW40:EW45" si="58">EO40-DN40</f>
        <v>0.10150000000000003</v>
      </c>
      <c r="EX40" s="69">
        <f t="shared" ref="EX40:EX47" si="59">EP40-DO40</f>
        <v>0.152</v>
      </c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4"/>
      <c r="FL40" s="18" t="s">
        <v>4</v>
      </c>
      <c r="FM40" s="2">
        <v>0.255</v>
      </c>
      <c r="FN40" s="12">
        <v>0.70899999999999996</v>
      </c>
      <c r="FO40" s="12">
        <v>0.66800000000000004</v>
      </c>
      <c r="FP40" s="12">
        <v>0.66800000000000004</v>
      </c>
      <c r="FQ40" s="12">
        <v>0.72899999999999998</v>
      </c>
      <c r="FR40" s="12">
        <v>0.72799999999999998</v>
      </c>
      <c r="GA40" s="18" t="s">
        <v>4</v>
      </c>
      <c r="GB40" s="2">
        <v>0.51500000000000001</v>
      </c>
      <c r="GC40" s="13">
        <v>0.64600000000000002</v>
      </c>
      <c r="GD40" s="13">
        <v>0.64500000000000002</v>
      </c>
      <c r="GE40" s="13">
        <v>0.64500000000000002</v>
      </c>
      <c r="GF40" s="13">
        <v>0.69399999999999995</v>
      </c>
      <c r="GG40" s="13">
        <v>0.70199999999999996</v>
      </c>
      <c r="GP40" s="18" t="s">
        <v>4</v>
      </c>
      <c r="GQ40" s="3">
        <v>0.4965</v>
      </c>
      <c r="GR40" s="16">
        <v>0.53550000000000009</v>
      </c>
      <c r="GS40" s="16">
        <v>0.50849999999999995</v>
      </c>
      <c r="GT40" s="16">
        <v>0.50849999999999995</v>
      </c>
      <c r="GU40" s="16">
        <v>0.54549999999999998</v>
      </c>
      <c r="GV40" s="16">
        <v>0.64700000000000002</v>
      </c>
      <c r="HE40" s="18" t="s">
        <v>4</v>
      </c>
      <c r="HF40" s="4">
        <v>5.0000000000000001E-3</v>
      </c>
      <c r="HG40" s="14">
        <v>8.4000000000000005E-2</v>
      </c>
      <c r="HH40" s="14">
        <v>0.03</v>
      </c>
      <c r="HI40" s="14">
        <v>0.03</v>
      </c>
      <c r="HJ40" s="14">
        <v>8.8999999999999996E-2</v>
      </c>
      <c r="HK40" s="14">
        <v>0.24099999999999999</v>
      </c>
    </row>
    <row r="41" spans="1:243" ht="30" customHeight="1" thickBot="1" x14ac:dyDescent="0.35">
      <c r="A41" s="36" t="s">
        <v>5</v>
      </c>
      <c r="B41" s="2">
        <v>0.80700000000000005</v>
      </c>
      <c r="C41" s="2">
        <v>0.68100000000000005</v>
      </c>
      <c r="D41" s="3">
        <f>AVERAGE(0.949,0.158)</f>
        <v>0.55349999999999999</v>
      </c>
      <c r="E41" s="4">
        <v>0.13800000000000001</v>
      </c>
      <c r="AB41" s="1" t="s">
        <v>5</v>
      </c>
      <c r="AC41" s="2" t="s">
        <v>95</v>
      </c>
      <c r="AD41" s="2" t="s">
        <v>94</v>
      </c>
      <c r="AE41" s="3" t="s">
        <v>93</v>
      </c>
      <c r="AF41" s="4" t="s">
        <v>92</v>
      </c>
      <c r="AK41" s="1" t="s">
        <v>5</v>
      </c>
      <c r="AL41" s="15">
        <v>0.52600000000000002</v>
      </c>
      <c r="AM41" s="2">
        <v>0.68500000000000005</v>
      </c>
      <c r="AN41" s="3">
        <f>AVERAGE(0.47,0.782)</f>
        <v>0.626</v>
      </c>
      <c r="AO41" s="4">
        <v>0.13600000000000001</v>
      </c>
      <c r="AQ41" s="18" t="s">
        <v>5</v>
      </c>
      <c r="AR41" s="69">
        <f t="shared" ref="AR41:AR47" si="60">AL41-B41</f>
        <v>-0.28100000000000003</v>
      </c>
      <c r="AS41" s="12">
        <f t="shared" si="51"/>
        <v>4.0000000000000036E-3</v>
      </c>
      <c r="AT41" s="69">
        <f t="shared" si="52"/>
        <v>7.2500000000000009E-2</v>
      </c>
      <c r="AU41" s="12">
        <f t="shared" si="53"/>
        <v>-2.0000000000000018E-3</v>
      </c>
      <c r="BI41" s="1" t="s">
        <v>5</v>
      </c>
      <c r="BJ41" s="15">
        <v>0.46200000000000002</v>
      </c>
      <c r="BK41" s="2">
        <v>0.68600000000000005</v>
      </c>
      <c r="BL41" s="3">
        <f>AVERAGE(0.383,0.822)</f>
        <v>0.60250000000000004</v>
      </c>
      <c r="BM41" s="4">
        <v>0.10100000000000001</v>
      </c>
      <c r="BQ41" s="18" t="s">
        <v>5</v>
      </c>
      <c r="BR41" s="69">
        <f t="shared" si="54"/>
        <v>-6.4000000000000001E-2</v>
      </c>
      <c r="BS41" s="12">
        <f t="shared" si="54"/>
        <v>1.0000000000000009E-3</v>
      </c>
      <c r="BT41" s="12">
        <f t="shared" si="54"/>
        <v>-2.3499999999999965E-2</v>
      </c>
      <c r="BU41" s="12">
        <f t="shared" si="54"/>
        <v>-3.5000000000000003E-2</v>
      </c>
      <c r="CI41" s="38"/>
      <c r="CJ41" s="1" t="s">
        <v>5</v>
      </c>
      <c r="CK41" s="15">
        <v>0.55900000000000005</v>
      </c>
      <c r="CL41" s="2">
        <v>0.68200000000000005</v>
      </c>
      <c r="CM41" s="3">
        <f>AVERAGE(0.512,0.775)</f>
        <v>0.64349999999999996</v>
      </c>
      <c r="CN41" s="4">
        <v>0.161</v>
      </c>
      <c r="CO41" s="33"/>
      <c r="CP41" s="33"/>
      <c r="CQ41" s="33"/>
      <c r="CR41" s="18" t="s">
        <v>5</v>
      </c>
      <c r="CS41" s="69">
        <f t="shared" ref="CS41:CS47" si="61">CK41-BJ41</f>
        <v>9.7000000000000031E-2</v>
      </c>
      <c r="CT41" s="12">
        <f t="shared" si="55"/>
        <v>-4.0000000000000036E-3</v>
      </c>
      <c r="CU41" s="69">
        <f t="shared" si="55"/>
        <v>4.0999999999999925E-2</v>
      </c>
      <c r="CV41" s="69">
        <f t="shared" si="55"/>
        <v>0.06</v>
      </c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4"/>
      <c r="DJ41" s="38"/>
      <c r="DK41" s="1" t="s">
        <v>5</v>
      </c>
      <c r="DL41" s="15">
        <v>0.65700000000000003</v>
      </c>
      <c r="DM41" s="2">
        <v>0.72099999999999997</v>
      </c>
      <c r="DN41" s="3">
        <f>AVERAGE(0.649,0.692)</f>
        <v>0.67049999999999998</v>
      </c>
      <c r="DO41" s="4">
        <v>0.22800000000000001</v>
      </c>
      <c r="DP41" s="33"/>
      <c r="DQ41" s="33"/>
      <c r="DR41" s="33"/>
      <c r="DS41" s="18" t="s">
        <v>5</v>
      </c>
      <c r="DT41" s="69">
        <f t="shared" ref="DT41:DT47" si="62">DL41-CK41</f>
        <v>9.7999999999999976E-2</v>
      </c>
      <c r="DU41" s="12">
        <f t="shared" ref="DU41:DU47" si="63">DM41-CL41</f>
        <v>3.8999999999999924E-2</v>
      </c>
      <c r="DV41" s="12">
        <f t="shared" ref="DV41:DV47" si="64">DN41-CM41</f>
        <v>2.7000000000000024E-2</v>
      </c>
      <c r="DW41" s="12">
        <f t="shared" ref="DW41:DW47" si="65">DO41-CN41</f>
        <v>6.7000000000000004E-2</v>
      </c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4"/>
      <c r="EK41" s="38"/>
      <c r="EL41" s="1" t="s">
        <v>5</v>
      </c>
      <c r="EM41" s="15">
        <v>0.628</v>
      </c>
      <c r="EN41" s="2">
        <v>0.68600000000000005</v>
      </c>
      <c r="EO41" s="3">
        <f>AVERAGE(0.616,0.684)</f>
        <v>0.65</v>
      </c>
      <c r="EP41" s="4">
        <v>0.72799999999999998</v>
      </c>
      <c r="EQ41" s="33"/>
      <c r="ER41" s="33"/>
      <c r="ES41" s="33"/>
      <c r="ET41" s="18" t="s">
        <v>5</v>
      </c>
      <c r="EU41" s="12">
        <f t="shared" ref="EU41:EU47" si="66">EM41-DL41</f>
        <v>-2.9000000000000026E-2</v>
      </c>
      <c r="EV41" s="12">
        <f t="shared" si="57"/>
        <v>-3.499999999999992E-2</v>
      </c>
      <c r="EW41" s="12">
        <f t="shared" si="58"/>
        <v>-2.0499999999999963E-2</v>
      </c>
      <c r="EX41" s="12">
        <f t="shared" si="59"/>
        <v>0.5</v>
      </c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4"/>
      <c r="FL41" s="18" t="s">
        <v>5</v>
      </c>
      <c r="FM41" s="2">
        <v>0.80700000000000005</v>
      </c>
      <c r="FN41" s="15">
        <v>0.52600000000000002</v>
      </c>
      <c r="FO41" s="15">
        <v>0.46200000000000002</v>
      </c>
      <c r="FP41" s="15">
        <v>0.55900000000000005</v>
      </c>
      <c r="FQ41" s="15">
        <v>0.65700000000000003</v>
      </c>
      <c r="FR41" s="15">
        <v>0.628</v>
      </c>
      <c r="GA41" s="18" t="s">
        <v>5</v>
      </c>
      <c r="GB41" s="2">
        <v>0.68100000000000005</v>
      </c>
      <c r="GC41" s="2">
        <v>0.68500000000000005</v>
      </c>
      <c r="GD41" s="2">
        <v>0.68600000000000005</v>
      </c>
      <c r="GE41" s="2">
        <v>0.68200000000000005</v>
      </c>
      <c r="GF41" s="2">
        <v>0.72099999999999997</v>
      </c>
      <c r="GG41" s="2">
        <v>0.68600000000000005</v>
      </c>
      <c r="GP41" s="18" t="s">
        <v>5</v>
      </c>
      <c r="GQ41" s="3">
        <v>0.55349999999999999</v>
      </c>
      <c r="GR41" s="3">
        <v>0.626</v>
      </c>
      <c r="GS41" s="3">
        <v>0.60250000000000004</v>
      </c>
      <c r="GT41" s="3">
        <v>0.64349999999999996</v>
      </c>
      <c r="GU41" s="3">
        <v>0.67049999999999998</v>
      </c>
      <c r="GV41" s="3">
        <v>0.65</v>
      </c>
      <c r="HE41" s="18" t="s">
        <v>5</v>
      </c>
      <c r="HF41" s="4">
        <v>0.13800000000000001</v>
      </c>
      <c r="HG41" s="4">
        <v>0.13600000000000001</v>
      </c>
      <c r="HH41" s="4">
        <v>0.10100000000000001</v>
      </c>
      <c r="HI41" s="4">
        <v>0.161</v>
      </c>
      <c r="HJ41" s="4">
        <v>0.22800000000000001</v>
      </c>
      <c r="HK41" s="4">
        <v>0.72799999999999998</v>
      </c>
    </row>
    <row r="42" spans="1:243" ht="30" customHeight="1" thickBot="1" x14ac:dyDescent="0.35">
      <c r="A42" s="36" t="s">
        <v>6</v>
      </c>
      <c r="B42" s="2">
        <v>0.748</v>
      </c>
      <c r="C42" s="2">
        <v>0.58699999999999997</v>
      </c>
      <c r="D42" s="3">
        <f>AVERAGE(0.839,0.336)</f>
        <v>0.58750000000000002</v>
      </c>
      <c r="E42" s="4">
        <v>0.17299999999999999</v>
      </c>
      <c r="AB42" s="1" t="s">
        <v>6</v>
      </c>
      <c r="AC42" s="2" t="s">
        <v>99</v>
      </c>
      <c r="AD42" s="2" t="s">
        <v>98</v>
      </c>
      <c r="AE42" s="3" t="s">
        <v>97</v>
      </c>
      <c r="AF42" s="4" t="s">
        <v>96</v>
      </c>
      <c r="AK42" s="1" t="s">
        <v>6</v>
      </c>
      <c r="AL42" s="15">
        <v>0.68300000000000005</v>
      </c>
      <c r="AM42" s="2">
        <v>0.63200000000000001</v>
      </c>
      <c r="AN42" s="3">
        <f>AVERAGE(0.712,0.552)</f>
        <v>0.63200000000000001</v>
      </c>
      <c r="AO42" s="4">
        <v>0.19500000000000001</v>
      </c>
      <c r="AQ42" s="18" t="s">
        <v>6</v>
      </c>
      <c r="AR42" s="69">
        <f t="shared" si="60"/>
        <v>-6.4999999999999947E-2</v>
      </c>
      <c r="AS42" s="12">
        <f t="shared" si="51"/>
        <v>4.500000000000004E-2</v>
      </c>
      <c r="AT42" s="12">
        <f t="shared" si="52"/>
        <v>4.4499999999999984E-2</v>
      </c>
      <c r="AU42" s="12">
        <f t="shared" si="53"/>
        <v>2.200000000000002E-2</v>
      </c>
      <c r="BI42" s="1" t="s">
        <v>6</v>
      </c>
      <c r="BJ42" s="15">
        <v>0.69599999999999995</v>
      </c>
      <c r="BK42" s="2">
        <v>0.64800000000000002</v>
      </c>
      <c r="BL42" s="3">
        <f>AVERAGE(0.723,0.573)</f>
        <v>0.64799999999999991</v>
      </c>
      <c r="BM42" s="4">
        <v>0.22800000000000001</v>
      </c>
      <c r="BQ42" s="18" t="s">
        <v>6</v>
      </c>
      <c r="BR42" s="12">
        <f t="shared" si="54"/>
        <v>1.2999999999999901E-2</v>
      </c>
      <c r="BS42" s="12">
        <f t="shared" si="54"/>
        <v>1.6000000000000014E-2</v>
      </c>
      <c r="BT42" s="12">
        <f t="shared" si="54"/>
        <v>1.5999999999999903E-2</v>
      </c>
      <c r="BU42" s="12">
        <f t="shared" si="54"/>
        <v>3.3000000000000002E-2</v>
      </c>
      <c r="CI42" s="38"/>
      <c r="CJ42" s="1" t="s">
        <v>6</v>
      </c>
      <c r="CK42" s="15">
        <v>0.66800000000000004</v>
      </c>
      <c r="CL42" s="2">
        <v>0.67</v>
      </c>
      <c r="CM42" s="3">
        <f>AVERAGE(0.667,0.673)</f>
        <v>0.67</v>
      </c>
      <c r="CN42" s="4">
        <v>0.23</v>
      </c>
      <c r="CO42" s="33"/>
      <c r="CP42" s="33"/>
      <c r="CQ42" s="33"/>
      <c r="CR42" s="18" t="s">
        <v>6</v>
      </c>
      <c r="CS42" s="12">
        <f t="shared" si="61"/>
        <v>-2.7999999999999914E-2</v>
      </c>
      <c r="CT42" s="12">
        <f t="shared" si="55"/>
        <v>2.200000000000002E-2</v>
      </c>
      <c r="CU42" s="12">
        <f t="shared" si="55"/>
        <v>2.2000000000000131E-2</v>
      </c>
      <c r="CV42" s="12">
        <f t="shared" si="55"/>
        <v>2.0000000000000018E-3</v>
      </c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4"/>
      <c r="DJ42" s="38"/>
      <c r="DK42" s="1" t="s">
        <v>6</v>
      </c>
      <c r="DL42" s="15">
        <v>0.61899999999999999</v>
      </c>
      <c r="DM42" s="2">
        <v>0.68300000000000005</v>
      </c>
      <c r="DN42" s="3">
        <f>AVERAGE(0.616,0.631)</f>
        <v>0.62349999999999994</v>
      </c>
      <c r="DO42" s="4">
        <v>0.16300000000000001</v>
      </c>
      <c r="DP42" s="33"/>
      <c r="DQ42" s="33"/>
      <c r="DR42" s="33"/>
      <c r="DS42" s="18" t="s">
        <v>6</v>
      </c>
      <c r="DT42" s="69">
        <f t="shared" si="62"/>
        <v>-4.9000000000000044E-2</v>
      </c>
      <c r="DU42" s="12">
        <f t="shared" si="63"/>
        <v>1.3000000000000012E-2</v>
      </c>
      <c r="DV42" s="69">
        <f t="shared" si="64"/>
        <v>-4.6500000000000097E-2</v>
      </c>
      <c r="DW42" s="69">
        <f t="shared" si="65"/>
        <v>-6.7000000000000004E-2</v>
      </c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4"/>
      <c r="EK42" s="38"/>
      <c r="EL42" s="1" t="s">
        <v>6</v>
      </c>
      <c r="EM42" s="15">
        <v>0.65300000000000002</v>
      </c>
      <c r="EN42" s="2">
        <v>0.70199999999999996</v>
      </c>
      <c r="EO42" s="3">
        <f>AVERAGE(0.636,0.73)</f>
        <v>0.68300000000000005</v>
      </c>
      <c r="EP42" s="4">
        <v>0.24</v>
      </c>
      <c r="EQ42" s="33"/>
      <c r="ER42" s="33"/>
      <c r="ES42" s="33"/>
      <c r="ET42" s="18" t="s">
        <v>6</v>
      </c>
      <c r="EU42" s="69">
        <f t="shared" si="66"/>
        <v>3.400000000000003E-2</v>
      </c>
      <c r="EV42" s="12">
        <f t="shared" si="57"/>
        <v>1.8999999999999906E-2</v>
      </c>
      <c r="EW42" s="69">
        <f t="shared" si="58"/>
        <v>5.9500000000000108E-2</v>
      </c>
      <c r="EX42" s="69">
        <f t="shared" si="59"/>
        <v>7.6999999999999985E-2</v>
      </c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4"/>
      <c r="FL42" s="18" t="s">
        <v>6</v>
      </c>
      <c r="FM42" s="2">
        <v>0.748</v>
      </c>
      <c r="FN42" s="15">
        <v>0.68300000000000005</v>
      </c>
      <c r="FO42" s="15">
        <v>0.69599999999999995</v>
      </c>
      <c r="FP42" s="15">
        <v>0.66800000000000004</v>
      </c>
      <c r="FQ42" s="15">
        <v>0.61899999999999999</v>
      </c>
      <c r="FR42" s="15">
        <v>0.65300000000000002</v>
      </c>
      <c r="GA42" s="18" t="s">
        <v>6</v>
      </c>
      <c r="GB42" s="2">
        <v>0.58699999999999997</v>
      </c>
      <c r="GC42" s="2">
        <v>0.63200000000000001</v>
      </c>
      <c r="GD42" s="2">
        <v>0.64800000000000002</v>
      </c>
      <c r="GE42" s="2">
        <v>0.67</v>
      </c>
      <c r="GF42" s="2">
        <v>0.68300000000000005</v>
      </c>
      <c r="GG42" s="2">
        <v>0.70199999999999996</v>
      </c>
      <c r="GP42" s="18" t="s">
        <v>6</v>
      </c>
      <c r="GQ42" s="3">
        <v>0.58750000000000002</v>
      </c>
      <c r="GR42" s="3">
        <v>0.63200000000000001</v>
      </c>
      <c r="GS42" s="3">
        <v>0.64799999999999991</v>
      </c>
      <c r="GT42" s="3">
        <v>0.67</v>
      </c>
      <c r="GU42" s="3">
        <v>0.62349999999999994</v>
      </c>
      <c r="GV42" s="3">
        <v>0.68300000000000005</v>
      </c>
      <c r="HE42" s="18" t="s">
        <v>6</v>
      </c>
      <c r="HF42" s="4">
        <v>0.17299999999999999</v>
      </c>
      <c r="HG42" s="4">
        <v>0.19500000000000001</v>
      </c>
      <c r="HH42" s="4">
        <v>0.22800000000000001</v>
      </c>
      <c r="HI42" s="4">
        <v>0.23</v>
      </c>
      <c r="HJ42" s="4">
        <v>0.16300000000000001</v>
      </c>
      <c r="HK42" s="4">
        <v>0.24</v>
      </c>
    </row>
    <row r="43" spans="1:243" ht="30" customHeight="1" thickBot="1" x14ac:dyDescent="0.35">
      <c r="A43" s="36" t="s">
        <v>7</v>
      </c>
      <c r="B43" s="2">
        <v>0.83099999999999996</v>
      </c>
      <c r="C43" s="2">
        <v>0.77</v>
      </c>
      <c r="D43" s="3">
        <f>AVERAGE(0.984,0.138)</f>
        <v>0.56099999999999994</v>
      </c>
      <c r="E43" s="4">
        <v>0.16800000000000001</v>
      </c>
      <c r="AB43" s="1" t="s">
        <v>7</v>
      </c>
      <c r="AC43" s="2" t="s">
        <v>103</v>
      </c>
      <c r="AD43" s="2" t="s">
        <v>102</v>
      </c>
      <c r="AE43" s="3" t="s">
        <v>101</v>
      </c>
      <c r="AF43" s="4" t="s">
        <v>100</v>
      </c>
      <c r="AK43" s="1" t="s">
        <v>7</v>
      </c>
      <c r="AL43" s="15">
        <v>0.74199999999999999</v>
      </c>
      <c r="AM43" s="2">
        <v>0.755</v>
      </c>
      <c r="AN43" s="3">
        <f>AVERAGE(0.783,0.559)</f>
        <v>0.67100000000000004</v>
      </c>
      <c r="AO43" s="4">
        <v>0.27800000000000002</v>
      </c>
      <c r="AQ43" s="18" t="s">
        <v>7</v>
      </c>
      <c r="AR43" s="69">
        <f t="shared" si="60"/>
        <v>-8.8999999999999968E-2</v>
      </c>
      <c r="AS43" s="12">
        <f t="shared" si="51"/>
        <v>-1.5000000000000013E-2</v>
      </c>
      <c r="AT43" s="69">
        <f t="shared" si="52"/>
        <v>0.1100000000000001</v>
      </c>
      <c r="AU43" s="69">
        <f t="shared" si="53"/>
        <v>0.11000000000000001</v>
      </c>
      <c r="BI43" s="1" t="s">
        <v>7</v>
      </c>
      <c r="BJ43" s="15">
        <v>0.73899999999999999</v>
      </c>
      <c r="BK43" s="2">
        <v>0.75</v>
      </c>
      <c r="BL43" s="3">
        <f>AVERAGE(0.78,0.552)</f>
        <v>0.66600000000000004</v>
      </c>
      <c r="BM43" s="4">
        <v>0.27100000000000002</v>
      </c>
      <c r="BQ43" s="18" t="s">
        <v>7</v>
      </c>
      <c r="BR43" s="12">
        <f t="shared" si="54"/>
        <v>-3.0000000000000027E-3</v>
      </c>
      <c r="BS43" s="12">
        <f t="shared" si="54"/>
        <v>-5.0000000000000044E-3</v>
      </c>
      <c r="BT43" s="12">
        <f t="shared" si="54"/>
        <v>-5.0000000000000044E-3</v>
      </c>
      <c r="BU43" s="12">
        <f t="shared" si="54"/>
        <v>-7.0000000000000062E-3</v>
      </c>
      <c r="CI43" s="38"/>
      <c r="CJ43" s="1" t="s">
        <v>7</v>
      </c>
      <c r="CK43" s="15">
        <v>0.7</v>
      </c>
      <c r="CL43" s="2">
        <v>0.752</v>
      </c>
      <c r="CM43" s="3">
        <f>AVERAGE(0.707,0.665)</f>
        <v>0.68599999999999994</v>
      </c>
      <c r="CN43" s="4">
        <v>0.26700000000000002</v>
      </c>
      <c r="CO43" s="33"/>
      <c r="CP43" s="33"/>
      <c r="CQ43" s="33"/>
      <c r="CR43" s="18" t="s">
        <v>7</v>
      </c>
      <c r="CS43" s="69">
        <f t="shared" si="61"/>
        <v>-3.9000000000000035E-2</v>
      </c>
      <c r="CT43" s="12">
        <f t="shared" si="55"/>
        <v>2.0000000000000018E-3</v>
      </c>
      <c r="CU43" s="12">
        <f t="shared" si="55"/>
        <v>1.9999999999999907E-2</v>
      </c>
      <c r="CV43" s="12">
        <f t="shared" si="55"/>
        <v>-4.0000000000000036E-3</v>
      </c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4"/>
      <c r="DJ43" s="38"/>
      <c r="DK43" s="1" t="s">
        <v>7</v>
      </c>
      <c r="DL43" s="15">
        <v>0.66900000000000004</v>
      </c>
      <c r="DM43" s="2">
        <v>0.76200000000000001</v>
      </c>
      <c r="DN43" s="3">
        <f>AVERAGE(0.654,0.738)</f>
        <v>0.69599999999999995</v>
      </c>
      <c r="DO43" s="4">
        <v>0.26100000000000001</v>
      </c>
      <c r="DP43" s="33"/>
      <c r="DQ43" s="33"/>
      <c r="DR43" s="33"/>
      <c r="DS43" s="18" t="s">
        <v>7</v>
      </c>
      <c r="DT43" s="69">
        <f t="shared" si="62"/>
        <v>-3.0999999999999917E-2</v>
      </c>
      <c r="DU43" s="12">
        <f t="shared" si="63"/>
        <v>1.0000000000000009E-2</v>
      </c>
      <c r="DV43" s="12">
        <f t="shared" si="64"/>
        <v>1.0000000000000009E-2</v>
      </c>
      <c r="DW43" s="12">
        <f t="shared" si="65"/>
        <v>-6.0000000000000053E-3</v>
      </c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4"/>
      <c r="EK43" s="38"/>
      <c r="EL43" s="1" t="s">
        <v>7</v>
      </c>
      <c r="EM43" s="15">
        <v>0.63</v>
      </c>
      <c r="EN43" s="2">
        <v>0.72099999999999997</v>
      </c>
      <c r="EO43" s="3">
        <f>AVERAGE(0.609,0.724)</f>
        <v>0.66649999999999998</v>
      </c>
      <c r="EP43" s="4">
        <v>0.20899999999999999</v>
      </c>
      <c r="EQ43" s="33"/>
      <c r="ER43" s="33"/>
      <c r="ES43" s="33"/>
      <c r="ET43" s="18" t="s">
        <v>7</v>
      </c>
      <c r="EU43" s="69">
        <f t="shared" si="66"/>
        <v>-3.9000000000000035E-2</v>
      </c>
      <c r="EV43" s="69">
        <f t="shared" si="57"/>
        <v>-4.1000000000000036E-2</v>
      </c>
      <c r="EW43" s="12">
        <f t="shared" si="58"/>
        <v>-2.9499999999999971E-2</v>
      </c>
      <c r="EX43" s="69">
        <f t="shared" si="59"/>
        <v>-5.2000000000000018E-2</v>
      </c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4"/>
      <c r="FL43" s="18" t="s">
        <v>7</v>
      </c>
      <c r="FM43" s="2">
        <v>0.83099999999999996</v>
      </c>
      <c r="FN43" s="15">
        <v>0.74199999999999999</v>
      </c>
      <c r="FO43" s="15">
        <v>0.73899999999999999</v>
      </c>
      <c r="FP43" s="15">
        <v>0.7</v>
      </c>
      <c r="FQ43" s="15">
        <v>0.66900000000000004</v>
      </c>
      <c r="FR43" s="15">
        <v>0.63</v>
      </c>
      <c r="GA43" s="18" t="s">
        <v>7</v>
      </c>
      <c r="GB43" s="2">
        <v>0.77</v>
      </c>
      <c r="GC43" s="2">
        <v>0.755</v>
      </c>
      <c r="GD43" s="2">
        <v>0.75</v>
      </c>
      <c r="GE43" s="2">
        <v>0.752</v>
      </c>
      <c r="GF43" s="2">
        <v>0.76200000000000001</v>
      </c>
      <c r="GG43" s="2">
        <v>0.72099999999999997</v>
      </c>
      <c r="GP43" s="18" t="s">
        <v>7</v>
      </c>
      <c r="GQ43" s="3">
        <v>0.56099999999999994</v>
      </c>
      <c r="GR43" s="3">
        <v>0.67100000000000004</v>
      </c>
      <c r="GS43" s="3">
        <v>0.66600000000000004</v>
      </c>
      <c r="GT43" s="3">
        <v>0.68599999999999994</v>
      </c>
      <c r="GU43" s="3">
        <v>0.69599999999999995</v>
      </c>
      <c r="GV43" s="3">
        <v>0.66649999999999998</v>
      </c>
      <c r="HE43" s="18" t="s">
        <v>7</v>
      </c>
      <c r="HF43" s="4">
        <v>0.16800000000000001</v>
      </c>
      <c r="HG43" s="4">
        <v>0.27800000000000002</v>
      </c>
      <c r="HH43" s="4">
        <v>0.27100000000000002</v>
      </c>
      <c r="HI43" s="4">
        <v>0.26700000000000002</v>
      </c>
      <c r="HJ43" s="4">
        <v>0.26100000000000001</v>
      </c>
      <c r="HK43" s="4">
        <v>0.20899999999999999</v>
      </c>
    </row>
    <row r="44" spans="1:243" ht="30" customHeight="1" thickBot="1" x14ac:dyDescent="0.35">
      <c r="A44" s="36" t="s">
        <v>8</v>
      </c>
      <c r="B44" s="2">
        <v>0.81899999999999995</v>
      </c>
      <c r="C44" s="2">
        <v>0.70599999999999996</v>
      </c>
      <c r="D44" s="3">
        <f>AVERAGE(1,0)</f>
        <v>0.5</v>
      </c>
      <c r="E44" s="4">
        <v>0</v>
      </c>
      <c r="AB44" s="1" t="s">
        <v>8</v>
      </c>
      <c r="AC44" s="2" t="s">
        <v>107</v>
      </c>
      <c r="AD44" s="2" t="s">
        <v>106</v>
      </c>
      <c r="AE44" s="3" t="s">
        <v>105</v>
      </c>
      <c r="AF44" s="4" t="s">
        <v>104</v>
      </c>
      <c r="AK44" s="1" t="s">
        <v>8</v>
      </c>
      <c r="AL44" s="15">
        <v>0.45700000000000002</v>
      </c>
      <c r="AM44" s="2">
        <v>0.70899999999999996</v>
      </c>
      <c r="AN44" s="3">
        <f>AVERAGE(0.361,0.895)</f>
        <v>0.628</v>
      </c>
      <c r="AO44" s="4">
        <v>0.123</v>
      </c>
      <c r="AQ44" s="18" t="s">
        <v>8</v>
      </c>
      <c r="AR44" s="69">
        <f t="shared" si="60"/>
        <v>-0.36199999999999993</v>
      </c>
      <c r="AS44" s="12">
        <f t="shared" si="51"/>
        <v>3.0000000000000027E-3</v>
      </c>
      <c r="AT44" s="69">
        <f t="shared" si="52"/>
        <v>0.128</v>
      </c>
      <c r="AU44" s="69">
        <f t="shared" si="53"/>
        <v>0.123</v>
      </c>
      <c r="BI44" s="1" t="s">
        <v>8</v>
      </c>
      <c r="BJ44" s="15">
        <v>0.66900000000000004</v>
      </c>
      <c r="BK44" s="2">
        <v>0.73199999999999998</v>
      </c>
      <c r="BL44" s="3">
        <f>AVERAGE(0.668,0.671)</f>
        <v>0.66949999999999998</v>
      </c>
      <c r="BM44" s="4">
        <v>0.23499999999999999</v>
      </c>
      <c r="BQ44" s="18" t="s">
        <v>8</v>
      </c>
      <c r="BR44" s="69">
        <f t="shared" si="54"/>
        <v>0.21200000000000002</v>
      </c>
      <c r="BS44" s="12">
        <f t="shared" si="54"/>
        <v>2.300000000000002E-2</v>
      </c>
      <c r="BT44" s="12">
        <f t="shared" si="54"/>
        <v>4.1499999999999981E-2</v>
      </c>
      <c r="BU44" s="69">
        <f t="shared" si="54"/>
        <v>0.11199999999999999</v>
      </c>
      <c r="CI44" s="38"/>
      <c r="CJ44" s="1" t="s">
        <v>8</v>
      </c>
      <c r="CK44" s="15">
        <v>0.69799999999999995</v>
      </c>
      <c r="CL44" s="2">
        <v>0.73499999999999999</v>
      </c>
      <c r="CM44" s="3">
        <f>AVERAGE(0.713,0.632)</f>
        <v>0.67249999999999999</v>
      </c>
      <c r="CN44" s="4">
        <v>0.25</v>
      </c>
      <c r="CO44" s="33"/>
      <c r="CP44" s="33"/>
      <c r="CQ44" s="33"/>
      <c r="CR44" s="18" t="s">
        <v>8</v>
      </c>
      <c r="CS44" s="69">
        <f t="shared" si="61"/>
        <v>2.8999999999999915E-2</v>
      </c>
      <c r="CT44" s="12">
        <f t="shared" si="55"/>
        <v>3.0000000000000027E-3</v>
      </c>
      <c r="CU44" s="12">
        <f t="shared" si="55"/>
        <v>3.0000000000000027E-3</v>
      </c>
      <c r="CV44" s="12">
        <f t="shared" si="55"/>
        <v>1.5000000000000013E-2</v>
      </c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4"/>
      <c r="DJ44" s="38"/>
      <c r="DK44" s="1" t="s">
        <v>8</v>
      </c>
      <c r="DL44" s="15">
        <v>0.59899999999999998</v>
      </c>
      <c r="DM44" s="2">
        <v>0.74299999999999999</v>
      </c>
      <c r="DN44" s="3">
        <f>AVERAGE(0.552,0.809)</f>
        <v>0.6805000000000001</v>
      </c>
      <c r="DO44" s="4">
        <v>0.21</v>
      </c>
      <c r="DP44" s="33"/>
      <c r="DQ44" s="33"/>
      <c r="DR44" s="33"/>
      <c r="DS44" s="18" t="s">
        <v>8</v>
      </c>
      <c r="DT44" s="69">
        <f t="shared" si="62"/>
        <v>-9.8999999999999977E-2</v>
      </c>
      <c r="DU44" s="12">
        <f t="shared" si="63"/>
        <v>8.0000000000000071E-3</v>
      </c>
      <c r="DV44" s="12">
        <f t="shared" si="64"/>
        <v>8.0000000000001181E-3</v>
      </c>
      <c r="DW44" s="12">
        <f t="shared" si="65"/>
        <v>-4.0000000000000008E-2</v>
      </c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4"/>
      <c r="EK44" s="38"/>
      <c r="EL44" s="1" t="s">
        <v>8</v>
      </c>
      <c r="EM44" s="15">
        <v>0.57399999999999995</v>
      </c>
      <c r="EN44" s="2">
        <v>0.71199999999999997</v>
      </c>
      <c r="EO44" s="3">
        <f>AVERAGE(0.525,0.796)</f>
        <v>0.66050000000000009</v>
      </c>
      <c r="EP44" s="4">
        <v>0.184</v>
      </c>
      <c r="EQ44" s="33"/>
      <c r="ER44" s="33"/>
      <c r="ES44" s="33"/>
      <c r="ET44" s="18" t="s">
        <v>8</v>
      </c>
      <c r="EU44" s="12">
        <f t="shared" si="66"/>
        <v>-2.5000000000000022E-2</v>
      </c>
      <c r="EV44" s="12">
        <f t="shared" si="57"/>
        <v>-3.1000000000000028E-2</v>
      </c>
      <c r="EW44" s="12">
        <f t="shared" si="58"/>
        <v>-2.0000000000000018E-2</v>
      </c>
      <c r="EX44" s="12">
        <f t="shared" si="59"/>
        <v>-2.5999999999999995E-2</v>
      </c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4"/>
      <c r="FL44" s="18" t="s">
        <v>8</v>
      </c>
      <c r="FM44" s="2">
        <v>0.81899999999999995</v>
      </c>
      <c r="FN44" s="15">
        <v>0.45700000000000002</v>
      </c>
      <c r="FO44" s="15">
        <v>0.66900000000000004</v>
      </c>
      <c r="FP44" s="15">
        <v>0.69799999999999995</v>
      </c>
      <c r="FQ44" s="15">
        <v>0.59899999999999998</v>
      </c>
      <c r="FR44" s="15">
        <v>0.57399999999999995</v>
      </c>
      <c r="GA44" s="18" t="s">
        <v>8</v>
      </c>
      <c r="GB44" s="2">
        <v>0.70599999999999996</v>
      </c>
      <c r="GC44" s="2">
        <v>0.70899999999999996</v>
      </c>
      <c r="GD44" s="2">
        <v>0.73199999999999998</v>
      </c>
      <c r="GE44" s="2">
        <v>0.73499999999999999</v>
      </c>
      <c r="GF44" s="2">
        <v>0.74299999999999999</v>
      </c>
      <c r="GG44" s="2">
        <v>0.71199999999999997</v>
      </c>
      <c r="GP44" s="18" t="s">
        <v>8</v>
      </c>
      <c r="GQ44" s="3">
        <v>0.5</v>
      </c>
      <c r="GR44" s="3">
        <v>0.628</v>
      </c>
      <c r="GS44" s="3">
        <v>0.66949999999999998</v>
      </c>
      <c r="GT44" s="3">
        <v>0.67249999999999999</v>
      </c>
      <c r="GU44" s="3">
        <v>0.6805000000000001</v>
      </c>
      <c r="GV44" s="3">
        <v>0.66050000000000009</v>
      </c>
      <c r="HE44" s="18" t="s">
        <v>8</v>
      </c>
      <c r="HF44" s="4">
        <v>0</v>
      </c>
      <c r="HG44" s="4">
        <v>0.123</v>
      </c>
      <c r="HH44" s="4">
        <v>0.23499999999999999</v>
      </c>
      <c r="HI44" s="4">
        <v>0.25</v>
      </c>
      <c r="HJ44" s="4">
        <v>0.21</v>
      </c>
      <c r="HK44" s="4">
        <v>0.184</v>
      </c>
    </row>
    <row r="45" spans="1:243" ht="30" customHeight="1" thickBot="1" x14ac:dyDescent="0.35">
      <c r="A45" s="36" t="s">
        <v>9</v>
      </c>
      <c r="B45" s="2">
        <v>0.80900000000000005</v>
      </c>
      <c r="C45" s="2">
        <v>0.73399999999999999</v>
      </c>
      <c r="D45" s="3">
        <f>AVERAGE(0.929,0.262)</f>
        <v>0.59550000000000003</v>
      </c>
      <c r="E45" s="4">
        <v>0.223</v>
      </c>
      <c r="AB45" s="1" t="s">
        <v>9</v>
      </c>
      <c r="AC45" s="2" t="s">
        <v>111</v>
      </c>
      <c r="AD45" s="2" t="s">
        <v>110</v>
      </c>
      <c r="AE45" s="3" t="s">
        <v>109</v>
      </c>
      <c r="AF45" s="4" t="s">
        <v>108</v>
      </c>
      <c r="AK45" s="1" t="s">
        <v>9</v>
      </c>
      <c r="AL45" s="15">
        <v>0.625</v>
      </c>
      <c r="AM45" s="2">
        <v>0.73099999999999998</v>
      </c>
      <c r="AN45" s="3">
        <f>AVERAGE(0.599,0.745)</f>
        <v>0.67199999999999993</v>
      </c>
      <c r="AO45" s="4">
        <v>0.21299999999999999</v>
      </c>
      <c r="AQ45" s="18" t="s">
        <v>9</v>
      </c>
      <c r="AR45" s="69">
        <f t="shared" si="60"/>
        <v>-0.18400000000000005</v>
      </c>
      <c r="AS45" s="12">
        <f t="shared" si="51"/>
        <v>-3.0000000000000027E-3</v>
      </c>
      <c r="AT45" s="69">
        <f t="shared" si="52"/>
        <v>7.6499999999999901E-2</v>
      </c>
      <c r="AU45" s="12">
        <f t="shared" si="53"/>
        <v>-1.0000000000000009E-2</v>
      </c>
      <c r="BI45" s="1" t="s">
        <v>9</v>
      </c>
      <c r="BJ45" s="15">
        <v>0.63400000000000001</v>
      </c>
      <c r="BK45" s="2">
        <v>0.72299999999999998</v>
      </c>
      <c r="BL45" s="3">
        <f>AVERAGE(0.625,0.679)</f>
        <v>0.65200000000000002</v>
      </c>
      <c r="BM45" s="4">
        <v>0.19700000000000001</v>
      </c>
      <c r="BQ45" s="18" t="s">
        <v>9</v>
      </c>
      <c r="BR45" s="12">
        <f t="shared" si="54"/>
        <v>9.000000000000008E-3</v>
      </c>
      <c r="BS45" s="12">
        <f t="shared" si="54"/>
        <v>-8.0000000000000071E-3</v>
      </c>
      <c r="BT45" s="12">
        <f t="shared" si="54"/>
        <v>-1.9999999999999907E-2</v>
      </c>
      <c r="BU45" s="12">
        <f t="shared" si="54"/>
        <v>-1.5999999999999986E-2</v>
      </c>
      <c r="CI45" s="38"/>
      <c r="CJ45" s="1" t="s">
        <v>9</v>
      </c>
      <c r="CK45" s="15">
        <v>0.62</v>
      </c>
      <c r="CL45" s="2">
        <v>0.746</v>
      </c>
      <c r="CM45" s="3">
        <f>AVERAGE(0.59,0.756)</f>
        <v>0.67300000000000004</v>
      </c>
      <c r="CN45" s="4">
        <v>0.21199999999999999</v>
      </c>
      <c r="CO45" s="33"/>
      <c r="CP45" s="33"/>
      <c r="CQ45" s="33"/>
      <c r="CR45" s="18" t="s">
        <v>9</v>
      </c>
      <c r="CS45" s="12">
        <f t="shared" si="61"/>
        <v>-1.4000000000000012E-2</v>
      </c>
      <c r="CT45" s="69">
        <f t="shared" si="55"/>
        <v>2.300000000000002E-2</v>
      </c>
      <c r="CU45" s="12">
        <f t="shared" si="55"/>
        <v>2.1000000000000019E-2</v>
      </c>
      <c r="CV45" s="12">
        <f t="shared" si="55"/>
        <v>1.4999999999999986E-2</v>
      </c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4"/>
      <c r="DJ45" s="38"/>
      <c r="DK45" s="1" t="s">
        <v>9</v>
      </c>
      <c r="DL45" s="15">
        <v>0.61799999999999999</v>
      </c>
      <c r="DM45" s="2">
        <v>0.746</v>
      </c>
      <c r="DN45" s="3">
        <f>AVERAGE(0.572,0.822)</f>
        <v>0.69699999999999995</v>
      </c>
      <c r="DO45" s="4">
        <v>0.23599999999999999</v>
      </c>
      <c r="DP45" s="33"/>
      <c r="DQ45" s="33"/>
      <c r="DR45" s="33"/>
      <c r="DS45" s="18" t="s">
        <v>9</v>
      </c>
      <c r="DT45" s="12">
        <f t="shared" si="62"/>
        <v>-2.0000000000000018E-3</v>
      </c>
      <c r="DU45" s="12">
        <f t="shared" si="63"/>
        <v>0</v>
      </c>
      <c r="DV45" s="12">
        <f t="shared" si="64"/>
        <v>2.399999999999991E-2</v>
      </c>
      <c r="DW45" s="12">
        <f t="shared" si="65"/>
        <v>2.3999999999999994E-2</v>
      </c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4"/>
      <c r="EK45" s="38"/>
      <c r="EL45" s="1" t="s">
        <v>9</v>
      </c>
      <c r="EM45" s="15">
        <v>0.57699999999999996</v>
      </c>
      <c r="EN45" s="2">
        <v>0.71199999999999997</v>
      </c>
      <c r="EO45" s="3">
        <f>AVERAGE(0.536,0.763)</f>
        <v>0.64949999999999997</v>
      </c>
      <c r="EP45" s="4">
        <v>0.17399999999999999</v>
      </c>
      <c r="EQ45" s="33"/>
      <c r="ER45" s="33"/>
      <c r="ES45" s="33"/>
      <c r="ET45" s="18" t="s">
        <v>9</v>
      </c>
      <c r="EU45" s="69">
        <f t="shared" si="66"/>
        <v>-4.1000000000000036E-2</v>
      </c>
      <c r="EV45" s="12">
        <f t="shared" si="57"/>
        <v>-3.400000000000003E-2</v>
      </c>
      <c r="EW45" s="69">
        <f t="shared" si="58"/>
        <v>-4.7499999999999987E-2</v>
      </c>
      <c r="EX45" s="69">
        <f t="shared" si="59"/>
        <v>-6.2E-2</v>
      </c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4"/>
      <c r="FL45" s="18" t="s">
        <v>9</v>
      </c>
      <c r="FM45" s="2">
        <v>0.80900000000000005</v>
      </c>
      <c r="FN45" s="15">
        <v>0.625</v>
      </c>
      <c r="FO45" s="15">
        <v>0.63400000000000001</v>
      </c>
      <c r="FP45" s="15">
        <v>0.62</v>
      </c>
      <c r="FQ45" s="15">
        <v>0.61799999999999999</v>
      </c>
      <c r="FR45" s="15">
        <v>0.57699999999999996</v>
      </c>
      <c r="GA45" s="18" t="s">
        <v>9</v>
      </c>
      <c r="GB45" s="2">
        <v>0.73399999999999999</v>
      </c>
      <c r="GC45" s="2">
        <v>0.73099999999999998</v>
      </c>
      <c r="GD45" s="2">
        <v>0.72299999999999998</v>
      </c>
      <c r="GE45" s="2">
        <v>0.746</v>
      </c>
      <c r="GF45" s="2">
        <v>0.746</v>
      </c>
      <c r="GG45" s="2">
        <v>0.71199999999999997</v>
      </c>
      <c r="GP45" s="18" t="s">
        <v>9</v>
      </c>
      <c r="GQ45" s="3">
        <v>0.59550000000000003</v>
      </c>
      <c r="GR45" s="3">
        <v>0.67199999999999993</v>
      </c>
      <c r="GS45" s="3">
        <v>0.65200000000000002</v>
      </c>
      <c r="GT45" s="3">
        <v>0.67300000000000004</v>
      </c>
      <c r="GU45" s="3">
        <v>0.69699999999999995</v>
      </c>
      <c r="GV45" s="3">
        <v>0.64949999999999997</v>
      </c>
      <c r="HE45" s="18" t="s">
        <v>9</v>
      </c>
      <c r="HF45" s="4">
        <v>0.223</v>
      </c>
      <c r="HG45" s="4">
        <v>0.21299999999999999</v>
      </c>
      <c r="HH45" s="4">
        <v>0.19700000000000001</v>
      </c>
      <c r="HI45" s="4">
        <v>0.21199999999999999</v>
      </c>
      <c r="HJ45" s="4">
        <v>0.23599999999999999</v>
      </c>
      <c r="HK45" s="4">
        <v>0.17399999999999999</v>
      </c>
    </row>
    <row r="46" spans="1:243" ht="30" customHeight="1" thickBot="1" x14ac:dyDescent="0.35">
      <c r="A46" s="36" t="s">
        <v>10</v>
      </c>
      <c r="B46" s="2">
        <v>0.83</v>
      </c>
      <c r="C46" s="2">
        <v>0.72899999999999998</v>
      </c>
      <c r="D46" s="3">
        <f>AVERAGE(0.965,0.218)</f>
        <v>0.59150000000000003</v>
      </c>
      <c r="E46" s="4">
        <v>0.24199999999999999</v>
      </c>
      <c r="AB46" s="1" t="s">
        <v>10</v>
      </c>
      <c r="AC46" s="2" t="s">
        <v>115</v>
      </c>
      <c r="AD46" s="2" t="s">
        <v>114</v>
      </c>
      <c r="AE46" s="3" t="s">
        <v>113</v>
      </c>
      <c r="AF46" s="4" t="s">
        <v>112</v>
      </c>
      <c r="AK46" s="1" t="s">
        <v>10</v>
      </c>
      <c r="AL46" s="15">
        <v>0.76300000000000001</v>
      </c>
      <c r="AM46" s="2">
        <v>0.752</v>
      </c>
      <c r="AN46" s="3">
        <f>AVERAGE(0.812,0.54)</f>
        <v>0.67600000000000005</v>
      </c>
      <c r="AO46" s="4">
        <v>0.30299999999999999</v>
      </c>
      <c r="AQ46" s="18" t="s">
        <v>10</v>
      </c>
      <c r="AR46" s="69">
        <f t="shared" si="60"/>
        <v>-6.6999999999999948E-2</v>
      </c>
      <c r="AS46" s="12">
        <f t="shared" si="51"/>
        <v>2.300000000000002E-2</v>
      </c>
      <c r="AT46" s="69">
        <f t="shared" si="52"/>
        <v>8.450000000000002E-2</v>
      </c>
      <c r="AU46" s="12">
        <f t="shared" si="53"/>
        <v>6.0999999999999999E-2</v>
      </c>
      <c r="BI46" s="1" t="s">
        <v>10</v>
      </c>
      <c r="BJ46" s="15">
        <v>0.76300000000000001</v>
      </c>
      <c r="BK46" s="2">
        <v>0.752</v>
      </c>
      <c r="BL46" s="3">
        <f>AVERAGE(0.812,0.54)</f>
        <v>0.67600000000000005</v>
      </c>
      <c r="BM46" s="4">
        <v>0.30299999999999999</v>
      </c>
      <c r="BQ46" s="18" t="s">
        <v>10</v>
      </c>
      <c r="BR46" s="12">
        <f t="shared" si="54"/>
        <v>0</v>
      </c>
      <c r="BS46" s="12">
        <f t="shared" si="54"/>
        <v>0</v>
      </c>
      <c r="BT46" s="12">
        <f t="shared" si="54"/>
        <v>0</v>
      </c>
      <c r="BU46" s="12">
        <f t="shared" si="54"/>
        <v>0</v>
      </c>
      <c r="CI46" s="38"/>
      <c r="CJ46" s="1" t="s">
        <v>10</v>
      </c>
      <c r="CK46" s="15">
        <v>0.754</v>
      </c>
      <c r="CL46" s="2">
        <v>0.75900000000000001</v>
      </c>
      <c r="CM46" s="3">
        <f>AVERAGE(0.794,0.572)</f>
        <v>0.68300000000000005</v>
      </c>
      <c r="CN46" s="4">
        <v>0.30499999999999999</v>
      </c>
      <c r="CO46" s="33"/>
      <c r="CP46" s="33"/>
      <c r="CQ46" s="33"/>
      <c r="CR46" s="18" t="s">
        <v>10</v>
      </c>
      <c r="CS46" s="12">
        <f t="shared" si="61"/>
        <v>-9.000000000000008E-3</v>
      </c>
      <c r="CT46" s="12">
        <f t="shared" si="55"/>
        <v>7.0000000000000062E-3</v>
      </c>
      <c r="CU46" s="12">
        <f t="shared" si="55"/>
        <v>7.0000000000000062E-3</v>
      </c>
      <c r="CV46" s="12">
        <f>CN46-BM46</f>
        <v>2.0000000000000018E-3</v>
      </c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4"/>
      <c r="DJ46" s="38"/>
      <c r="DK46" s="1" t="s">
        <v>10</v>
      </c>
      <c r="DL46" s="15">
        <v>0.73799999999999999</v>
      </c>
      <c r="DM46" s="2">
        <v>0.74399999999999999</v>
      </c>
      <c r="DN46" s="3">
        <f>AVERAGE(0.762,0.626)</f>
        <v>0.69399999999999995</v>
      </c>
      <c r="DO46" s="4">
        <v>0.30499999999999999</v>
      </c>
      <c r="DP46" s="33"/>
      <c r="DQ46" s="33"/>
      <c r="DR46" s="33"/>
      <c r="DS46" s="18" t="s">
        <v>10</v>
      </c>
      <c r="DT46" s="69">
        <f t="shared" si="62"/>
        <v>-1.6000000000000014E-2</v>
      </c>
      <c r="DU46" s="12">
        <f t="shared" si="63"/>
        <v>-1.5000000000000013E-2</v>
      </c>
      <c r="DV46" s="12">
        <f>DN46-CM46</f>
        <v>1.0999999999999899E-2</v>
      </c>
      <c r="DW46" s="12">
        <f t="shared" si="65"/>
        <v>0</v>
      </c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4"/>
      <c r="EK46" s="38"/>
      <c r="EL46" s="1" t="s">
        <v>10</v>
      </c>
      <c r="EM46" s="15">
        <v>0.71599999999999997</v>
      </c>
      <c r="EN46" s="2">
        <v>0.7</v>
      </c>
      <c r="EO46" s="3">
        <f>AVERAGE(0.732,0.645)</f>
        <v>0.6885</v>
      </c>
      <c r="EP46" s="4">
        <v>0.28199999999999997</v>
      </c>
      <c r="EQ46" s="33"/>
      <c r="ER46" s="33"/>
      <c r="ES46" s="33"/>
      <c r="ET46" s="18" t="s">
        <v>10</v>
      </c>
      <c r="EU46" s="12">
        <f t="shared" si="66"/>
        <v>-2.200000000000002E-2</v>
      </c>
      <c r="EV46" s="69">
        <f t="shared" si="57"/>
        <v>-4.4000000000000039E-2</v>
      </c>
      <c r="EW46" s="12">
        <f>EO46-DN46</f>
        <v>-5.4999999999999494E-3</v>
      </c>
      <c r="EX46" s="12">
        <f t="shared" si="59"/>
        <v>-2.300000000000002E-2</v>
      </c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4"/>
      <c r="FL46" s="18" t="s">
        <v>10</v>
      </c>
      <c r="FM46" s="2">
        <v>0.83</v>
      </c>
      <c r="FN46" s="15">
        <v>0.76300000000000001</v>
      </c>
      <c r="FO46" s="15">
        <v>0.76300000000000001</v>
      </c>
      <c r="FP46" s="15">
        <v>0.754</v>
      </c>
      <c r="FQ46" s="15">
        <v>0.73799999999999999</v>
      </c>
      <c r="FR46" s="15">
        <v>0.71599999999999997</v>
      </c>
      <c r="GA46" s="18" t="s">
        <v>10</v>
      </c>
      <c r="GB46" s="2">
        <v>0.72899999999999998</v>
      </c>
      <c r="GC46" s="2">
        <v>0.752</v>
      </c>
      <c r="GD46" s="2">
        <v>0.752</v>
      </c>
      <c r="GE46" s="2">
        <v>0.75900000000000001</v>
      </c>
      <c r="GF46" s="2">
        <v>0.74399999999999999</v>
      </c>
      <c r="GG46" s="2">
        <v>0.7</v>
      </c>
      <c r="GP46" s="18" t="s">
        <v>10</v>
      </c>
      <c r="GQ46" s="3">
        <v>0.59150000000000003</v>
      </c>
      <c r="GR46" s="3">
        <v>0.67600000000000005</v>
      </c>
      <c r="GS46" s="3">
        <v>0.67600000000000005</v>
      </c>
      <c r="GT46" s="3">
        <v>0.68300000000000005</v>
      </c>
      <c r="GU46" s="3">
        <v>0.69399999999999995</v>
      </c>
      <c r="GV46" s="3">
        <v>0.6885</v>
      </c>
      <c r="HE46" s="18" t="s">
        <v>10</v>
      </c>
      <c r="HF46" s="4">
        <v>0.24199999999999999</v>
      </c>
      <c r="HG46" s="4">
        <v>0.30299999999999999</v>
      </c>
      <c r="HH46" s="4">
        <v>0.30299999999999999</v>
      </c>
      <c r="HI46" s="4">
        <v>0.30499999999999999</v>
      </c>
      <c r="HJ46" s="4">
        <v>0.30499999999999999</v>
      </c>
      <c r="HK46" s="4">
        <v>0.28199999999999997</v>
      </c>
    </row>
    <row r="47" spans="1:243" ht="30" customHeight="1" thickBot="1" x14ac:dyDescent="0.35">
      <c r="A47" s="37" t="s">
        <v>11</v>
      </c>
      <c r="B47" s="6">
        <v>0.79200000000000004</v>
      </c>
      <c r="C47" s="6">
        <v>0.71899999999999997</v>
      </c>
      <c r="D47" s="7">
        <f>AVERAGE(0.906,0.275)</f>
        <v>0.59050000000000002</v>
      </c>
      <c r="E47" s="8">
        <v>0.19700000000000001</v>
      </c>
      <c r="AB47" s="5" t="s">
        <v>11</v>
      </c>
      <c r="AC47" s="6" t="s">
        <v>119</v>
      </c>
      <c r="AD47" s="6" t="s">
        <v>118</v>
      </c>
      <c r="AE47" s="7" t="s">
        <v>117</v>
      </c>
      <c r="AF47" s="8" t="s">
        <v>116</v>
      </c>
      <c r="AK47" s="5" t="s">
        <v>11</v>
      </c>
      <c r="AL47" s="17">
        <v>0.69599999999999995</v>
      </c>
      <c r="AM47" s="6">
        <v>0.72799999999999998</v>
      </c>
      <c r="AN47" s="7">
        <f>AVERAGE(0.703,0.665)</f>
        <v>0.68399999999999994</v>
      </c>
      <c r="AO47" s="8">
        <v>0.26900000000000002</v>
      </c>
      <c r="AQ47" s="19" t="s">
        <v>11</v>
      </c>
      <c r="AR47" s="69">
        <f t="shared" si="60"/>
        <v>-9.6000000000000085E-2</v>
      </c>
      <c r="AS47" s="12">
        <f t="shared" si="51"/>
        <v>9.000000000000008E-3</v>
      </c>
      <c r="AT47" s="69">
        <f t="shared" si="52"/>
        <v>9.3499999999999917E-2</v>
      </c>
      <c r="AU47" s="12">
        <f t="shared" si="53"/>
        <v>7.2000000000000008E-2</v>
      </c>
      <c r="BI47" s="5" t="s">
        <v>11</v>
      </c>
      <c r="BJ47" s="17">
        <v>0.7</v>
      </c>
      <c r="BK47" s="6">
        <v>0.70299999999999996</v>
      </c>
      <c r="BL47" s="7">
        <f>AVERAGE(0.725,0.585)</f>
        <v>0.65500000000000003</v>
      </c>
      <c r="BM47" s="8">
        <v>0.23400000000000001</v>
      </c>
      <c r="BQ47" s="19" t="s">
        <v>11</v>
      </c>
      <c r="BR47" s="12">
        <f t="shared" si="54"/>
        <v>4.0000000000000036E-3</v>
      </c>
      <c r="BS47" s="69">
        <f t="shared" si="54"/>
        <v>-2.5000000000000022E-2</v>
      </c>
      <c r="BT47" s="69">
        <f t="shared" si="54"/>
        <v>-2.8999999999999915E-2</v>
      </c>
      <c r="BU47" s="12">
        <f t="shared" si="54"/>
        <v>-3.5000000000000003E-2</v>
      </c>
      <c r="CI47" s="38"/>
      <c r="CJ47" s="5" t="s">
        <v>11</v>
      </c>
      <c r="CK47" s="17">
        <v>0.60599999999999998</v>
      </c>
      <c r="CL47" s="6">
        <v>0.73299999999999998</v>
      </c>
      <c r="CM47" s="7">
        <f>AVERAGE(0.583,0.71)</f>
        <v>0.64649999999999996</v>
      </c>
      <c r="CN47" s="8">
        <v>0.186</v>
      </c>
      <c r="CO47" s="33"/>
      <c r="CP47" s="33"/>
      <c r="CQ47" s="33"/>
      <c r="CR47" s="19" t="s">
        <v>11</v>
      </c>
      <c r="CS47" s="69">
        <f t="shared" si="61"/>
        <v>-9.3999999999999972E-2</v>
      </c>
      <c r="CT47" s="69">
        <f t="shared" si="55"/>
        <v>3.0000000000000027E-2</v>
      </c>
      <c r="CU47" s="12">
        <f t="shared" si="55"/>
        <v>-8.5000000000000631E-3</v>
      </c>
      <c r="CV47" s="12">
        <f t="shared" si="55"/>
        <v>-4.8000000000000015E-2</v>
      </c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4"/>
      <c r="DJ47" s="38"/>
      <c r="DK47" s="5" t="s">
        <v>11</v>
      </c>
      <c r="DL47" s="17">
        <v>0.59199999999999997</v>
      </c>
      <c r="DM47" s="6">
        <v>0.73899999999999999</v>
      </c>
      <c r="DN47" s="7">
        <f>AVERAGE(0.554,0.763)</f>
        <v>0.65850000000000009</v>
      </c>
      <c r="DO47" s="8">
        <v>0.185</v>
      </c>
      <c r="DP47" s="33"/>
      <c r="DQ47" s="33"/>
      <c r="DR47" s="33"/>
      <c r="DS47" s="19" t="s">
        <v>11</v>
      </c>
      <c r="DT47" s="12">
        <f t="shared" si="62"/>
        <v>-1.4000000000000012E-2</v>
      </c>
      <c r="DU47" s="12">
        <f t="shared" si="63"/>
        <v>6.0000000000000053E-3</v>
      </c>
      <c r="DV47" s="12">
        <f t="shared" si="64"/>
        <v>1.2000000000000122E-2</v>
      </c>
      <c r="DW47" s="12">
        <f t="shared" si="65"/>
        <v>-1.0000000000000009E-3</v>
      </c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4"/>
      <c r="EK47" s="38"/>
      <c r="EL47" s="5" t="s">
        <v>11</v>
      </c>
      <c r="EM47" s="17">
        <v>0.57399999999999995</v>
      </c>
      <c r="EN47" s="6">
        <v>0.71799999999999997</v>
      </c>
      <c r="EO47" s="7">
        <f>AVERAGE(0.53,0.769)</f>
        <v>0.64949999999999997</v>
      </c>
      <c r="EP47" s="8">
        <v>0.17299999999999999</v>
      </c>
      <c r="EQ47" s="33"/>
      <c r="ER47" s="33"/>
      <c r="ES47" s="33"/>
      <c r="ET47" s="19" t="s">
        <v>11</v>
      </c>
      <c r="EU47" s="12">
        <f t="shared" si="66"/>
        <v>-1.8000000000000016E-2</v>
      </c>
      <c r="EV47" s="12">
        <f t="shared" si="57"/>
        <v>-2.1000000000000019E-2</v>
      </c>
      <c r="EW47" s="12">
        <f t="shared" ref="EW47" si="67">EO47-DN47</f>
        <v>-9.000000000000119E-3</v>
      </c>
      <c r="EX47" s="12">
        <f t="shared" si="59"/>
        <v>-1.2000000000000011E-2</v>
      </c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4"/>
      <c r="FL47" s="19" t="s">
        <v>11</v>
      </c>
      <c r="FM47" s="6">
        <v>0.79200000000000004</v>
      </c>
      <c r="FN47" s="17">
        <v>0.69599999999999995</v>
      </c>
      <c r="FO47" s="17">
        <v>0.7</v>
      </c>
      <c r="FP47" s="17">
        <v>0.60599999999999998</v>
      </c>
      <c r="FQ47" s="17">
        <v>0.59199999999999997</v>
      </c>
      <c r="FR47" s="17">
        <v>0.57399999999999995</v>
      </c>
      <c r="GA47" s="19" t="s">
        <v>11</v>
      </c>
      <c r="GB47" s="6">
        <v>0.71899999999999997</v>
      </c>
      <c r="GC47" s="6">
        <v>0.72799999999999998</v>
      </c>
      <c r="GD47" s="6">
        <v>0.70299999999999996</v>
      </c>
      <c r="GE47" s="6">
        <v>0.73299999999999998</v>
      </c>
      <c r="GF47" s="6">
        <v>0.73899999999999999</v>
      </c>
      <c r="GG47" s="6">
        <v>0.71799999999999997</v>
      </c>
      <c r="GP47" s="19" t="s">
        <v>11</v>
      </c>
      <c r="GQ47" s="7">
        <v>0.59050000000000002</v>
      </c>
      <c r="GR47" s="7">
        <v>0.68399999999999994</v>
      </c>
      <c r="GS47" s="7">
        <v>0.65500000000000003</v>
      </c>
      <c r="GT47" s="7">
        <v>0.64649999999999996</v>
      </c>
      <c r="GU47" s="7">
        <v>0.65850000000000009</v>
      </c>
      <c r="GV47" s="7">
        <v>0.64949999999999997</v>
      </c>
      <c r="HE47" s="19" t="s">
        <v>11</v>
      </c>
      <c r="HF47" s="8">
        <v>0.19700000000000001</v>
      </c>
      <c r="HG47" s="8">
        <v>0.26900000000000002</v>
      </c>
      <c r="HH47" s="8">
        <v>0.23400000000000001</v>
      </c>
      <c r="HI47" s="8">
        <v>0.186</v>
      </c>
      <c r="HJ47" s="8">
        <v>0.185</v>
      </c>
      <c r="HK47" s="8">
        <v>0.17299999999999999</v>
      </c>
    </row>
    <row r="48" spans="1:243" s="33" customFormat="1" ht="30" customHeight="1" thickBot="1" x14ac:dyDescent="0.35">
      <c r="A48" s="38"/>
      <c r="Z48" s="34"/>
      <c r="AA48" s="38"/>
      <c r="AI48" s="34"/>
      <c r="AJ48" s="38"/>
      <c r="BG48" s="34"/>
      <c r="BH48" s="38"/>
      <c r="CH48" s="34"/>
      <c r="CI48" s="38"/>
      <c r="DI48" s="34"/>
      <c r="DJ48" s="38"/>
      <c r="EJ48" s="34"/>
      <c r="EK48" s="38"/>
      <c r="FK48" s="34"/>
    </row>
    <row r="49" spans="1:201" ht="30" customHeight="1" thickBot="1" x14ac:dyDescent="0.55000000000000004">
      <c r="A49" s="74" t="s">
        <v>24</v>
      </c>
      <c r="B49" s="75"/>
      <c r="C49" s="75"/>
      <c r="D49" s="75"/>
      <c r="E49" s="76"/>
      <c r="AB49" s="74" t="s">
        <v>24</v>
      </c>
      <c r="AC49" s="75"/>
      <c r="AD49" s="75"/>
      <c r="AE49" s="75"/>
      <c r="AF49" s="76"/>
      <c r="AK49" s="74" t="s">
        <v>24</v>
      </c>
      <c r="AL49" s="75"/>
      <c r="AM49" s="75"/>
      <c r="AN49" s="75"/>
      <c r="AO49" s="76"/>
      <c r="BI49" s="74" t="s">
        <v>24</v>
      </c>
      <c r="BJ49" s="75"/>
      <c r="BK49" s="75"/>
      <c r="BL49" s="75"/>
      <c r="BM49" s="76"/>
      <c r="BQ49" s="77" t="s">
        <v>120</v>
      </c>
      <c r="BR49" s="78"/>
      <c r="BS49" s="78"/>
      <c r="BT49" s="79"/>
      <c r="CI49" s="38"/>
      <c r="CJ49" s="74" t="s">
        <v>24</v>
      </c>
      <c r="CK49" s="75"/>
      <c r="CL49" s="75"/>
      <c r="CM49" s="75"/>
      <c r="CN49" s="76"/>
      <c r="CO49" s="33"/>
      <c r="CP49" s="33"/>
      <c r="CQ49" s="33"/>
      <c r="CR49" s="77" t="s">
        <v>120</v>
      </c>
      <c r="CS49" s="78"/>
      <c r="CT49" s="78"/>
      <c r="CU49" s="79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4"/>
      <c r="DJ49" s="38"/>
      <c r="DK49" s="74" t="s">
        <v>24</v>
      </c>
      <c r="DL49" s="75"/>
      <c r="DM49" s="75"/>
      <c r="DN49" s="75"/>
      <c r="DO49" s="76"/>
      <c r="DP49" s="33"/>
      <c r="DQ49" s="33"/>
      <c r="DR49" s="33"/>
      <c r="DS49" s="77" t="s">
        <v>120</v>
      </c>
      <c r="DT49" s="78"/>
      <c r="DU49" s="78"/>
      <c r="DV49" s="79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4"/>
      <c r="EK49" s="38"/>
      <c r="EL49" s="74" t="s">
        <v>24</v>
      </c>
      <c r="EM49" s="75"/>
      <c r="EN49" s="75"/>
      <c r="EO49" s="75"/>
      <c r="EP49" s="76"/>
      <c r="EQ49" s="33"/>
      <c r="ER49" s="33"/>
      <c r="ES49" s="33"/>
      <c r="ET49" s="77" t="s">
        <v>120</v>
      </c>
      <c r="EU49" s="78"/>
      <c r="EV49" s="78"/>
      <c r="EW49" s="79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4"/>
    </row>
    <row r="50" spans="1:201" ht="30" customHeight="1" thickBot="1" x14ac:dyDescent="0.35">
      <c r="A50" s="35"/>
      <c r="B50" s="10" t="s">
        <v>20</v>
      </c>
      <c r="C50" s="10" t="s">
        <v>12</v>
      </c>
      <c r="D50" s="11" t="s">
        <v>221</v>
      </c>
      <c r="AB50" s="9"/>
      <c r="AC50" s="10" t="s">
        <v>20</v>
      </c>
      <c r="AD50" s="10" t="s">
        <v>12</v>
      </c>
      <c r="AE50" s="11" t="s">
        <v>25</v>
      </c>
      <c r="AK50" s="9"/>
      <c r="AL50" s="10" t="s">
        <v>20</v>
      </c>
      <c r="AM50" s="10" t="s">
        <v>12</v>
      </c>
      <c r="AN50" s="11" t="s">
        <v>25</v>
      </c>
      <c r="BI50" s="9"/>
      <c r="BJ50" s="10" t="s">
        <v>20</v>
      </c>
      <c r="BK50" s="10" t="s">
        <v>12</v>
      </c>
      <c r="BL50" s="11" t="s">
        <v>25</v>
      </c>
      <c r="BQ50" s="41"/>
      <c r="BR50" s="62" t="s">
        <v>20</v>
      </c>
      <c r="BS50" s="62" t="s">
        <v>12</v>
      </c>
      <c r="BT50" s="63" t="s">
        <v>25</v>
      </c>
      <c r="CI50" s="38"/>
      <c r="CJ50" s="9"/>
      <c r="CK50" s="10" t="s">
        <v>20</v>
      </c>
      <c r="CL50" s="10" t="s">
        <v>12</v>
      </c>
      <c r="CM50" s="11" t="s">
        <v>25</v>
      </c>
      <c r="CN50" s="33"/>
      <c r="CO50" s="33"/>
      <c r="CP50" s="33"/>
      <c r="CQ50" s="33"/>
      <c r="CR50" s="41"/>
      <c r="CS50" s="62" t="s">
        <v>20</v>
      </c>
      <c r="CT50" s="62" t="s">
        <v>12</v>
      </c>
      <c r="CU50" s="63" t="s">
        <v>25</v>
      </c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4"/>
      <c r="DJ50" s="38"/>
      <c r="DK50" s="9"/>
      <c r="DL50" s="10" t="s">
        <v>20</v>
      </c>
      <c r="DM50" s="10" t="s">
        <v>12</v>
      </c>
      <c r="DN50" s="11" t="s">
        <v>25</v>
      </c>
      <c r="DO50" s="33"/>
      <c r="DP50" s="33"/>
      <c r="DQ50" s="33"/>
      <c r="DR50" s="33"/>
      <c r="DS50" s="41"/>
      <c r="DT50" s="62" t="s">
        <v>20</v>
      </c>
      <c r="DU50" s="62" t="s">
        <v>12</v>
      </c>
      <c r="DV50" s="63" t="s">
        <v>25</v>
      </c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4"/>
      <c r="EK50" s="38"/>
      <c r="EL50" s="9"/>
      <c r="EM50" s="10" t="s">
        <v>20</v>
      </c>
      <c r="EN50" s="10" t="s">
        <v>12</v>
      </c>
      <c r="EO50" s="11" t="s">
        <v>25</v>
      </c>
      <c r="EP50" s="33"/>
      <c r="EQ50" s="33"/>
      <c r="ER50" s="33"/>
      <c r="ES50" s="33"/>
      <c r="ET50" s="41"/>
      <c r="EU50" s="62" t="s">
        <v>20</v>
      </c>
      <c r="EV50" s="62" t="s">
        <v>12</v>
      </c>
      <c r="EW50" s="63" t="s">
        <v>25</v>
      </c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4"/>
    </row>
    <row r="51" spans="1:201" ht="30" customHeight="1" thickBot="1" x14ac:dyDescent="0.35">
      <c r="A51" s="36" t="s">
        <v>13</v>
      </c>
      <c r="B51" s="2">
        <v>1.2789999999999999</v>
      </c>
      <c r="C51" s="2">
        <v>2.101</v>
      </c>
      <c r="D51" s="4">
        <v>-0.61099999999999999</v>
      </c>
      <c r="AB51" s="1" t="s">
        <v>13</v>
      </c>
      <c r="AC51" s="2" t="s">
        <v>191</v>
      </c>
      <c r="AD51" s="2" t="s">
        <v>201</v>
      </c>
      <c r="AE51" s="32" t="s">
        <v>211</v>
      </c>
      <c r="AK51" s="1" t="s">
        <v>13</v>
      </c>
      <c r="AL51" s="52"/>
      <c r="AM51" s="52"/>
      <c r="AN51" s="54"/>
      <c r="BI51" s="1" t="s">
        <v>13</v>
      </c>
      <c r="BJ51" s="12">
        <v>1.2789999999999999</v>
      </c>
      <c r="BK51" s="13">
        <v>2.101</v>
      </c>
      <c r="BL51" s="14">
        <v>-0.61099999999999999</v>
      </c>
      <c r="BQ51" s="1" t="s">
        <v>13</v>
      </c>
      <c r="BR51" s="12">
        <f t="shared" ref="BR51:BR61" si="68">BJ51-B51</f>
        <v>0</v>
      </c>
      <c r="BS51" s="12">
        <f t="shared" ref="BS51:BS61" si="69">BK51-C51</f>
        <v>0</v>
      </c>
      <c r="BT51" s="12">
        <f t="shared" ref="BT51:BT61" si="70">BL51-D51</f>
        <v>0</v>
      </c>
      <c r="CI51" s="38"/>
      <c r="CJ51" s="1" t="s">
        <v>13</v>
      </c>
      <c r="CK51" s="12">
        <v>1.2609999999999999</v>
      </c>
      <c r="CL51" s="13">
        <v>2.0390000000000001</v>
      </c>
      <c r="CM51" s="14">
        <v>-0.48399999999999999</v>
      </c>
      <c r="CN51" s="33"/>
      <c r="CO51" s="33"/>
      <c r="CP51" s="33"/>
      <c r="CQ51" s="33"/>
      <c r="CR51" s="1" t="s">
        <v>13</v>
      </c>
      <c r="CS51" s="69">
        <f>CK51-BJ51</f>
        <v>-1.8000000000000016E-2</v>
      </c>
      <c r="CT51" s="12">
        <f t="shared" ref="CT51:CU61" si="71">CL51-BK51</f>
        <v>-6.1999999999999833E-2</v>
      </c>
      <c r="CU51" s="12">
        <f t="shared" si="71"/>
        <v>0.127</v>
      </c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4"/>
      <c r="DJ51" s="38"/>
      <c r="DK51" s="1" t="s">
        <v>13</v>
      </c>
      <c r="DL51" s="12">
        <v>85271798.923999995</v>
      </c>
      <c r="DM51" s="13">
        <v>781528937.41600001</v>
      </c>
      <c r="DN51" s="14">
        <v>-2.28951403005789E+18</v>
      </c>
      <c r="DO51" s="33"/>
      <c r="DP51" s="33"/>
      <c r="DQ51" s="33"/>
      <c r="DR51" s="33"/>
      <c r="DS51" s="1" t="s">
        <v>13</v>
      </c>
      <c r="DT51" s="12">
        <f>DL51-CK51</f>
        <v>85271797.662999988</v>
      </c>
      <c r="DU51" s="12">
        <f t="shared" ref="DU51:DV61" si="72">DM51-CL51</f>
        <v>781528935.37699997</v>
      </c>
      <c r="DV51" s="12">
        <f t="shared" si="72"/>
        <v>-2.28951403005789E+18</v>
      </c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4"/>
      <c r="EK51" s="38"/>
      <c r="EL51" s="1" t="s">
        <v>13</v>
      </c>
      <c r="EM51" s="12">
        <v>2118583774.7609999</v>
      </c>
      <c r="EN51" s="13">
        <v>19532377289.441002</v>
      </c>
      <c r="EO51" s="14">
        <v>-1.0223002647076199E+21</v>
      </c>
      <c r="EP51" s="33"/>
      <c r="EQ51" s="33"/>
      <c r="ER51" s="33"/>
      <c r="ES51" s="33"/>
      <c r="ET51" s="1" t="s">
        <v>13</v>
      </c>
      <c r="EU51" s="69">
        <f>EM51-DL51</f>
        <v>2033311975.8369999</v>
      </c>
      <c r="EV51" s="12">
        <f t="shared" ref="EV51:EV61" si="73">EN51-DM51</f>
        <v>18750848352.025002</v>
      </c>
      <c r="EW51" s="12">
        <f t="shared" ref="EW51:EW60" si="74">EO51-DN51</f>
        <v>-1.020010750677562E+21</v>
      </c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4"/>
      <c r="FL51" s="1" t="s">
        <v>13</v>
      </c>
      <c r="FM51" s="2">
        <v>1.2789999999999999</v>
      </c>
      <c r="FN51" s="12">
        <v>1.2789999999999999</v>
      </c>
      <c r="FO51" s="12">
        <v>1.2609999999999999</v>
      </c>
      <c r="FP51" s="12">
        <v>85271798.923999995</v>
      </c>
      <c r="FQ51" s="12">
        <v>2118583774.7609999</v>
      </c>
      <c r="FZ51" s="1" t="s">
        <v>13</v>
      </c>
      <c r="GA51" s="2">
        <v>2.101</v>
      </c>
      <c r="GB51" s="13">
        <v>2.101</v>
      </c>
      <c r="GC51" s="13">
        <v>2.0390000000000001</v>
      </c>
      <c r="GD51" s="13">
        <v>781528937.41600001</v>
      </c>
      <c r="GE51" s="13">
        <v>19532377289.441002</v>
      </c>
      <c r="GN51" s="1" t="s">
        <v>13</v>
      </c>
      <c r="GO51" s="4">
        <v>-0.61099999999999999</v>
      </c>
      <c r="GP51" s="14">
        <v>-0.61099999999999999</v>
      </c>
      <c r="GQ51" s="14">
        <v>-0.48399999999999999</v>
      </c>
      <c r="GR51" s="14">
        <v>-2.28951403005789E+18</v>
      </c>
      <c r="GS51" s="14">
        <v>-1.0223002647076199E+21</v>
      </c>
    </row>
    <row r="52" spans="1:201" ht="30" customHeight="1" thickBot="1" x14ac:dyDescent="0.35">
      <c r="A52" s="36" t="s">
        <v>14</v>
      </c>
      <c r="B52" s="2">
        <v>1.1539999999999999</v>
      </c>
      <c r="C52" s="2">
        <v>1.8360000000000001</v>
      </c>
      <c r="D52" s="4">
        <v>-0.115</v>
      </c>
      <c r="AB52" s="1" t="s">
        <v>14</v>
      </c>
      <c r="AC52" s="2" t="s">
        <v>192</v>
      </c>
      <c r="AD52" s="2" t="s">
        <v>202</v>
      </c>
      <c r="AE52" s="32" t="s">
        <v>212</v>
      </c>
      <c r="AK52" s="1" t="s">
        <v>14</v>
      </c>
      <c r="AL52" s="52"/>
      <c r="AM52" s="52"/>
      <c r="AN52" s="54"/>
      <c r="BI52" s="1" t="s">
        <v>14</v>
      </c>
      <c r="BJ52" s="15">
        <v>1.1539999999999999</v>
      </c>
      <c r="BK52" s="2">
        <v>1.8360000000000001</v>
      </c>
      <c r="BL52" s="4">
        <v>-0.115</v>
      </c>
      <c r="BQ52" s="1" t="s">
        <v>14</v>
      </c>
      <c r="BR52" s="12">
        <f t="shared" si="68"/>
        <v>0</v>
      </c>
      <c r="BS52" s="12">
        <f t="shared" si="69"/>
        <v>0</v>
      </c>
      <c r="BT52" s="12">
        <f t="shared" si="70"/>
        <v>0</v>
      </c>
      <c r="CI52" s="38"/>
      <c r="CJ52" s="1" t="s">
        <v>14</v>
      </c>
      <c r="CK52" s="15">
        <v>1.036</v>
      </c>
      <c r="CL52" s="2">
        <v>1.716</v>
      </c>
      <c r="CM52" s="4">
        <v>0.06</v>
      </c>
      <c r="CN52" s="33"/>
      <c r="CO52" s="33"/>
      <c r="CP52" s="33"/>
      <c r="CQ52" s="33"/>
      <c r="CR52" s="1" t="s">
        <v>14</v>
      </c>
      <c r="CS52" s="69">
        <f t="shared" ref="CS52:CS61" si="75">CK52-BJ52</f>
        <v>-0.11799999999999988</v>
      </c>
      <c r="CT52" s="69">
        <f t="shared" si="71"/>
        <v>-0.12000000000000011</v>
      </c>
      <c r="CU52" s="69">
        <f t="shared" si="71"/>
        <v>0.17499999999999999</v>
      </c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4"/>
      <c r="DJ52" s="38"/>
      <c r="DK52" s="1" t="s">
        <v>14</v>
      </c>
      <c r="DL52" s="15">
        <v>1.0429999999999999</v>
      </c>
      <c r="DM52" s="2">
        <v>1.722</v>
      </c>
      <c r="DN52" s="4">
        <v>4.7E-2</v>
      </c>
      <c r="DO52" s="33"/>
      <c r="DP52" s="33"/>
      <c r="DQ52" s="33"/>
      <c r="DR52" s="33"/>
      <c r="DS52" s="1" t="s">
        <v>14</v>
      </c>
      <c r="DT52" s="12">
        <f t="shared" ref="DT52:DT61" si="76">DL52-CK52</f>
        <v>6.9999999999998952E-3</v>
      </c>
      <c r="DU52" s="12">
        <f t="shared" si="72"/>
        <v>6.0000000000000053E-3</v>
      </c>
      <c r="DV52" s="12">
        <f t="shared" si="72"/>
        <v>-1.2999999999999998E-2</v>
      </c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4"/>
      <c r="EK52" s="38"/>
      <c r="EL52" s="1" t="s">
        <v>14</v>
      </c>
      <c r="EM52" s="15">
        <v>1.0429999999999999</v>
      </c>
      <c r="EN52" s="2">
        <v>1.712</v>
      </c>
      <c r="EO52" s="4">
        <v>5.8000000000000003E-2</v>
      </c>
      <c r="EP52" s="33"/>
      <c r="EQ52" s="33"/>
      <c r="ER52" s="33"/>
      <c r="ES52" s="33"/>
      <c r="ET52" s="1" t="s">
        <v>14</v>
      </c>
      <c r="EU52" s="12">
        <f t="shared" ref="EU52:EU61" si="77">EM52-DL52</f>
        <v>0</v>
      </c>
      <c r="EV52" s="12">
        <f t="shared" si="73"/>
        <v>-1.0000000000000009E-2</v>
      </c>
      <c r="EW52" s="12">
        <f t="shared" si="74"/>
        <v>1.1000000000000003E-2</v>
      </c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4"/>
      <c r="FL52" s="1" t="s">
        <v>14</v>
      </c>
      <c r="FM52" s="2">
        <v>1.1539999999999999</v>
      </c>
      <c r="FN52" s="15">
        <v>1.1539999999999999</v>
      </c>
      <c r="FO52" s="15">
        <v>1.036</v>
      </c>
      <c r="FP52" s="15">
        <v>1.0429999999999999</v>
      </c>
      <c r="FQ52" s="15">
        <v>1.0429999999999999</v>
      </c>
      <c r="FZ52" s="1" t="s">
        <v>14</v>
      </c>
      <c r="GA52" s="2">
        <v>1.8360000000000001</v>
      </c>
      <c r="GB52" s="2">
        <v>1.8360000000000001</v>
      </c>
      <c r="GC52" s="2">
        <v>1.716</v>
      </c>
      <c r="GD52" s="2">
        <v>1.722</v>
      </c>
      <c r="GE52" s="2">
        <v>1.712</v>
      </c>
      <c r="GN52" s="1" t="s">
        <v>14</v>
      </c>
      <c r="GO52" s="4">
        <v>-0.115</v>
      </c>
      <c r="GP52" s="4">
        <v>-0.115</v>
      </c>
      <c r="GQ52" s="4">
        <v>0.06</v>
      </c>
      <c r="GR52" s="4">
        <v>4.7E-2</v>
      </c>
      <c r="GS52" s="4">
        <v>5.8000000000000003E-2</v>
      </c>
    </row>
    <row r="53" spans="1:201" ht="30" customHeight="1" thickBot="1" x14ac:dyDescent="0.35">
      <c r="A53" s="36" t="s">
        <v>15</v>
      </c>
      <c r="B53" s="2">
        <v>1.0920000000000001</v>
      </c>
      <c r="C53" s="2">
        <v>1.7849999999999999</v>
      </c>
      <c r="D53" s="4">
        <v>-8.9999999999999993E-3</v>
      </c>
      <c r="AB53" s="1" t="s">
        <v>15</v>
      </c>
      <c r="AC53" s="2" t="s">
        <v>193</v>
      </c>
      <c r="AD53" s="2" t="s">
        <v>203</v>
      </c>
      <c r="AE53" s="32" t="s">
        <v>213</v>
      </c>
      <c r="AK53" s="1" t="s">
        <v>15</v>
      </c>
      <c r="AL53" s="52"/>
      <c r="AM53" s="52"/>
      <c r="AN53" s="54"/>
      <c r="BI53" s="1" t="s">
        <v>15</v>
      </c>
      <c r="BJ53" s="15">
        <v>1.0920000000000001</v>
      </c>
      <c r="BK53" s="2">
        <v>1.7849999999999999</v>
      </c>
      <c r="BL53" s="4">
        <v>1.7849999999999999</v>
      </c>
      <c r="BQ53" s="1" t="s">
        <v>15</v>
      </c>
      <c r="BR53" s="12">
        <f t="shared" si="68"/>
        <v>0</v>
      </c>
      <c r="BS53" s="12">
        <f t="shared" si="69"/>
        <v>0</v>
      </c>
      <c r="BT53" s="12">
        <f t="shared" si="70"/>
        <v>1.7939999999999998</v>
      </c>
      <c r="CI53" s="38"/>
      <c r="CJ53" s="1" t="s">
        <v>15</v>
      </c>
      <c r="CK53" s="15">
        <v>1.0920000000000001</v>
      </c>
      <c r="CL53" s="2">
        <v>1.7849999999999999</v>
      </c>
      <c r="CM53" s="4">
        <v>-8.9999999999999993E-3</v>
      </c>
      <c r="CN53" s="33"/>
      <c r="CO53" s="33"/>
      <c r="CP53" s="33"/>
      <c r="CQ53" s="33"/>
      <c r="CR53" s="1" t="s">
        <v>15</v>
      </c>
      <c r="CS53" s="12">
        <f t="shared" si="75"/>
        <v>0</v>
      </c>
      <c r="CT53" s="12">
        <f t="shared" si="71"/>
        <v>0</v>
      </c>
      <c r="CU53" s="12">
        <f t="shared" si="71"/>
        <v>-1.7939999999999998</v>
      </c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4"/>
      <c r="DJ53" s="38"/>
      <c r="DK53" s="1" t="s">
        <v>15</v>
      </c>
      <c r="DL53" s="15">
        <v>1.0920000000000001</v>
      </c>
      <c r="DM53" s="2">
        <v>1.7849999999999999</v>
      </c>
      <c r="DN53" s="4">
        <v>-8.9999999999999993E-3</v>
      </c>
      <c r="DO53" s="33"/>
      <c r="DP53" s="33"/>
      <c r="DQ53" s="33"/>
      <c r="DR53" s="33"/>
      <c r="DS53" s="1" t="s">
        <v>15</v>
      </c>
      <c r="DT53" s="12">
        <f t="shared" si="76"/>
        <v>0</v>
      </c>
      <c r="DU53" s="12">
        <f t="shared" si="72"/>
        <v>0</v>
      </c>
      <c r="DV53" s="12">
        <f t="shared" si="72"/>
        <v>0</v>
      </c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4"/>
      <c r="EK53" s="38"/>
      <c r="EL53" s="1" t="s">
        <v>15</v>
      </c>
      <c r="EM53" s="15">
        <v>1.0920000000000001</v>
      </c>
      <c r="EN53" s="2">
        <v>1.7849999999999999</v>
      </c>
      <c r="EO53" s="4">
        <v>-8.9999999999999993E-3</v>
      </c>
      <c r="EP53" s="33"/>
      <c r="EQ53" s="33"/>
      <c r="ER53" s="33"/>
      <c r="ES53" s="33"/>
      <c r="ET53" s="1" t="s">
        <v>15</v>
      </c>
      <c r="EU53" s="12">
        <f t="shared" si="77"/>
        <v>0</v>
      </c>
      <c r="EV53" s="12">
        <f t="shared" si="73"/>
        <v>0</v>
      </c>
      <c r="EW53" s="12">
        <f t="shared" si="74"/>
        <v>0</v>
      </c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4"/>
      <c r="FL53" s="1" t="s">
        <v>15</v>
      </c>
      <c r="FM53" s="2">
        <v>1.0920000000000001</v>
      </c>
      <c r="FN53" s="15">
        <v>1.0920000000000001</v>
      </c>
      <c r="FO53" s="15">
        <v>1.0920000000000001</v>
      </c>
      <c r="FP53" s="15">
        <v>1.0920000000000001</v>
      </c>
      <c r="FQ53" s="15">
        <v>1.0920000000000001</v>
      </c>
      <c r="FZ53" s="1" t="s">
        <v>15</v>
      </c>
      <c r="GA53" s="2">
        <v>1.7849999999999999</v>
      </c>
      <c r="GB53" s="2">
        <v>1.7849999999999999</v>
      </c>
      <c r="GC53" s="2">
        <v>1.7849999999999999</v>
      </c>
      <c r="GD53" s="2">
        <v>1.7849999999999999</v>
      </c>
      <c r="GE53" s="2">
        <v>1.7849999999999999</v>
      </c>
      <c r="GN53" s="1" t="s">
        <v>15</v>
      </c>
      <c r="GO53" s="4">
        <v>-8.9999999999999993E-3</v>
      </c>
      <c r="GP53" s="4">
        <v>1.7849999999999999</v>
      </c>
      <c r="GQ53" s="4">
        <v>-8.9999999999999993E-3</v>
      </c>
      <c r="GR53" s="4">
        <v>-8.9999999999999993E-3</v>
      </c>
      <c r="GS53" s="4">
        <v>-8.9999999999999993E-3</v>
      </c>
    </row>
    <row r="54" spans="1:201" ht="30" customHeight="1" thickBot="1" x14ac:dyDescent="0.35">
      <c r="A54" s="36" t="s">
        <v>16</v>
      </c>
      <c r="B54" s="2">
        <v>0.94699999999999995</v>
      </c>
      <c r="C54" s="2">
        <v>1.76</v>
      </c>
      <c r="D54" s="4">
        <v>1.7999999999999999E-2</v>
      </c>
      <c r="AB54" s="1" t="s">
        <v>16</v>
      </c>
      <c r="AC54" s="2" t="s">
        <v>194</v>
      </c>
      <c r="AD54" s="2" t="s">
        <v>204</v>
      </c>
      <c r="AE54" s="32" t="s">
        <v>214</v>
      </c>
      <c r="AK54" s="1" t="s">
        <v>16</v>
      </c>
      <c r="AL54" s="52"/>
      <c r="AM54" s="52"/>
      <c r="AN54" s="54"/>
      <c r="BI54" s="1" t="s">
        <v>16</v>
      </c>
      <c r="BJ54" s="15">
        <v>0.94699999999999995</v>
      </c>
      <c r="BK54" s="2">
        <v>1.76</v>
      </c>
      <c r="BL54" s="4">
        <v>1.7999999999999999E-2</v>
      </c>
      <c r="BQ54" s="1" t="s">
        <v>16</v>
      </c>
      <c r="BR54" s="12">
        <f t="shared" si="68"/>
        <v>0</v>
      </c>
      <c r="BS54" s="12">
        <f t="shared" si="69"/>
        <v>0</v>
      </c>
      <c r="BT54" s="12">
        <f t="shared" si="70"/>
        <v>0</v>
      </c>
      <c r="CI54" s="38"/>
      <c r="CJ54" s="1" t="s">
        <v>16</v>
      </c>
      <c r="CK54" s="15">
        <v>0.94199999999999995</v>
      </c>
      <c r="CL54" s="2">
        <v>1.7450000000000001</v>
      </c>
      <c r="CM54" s="4">
        <v>3.2000000000000001E-2</v>
      </c>
      <c r="CN54" s="33"/>
      <c r="CO54" s="33"/>
      <c r="CP54" s="33"/>
      <c r="CQ54" s="33"/>
      <c r="CR54" s="1" t="s">
        <v>16</v>
      </c>
      <c r="CS54" s="12">
        <f t="shared" si="75"/>
        <v>-5.0000000000000044E-3</v>
      </c>
      <c r="CT54" s="69">
        <f t="shared" si="71"/>
        <v>-1.4999999999999902E-2</v>
      </c>
      <c r="CU54" s="69">
        <f t="shared" si="71"/>
        <v>1.4000000000000002E-2</v>
      </c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4"/>
      <c r="DJ54" s="38"/>
      <c r="DK54" s="1" t="s">
        <v>16</v>
      </c>
      <c r="DL54" s="15">
        <v>0.94099999999999995</v>
      </c>
      <c r="DM54" s="2">
        <v>1.768</v>
      </c>
      <c r="DN54" s="4">
        <v>7.0000000000000001E-3</v>
      </c>
      <c r="DO54" s="33"/>
      <c r="DP54" s="33"/>
      <c r="DQ54" s="33"/>
      <c r="DR54" s="33"/>
      <c r="DS54" s="1" t="s">
        <v>16</v>
      </c>
      <c r="DT54" s="12">
        <f t="shared" si="76"/>
        <v>-1.0000000000000009E-3</v>
      </c>
      <c r="DU54" s="69">
        <f t="shared" si="72"/>
        <v>2.2999999999999909E-2</v>
      </c>
      <c r="DV54" s="69">
        <f t="shared" si="72"/>
        <v>-2.5000000000000001E-2</v>
      </c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4"/>
      <c r="EK54" s="38"/>
      <c r="EL54" s="1" t="s">
        <v>16</v>
      </c>
      <c r="EM54" s="15">
        <v>0.94199999999999995</v>
      </c>
      <c r="EN54" s="2">
        <v>1.75</v>
      </c>
      <c r="EO54" s="4">
        <v>3.2000000000000001E-2</v>
      </c>
      <c r="EP54" s="33"/>
      <c r="EQ54" s="33"/>
      <c r="ER54" s="33"/>
      <c r="ES54" s="33"/>
      <c r="ET54" s="1" t="s">
        <v>16</v>
      </c>
      <c r="EU54" s="12">
        <f t="shared" si="77"/>
        <v>1.0000000000000009E-3</v>
      </c>
      <c r="EV54" s="12">
        <f t="shared" si="73"/>
        <v>-1.8000000000000016E-2</v>
      </c>
      <c r="EW54" s="12">
        <f t="shared" si="74"/>
        <v>2.5000000000000001E-2</v>
      </c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4"/>
      <c r="FL54" s="1" t="s">
        <v>16</v>
      </c>
      <c r="FM54" s="2">
        <v>0.94699999999999995</v>
      </c>
      <c r="FN54" s="15">
        <v>0.94699999999999995</v>
      </c>
      <c r="FO54" s="15">
        <v>0.94199999999999995</v>
      </c>
      <c r="FP54" s="15">
        <v>0.94099999999999995</v>
      </c>
      <c r="FQ54" s="15">
        <v>0.94199999999999995</v>
      </c>
      <c r="FZ54" s="1" t="s">
        <v>16</v>
      </c>
      <c r="GA54" s="2">
        <v>1.76</v>
      </c>
      <c r="GB54" s="2">
        <v>1.76</v>
      </c>
      <c r="GC54" s="2">
        <v>1.7450000000000001</v>
      </c>
      <c r="GD54" s="2">
        <v>1.768</v>
      </c>
      <c r="GE54" s="2">
        <v>1.75</v>
      </c>
      <c r="GN54" s="1" t="s">
        <v>16</v>
      </c>
      <c r="GO54" s="4">
        <v>1.7999999999999999E-2</v>
      </c>
      <c r="GP54" s="4">
        <v>1.7999999999999999E-2</v>
      </c>
      <c r="GQ54" s="4">
        <v>3.2000000000000001E-2</v>
      </c>
      <c r="GR54" s="4">
        <v>7.0000000000000001E-3</v>
      </c>
      <c r="GS54" s="4">
        <v>3.2000000000000001E-2</v>
      </c>
    </row>
    <row r="55" spans="1:201" ht="30" customHeight="1" thickBot="1" x14ac:dyDescent="0.35">
      <c r="A55" s="36" t="s">
        <v>17</v>
      </c>
      <c r="B55" s="2">
        <v>1.0920000000000001</v>
      </c>
      <c r="C55" s="2">
        <v>1.7849999999999999</v>
      </c>
      <c r="D55" s="4">
        <v>-8.9999999999999993E-3</v>
      </c>
      <c r="AB55" s="1" t="s">
        <v>17</v>
      </c>
      <c r="AC55" s="2" t="s">
        <v>193</v>
      </c>
      <c r="AD55" s="2" t="s">
        <v>203</v>
      </c>
      <c r="AE55" s="32" t="s">
        <v>213</v>
      </c>
      <c r="AK55" s="1" t="s">
        <v>17</v>
      </c>
      <c r="AL55" s="52"/>
      <c r="AM55" s="52"/>
      <c r="AN55" s="54"/>
      <c r="BI55" s="1" t="s">
        <v>17</v>
      </c>
      <c r="BJ55" s="15">
        <v>1.0920000000000001</v>
      </c>
      <c r="BK55" s="2">
        <v>1.7849999999999999</v>
      </c>
      <c r="BL55" s="4">
        <v>-8.9999999999999993E-3</v>
      </c>
      <c r="BQ55" s="1" t="s">
        <v>17</v>
      </c>
      <c r="BR55" s="12">
        <f t="shared" si="68"/>
        <v>0</v>
      </c>
      <c r="BS55" s="12">
        <f t="shared" si="69"/>
        <v>0</v>
      </c>
      <c r="BT55" s="12">
        <f t="shared" si="70"/>
        <v>0</v>
      </c>
      <c r="CI55" s="38"/>
      <c r="CJ55" s="1" t="s">
        <v>17</v>
      </c>
      <c r="CK55" s="15">
        <v>1.046</v>
      </c>
      <c r="CL55" s="2">
        <v>1.774</v>
      </c>
      <c r="CM55" s="4">
        <v>4.0000000000000001E-3</v>
      </c>
      <c r="CN55" s="33"/>
      <c r="CO55" s="33"/>
      <c r="CP55" s="33"/>
      <c r="CQ55" s="33"/>
      <c r="CR55" s="1" t="s">
        <v>17</v>
      </c>
      <c r="CS55" s="69">
        <f t="shared" si="75"/>
        <v>-4.6000000000000041E-2</v>
      </c>
      <c r="CT55" s="12">
        <f t="shared" si="71"/>
        <v>-1.0999999999999899E-2</v>
      </c>
      <c r="CU55" s="12">
        <f t="shared" si="71"/>
        <v>1.2999999999999999E-2</v>
      </c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4"/>
      <c r="DJ55" s="38"/>
      <c r="DK55" s="1" t="s">
        <v>17</v>
      </c>
      <c r="DL55" s="15">
        <v>1.0389999999999999</v>
      </c>
      <c r="DM55" s="2">
        <v>1.7789999999999999</v>
      </c>
      <c r="DN55" s="4">
        <v>-1E-3</v>
      </c>
      <c r="DO55" s="33"/>
      <c r="DP55" s="33"/>
      <c r="DQ55" s="33"/>
      <c r="DR55" s="33"/>
      <c r="DS55" s="1" t="s">
        <v>17</v>
      </c>
      <c r="DT55" s="69">
        <f t="shared" si="76"/>
        <v>-7.0000000000001172E-3</v>
      </c>
      <c r="DU55" s="69">
        <f t="shared" si="72"/>
        <v>4.9999999999998934E-3</v>
      </c>
      <c r="DV55" s="12">
        <f t="shared" si="72"/>
        <v>-5.0000000000000001E-3</v>
      </c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4"/>
      <c r="EK55" s="38"/>
      <c r="EL55" s="1" t="s">
        <v>17</v>
      </c>
      <c r="EM55" s="15">
        <v>1.012</v>
      </c>
      <c r="EN55" s="2">
        <v>1.7969999999999999</v>
      </c>
      <c r="EO55" s="4">
        <v>-2.3E-2</v>
      </c>
      <c r="EP55" s="33"/>
      <c r="EQ55" s="33"/>
      <c r="ER55" s="33"/>
      <c r="ES55" s="33"/>
      <c r="ET55" s="1" t="s">
        <v>17</v>
      </c>
      <c r="EU55" s="69">
        <f t="shared" si="77"/>
        <v>-2.6999999999999913E-2</v>
      </c>
      <c r="EV55" s="69">
        <f t="shared" si="73"/>
        <v>1.8000000000000016E-2</v>
      </c>
      <c r="EW55" s="69">
        <f t="shared" si="74"/>
        <v>-2.1999999999999999E-2</v>
      </c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4"/>
      <c r="FL55" s="1" t="s">
        <v>17</v>
      </c>
      <c r="FM55" s="2">
        <v>1.0920000000000001</v>
      </c>
      <c r="FN55" s="15">
        <v>1.0920000000000001</v>
      </c>
      <c r="FO55" s="15">
        <v>1.046</v>
      </c>
      <c r="FP55" s="15">
        <v>1.0389999999999999</v>
      </c>
      <c r="FQ55" s="15">
        <v>1.012</v>
      </c>
      <c r="FZ55" s="1" t="s">
        <v>17</v>
      </c>
      <c r="GA55" s="2">
        <v>1.7849999999999999</v>
      </c>
      <c r="GB55" s="2">
        <v>1.7849999999999999</v>
      </c>
      <c r="GC55" s="2">
        <v>1.774</v>
      </c>
      <c r="GD55" s="2">
        <v>1.7789999999999999</v>
      </c>
      <c r="GE55" s="2">
        <v>1.7969999999999999</v>
      </c>
      <c r="GN55" s="1" t="s">
        <v>17</v>
      </c>
      <c r="GO55" s="4">
        <v>-8.9999999999999993E-3</v>
      </c>
      <c r="GP55" s="4">
        <v>-8.9999999999999993E-3</v>
      </c>
      <c r="GQ55" s="4">
        <v>4.0000000000000001E-3</v>
      </c>
      <c r="GR55" s="4">
        <v>-1E-3</v>
      </c>
      <c r="GS55" s="4">
        <v>-2.3E-2</v>
      </c>
    </row>
    <row r="56" spans="1:201" ht="30" customHeight="1" thickBot="1" x14ac:dyDescent="0.35">
      <c r="A56" s="36" t="s">
        <v>5</v>
      </c>
      <c r="B56" s="2">
        <v>1.0629999999999999</v>
      </c>
      <c r="C56" s="2">
        <v>1.8340000000000001</v>
      </c>
      <c r="D56" s="4">
        <v>-0.10299999999999999</v>
      </c>
      <c r="AB56" s="1" t="s">
        <v>5</v>
      </c>
      <c r="AC56" s="2" t="s">
        <v>195</v>
      </c>
      <c r="AD56" s="2" t="s">
        <v>205</v>
      </c>
      <c r="AE56" s="32" t="s">
        <v>215</v>
      </c>
      <c r="AK56" s="1" t="s">
        <v>5</v>
      </c>
      <c r="AL56" s="52"/>
      <c r="AM56" s="52"/>
      <c r="AN56" s="54"/>
      <c r="BI56" s="1" t="s">
        <v>5</v>
      </c>
      <c r="BJ56" s="15">
        <v>1.0629999999999999</v>
      </c>
      <c r="BK56" s="2">
        <v>1.8340000000000001</v>
      </c>
      <c r="BL56" s="4">
        <v>-0.10299999999999999</v>
      </c>
      <c r="BQ56" s="1" t="s">
        <v>5</v>
      </c>
      <c r="BR56" s="12">
        <f t="shared" si="68"/>
        <v>0</v>
      </c>
      <c r="BS56" s="12">
        <f t="shared" si="69"/>
        <v>0</v>
      </c>
      <c r="BT56" s="12">
        <f t="shared" si="70"/>
        <v>0</v>
      </c>
      <c r="CI56" s="38"/>
      <c r="CJ56" s="1" t="s">
        <v>5</v>
      </c>
      <c r="CK56" s="15">
        <v>1.012</v>
      </c>
      <c r="CL56" s="2">
        <v>1.738</v>
      </c>
      <c r="CM56" s="4">
        <v>3.5999999999999997E-2</v>
      </c>
      <c r="CN56" s="33"/>
      <c r="CO56" s="33"/>
      <c r="CP56" s="33"/>
      <c r="CQ56" s="33"/>
      <c r="CR56" s="1" t="s">
        <v>5</v>
      </c>
      <c r="CS56" s="69">
        <f t="shared" si="75"/>
        <v>-5.0999999999999934E-2</v>
      </c>
      <c r="CT56" s="69">
        <f t="shared" si="71"/>
        <v>-9.6000000000000085E-2</v>
      </c>
      <c r="CU56" s="69">
        <f t="shared" si="71"/>
        <v>0.13899999999999998</v>
      </c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4"/>
      <c r="DJ56" s="38"/>
      <c r="DK56" s="1" t="s">
        <v>5</v>
      </c>
      <c r="DL56" s="15">
        <v>1.002</v>
      </c>
      <c r="DM56" s="2">
        <v>1.73</v>
      </c>
      <c r="DN56" s="4">
        <v>4.5999999999999999E-2</v>
      </c>
      <c r="DO56" s="33"/>
      <c r="DP56" s="33"/>
      <c r="DQ56" s="33"/>
      <c r="DR56" s="33"/>
      <c r="DS56" s="1" t="s">
        <v>5</v>
      </c>
      <c r="DT56" s="12">
        <f t="shared" si="76"/>
        <v>-1.0000000000000009E-2</v>
      </c>
      <c r="DU56" s="12">
        <f t="shared" si="72"/>
        <v>-8.0000000000000071E-3</v>
      </c>
      <c r="DV56" s="12">
        <f t="shared" si="72"/>
        <v>1.0000000000000002E-2</v>
      </c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4"/>
      <c r="EK56" s="38"/>
      <c r="EL56" s="1" t="s">
        <v>5</v>
      </c>
      <c r="EM56" s="15">
        <v>1.0129999999999999</v>
      </c>
      <c r="EN56" s="2">
        <v>1.722</v>
      </c>
      <c r="EO56" s="4">
        <v>5.6000000000000001E-2</v>
      </c>
      <c r="EP56" s="33"/>
      <c r="EQ56" s="33"/>
      <c r="ER56" s="33"/>
      <c r="ES56" s="33"/>
      <c r="ET56" s="1" t="s">
        <v>5</v>
      </c>
      <c r="EU56" s="12">
        <f t="shared" si="77"/>
        <v>1.0999999999999899E-2</v>
      </c>
      <c r="EV56" s="12">
        <f t="shared" si="73"/>
        <v>-8.0000000000000071E-3</v>
      </c>
      <c r="EW56" s="12">
        <f t="shared" si="74"/>
        <v>1.0000000000000002E-2</v>
      </c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4"/>
      <c r="FL56" s="1" t="s">
        <v>5</v>
      </c>
      <c r="FM56" s="2">
        <v>1.0629999999999999</v>
      </c>
      <c r="FN56" s="15">
        <v>1.0629999999999999</v>
      </c>
      <c r="FO56" s="15">
        <v>1.012</v>
      </c>
      <c r="FP56" s="15">
        <v>1.002</v>
      </c>
      <c r="FQ56" s="15">
        <v>1.0129999999999999</v>
      </c>
      <c r="FZ56" s="1" t="s">
        <v>5</v>
      </c>
      <c r="GA56" s="2">
        <v>1.8340000000000001</v>
      </c>
      <c r="GB56" s="2">
        <v>1.8340000000000001</v>
      </c>
      <c r="GC56" s="2">
        <v>1.738</v>
      </c>
      <c r="GD56" s="2">
        <v>1.73</v>
      </c>
      <c r="GE56" s="2">
        <v>1.722</v>
      </c>
      <c r="GN56" s="1" t="s">
        <v>5</v>
      </c>
      <c r="GO56" s="4">
        <v>-0.10299999999999999</v>
      </c>
      <c r="GP56" s="4">
        <v>-0.10299999999999999</v>
      </c>
      <c r="GQ56" s="4">
        <v>3.5999999999999997E-2</v>
      </c>
      <c r="GR56" s="4">
        <v>4.5999999999999999E-2</v>
      </c>
      <c r="GS56" s="4">
        <v>5.6000000000000001E-2</v>
      </c>
    </row>
    <row r="57" spans="1:201" ht="30" customHeight="1" thickBot="1" x14ac:dyDescent="0.35">
      <c r="A57" s="36" t="s">
        <v>6</v>
      </c>
      <c r="B57" s="2">
        <v>1.409</v>
      </c>
      <c r="C57" s="2">
        <v>2.617</v>
      </c>
      <c r="D57" s="4">
        <v>-1.415</v>
      </c>
      <c r="AB57" s="1" t="s">
        <v>6</v>
      </c>
      <c r="AC57" s="2" t="s">
        <v>196</v>
      </c>
      <c r="AD57" s="2" t="s">
        <v>206</v>
      </c>
      <c r="AE57" s="32" t="s">
        <v>216</v>
      </c>
      <c r="AK57" s="1" t="s">
        <v>6</v>
      </c>
      <c r="AL57" s="52"/>
      <c r="AM57" s="52"/>
      <c r="AN57" s="54"/>
      <c r="BI57" s="1" t="s">
        <v>6</v>
      </c>
      <c r="BJ57" s="15">
        <v>1.409</v>
      </c>
      <c r="BK57" s="2">
        <v>2.617</v>
      </c>
      <c r="BL57" s="4">
        <v>-1.415</v>
      </c>
      <c r="BQ57" s="1" t="s">
        <v>6</v>
      </c>
      <c r="BR57" s="12">
        <f t="shared" si="68"/>
        <v>0</v>
      </c>
      <c r="BS57" s="12">
        <f t="shared" si="69"/>
        <v>0</v>
      </c>
      <c r="BT57" s="12">
        <f t="shared" si="70"/>
        <v>0</v>
      </c>
      <c r="CI57" s="38"/>
      <c r="CJ57" s="1" t="s">
        <v>6</v>
      </c>
      <c r="CK57" s="15">
        <v>0.91300000000000003</v>
      </c>
      <c r="CL57" s="2">
        <v>1.8129999999999999</v>
      </c>
      <c r="CM57" s="4">
        <v>-5.0999999999999997E-2</v>
      </c>
      <c r="CN57" s="33"/>
      <c r="CO57" s="33"/>
      <c r="CP57" s="33"/>
      <c r="CQ57" s="33"/>
      <c r="CR57" s="1" t="s">
        <v>6</v>
      </c>
      <c r="CS57" s="69">
        <f t="shared" si="75"/>
        <v>-0.496</v>
      </c>
      <c r="CT57" s="69">
        <f t="shared" si="71"/>
        <v>-0.80400000000000005</v>
      </c>
      <c r="CU57" s="69">
        <f t="shared" si="71"/>
        <v>1.3640000000000001</v>
      </c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4"/>
      <c r="DJ57" s="38"/>
      <c r="DK57" s="1" t="s">
        <v>6</v>
      </c>
      <c r="DL57" s="15">
        <v>0.89800000000000002</v>
      </c>
      <c r="DM57" s="2">
        <v>1.782</v>
      </c>
      <c r="DN57" s="4">
        <v>-1.2E-2</v>
      </c>
      <c r="DO57" s="33"/>
      <c r="DP57" s="33"/>
      <c r="DQ57" s="33"/>
      <c r="DR57" s="33"/>
      <c r="DS57" s="1" t="s">
        <v>6</v>
      </c>
      <c r="DT57" s="12">
        <f t="shared" si="76"/>
        <v>-1.5000000000000013E-2</v>
      </c>
      <c r="DU57" s="12">
        <f t="shared" si="72"/>
        <v>-3.0999999999999917E-2</v>
      </c>
      <c r="DV57" s="12">
        <f t="shared" si="72"/>
        <v>3.8999999999999993E-2</v>
      </c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4"/>
      <c r="EK57" s="38"/>
      <c r="EL57" s="1" t="s">
        <v>6</v>
      </c>
      <c r="EM57" s="15">
        <v>0.90900000000000003</v>
      </c>
      <c r="EN57" s="2">
        <v>1.784</v>
      </c>
      <c r="EO57" s="4">
        <v>-1.2999999999999999E-2</v>
      </c>
      <c r="EP57" s="33"/>
      <c r="EQ57" s="33"/>
      <c r="ER57" s="33"/>
      <c r="ES57" s="33"/>
      <c r="ET57" s="1" t="s">
        <v>6</v>
      </c>
      <c r="EU57" s="12">
        <f t="shared" si="77"/>
        <v>1.100000000000001E-2</v>
      </c>
      <c r="EV57" s="12">
        <f t="shared" si="73"/>
        <v>2.0000000000000018E-3</v>
      </c>
      <c r="EW57" s="12">
        <f t="shared" si="74"/>
        <v>-9.9999999999999915E-4</v>
      </c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4"/>
      <c r="FL57" s="1" t="s">
        <v>6</v>
      </c>
      <c r="FM57" s="2">
        <v>1.409</v>
      </c>
      <c r="FN57" s="15">
        <v>1.409</v>
      </c>
      <c r="FO57" s="15">
        <v>0.91300000000000003</v>
      </c>
      <c r="FP57" s="15">
        <v>0.89800000000000002</v>
      </c>
      <c r="FQ57" s="15">
        <v>0.90900000000000003</v>
      </c>
      <c r="FZ57" s="1" t="s">
        <v>6</v>
      </c>
      <c r="GA57" s="2">
        <v>2.617</v>
      </c>
      <c r="GB57" s="2">
        <v>2.617</v>
      </c>
      <c r="GC57" s="2">
        <v>1.8129999999999999</v>
      </c>
      <c r="GD57" s="2">
        <v>1.782</v>
      </c>
      <c r="GE57" s="2">
        <v>1.784</v>
      </c>
      <c r="GN57" s="1" t="s">
        <v>6</v>
      </c>
      <c r="GO57" s="4">
        <v>-1.415</v>
      </c>
      <c r="GP57" s="4">
        <v>-1.415</v>
      </c>
      <c r="GQ57" s="4">
        <v>-5.0999999999999997E-2</v>
      </c>
      <c r="GR57" s="4">
        <v>-1.2E-2</v>
      </c>
      <c r="GS57" s="4">
        <v>-1.2999999999999999E-2</v>
      </c>
    </row>
    <row r="58" spans="1:201" ht="30" customHeight="1" thickBot="1" x14ac:dyDescent="0.35">
      <c r="A58" s="36" t="s">
        <v>7</v>
      </c>
      <c r="B58" s="2">
        <v>1.0900000000000001</v>
      </c>
      <c r="C58" s="2">
        <v>1.81</v>
      </c>
      <c r="D58" s="4">
        <v>-8.7999999999999995E-2</v>
      </c>
      <c r="AB58" s="1" t="s">
        <v>7</v>
      </c>
      <c r="AC58" s="2" t="s">
        <v>197</v>
      </c>
      <c r="AD58" s="2" t="s">
        <v>207</v>
      </c>
      <c r="AE58" s="32" t="s">
        <v>217</v>
      </c>
      <c r="AK58" s="1" t="s">
        <v>7</v>
      </c>
      <c r="AL58" s="52"/>
      <c r="AM58" s="52"/>
      <c r="AN58" s="54"/>
      <c r="BI58" s="1" t="s">
        <v>7</v>
      </c>
      <c r="BJ58" s="15">
        <v>1.0900000000000001</v>
      </c>
      <c r="BK58" s="2">
        <v>1.81</v>
      </c>
      <c r="BL58" s="4">
        <v>-8.7999999999999995E-2</v>
      </c>
      <c r="BQ58" s="1" t="s">
        <v>7</v>
      </c>
      <c r="BR58" s="12">
        <f t="shared" si="68"/>
        <v>0</v>
      </c>
      <c r="BS58" s="12">
        <f t="shared" si="69"/>
        <v>0</v>
      </c>
      <c r="BT58" s="12">
        <f t="shared" si="70"/>
        <v>0</v>
      </c>
      <c r="CI58" s="38"/>
      <c r="CJ58" s="1" t="s">
        <v>7</v>
      </c>
      <c r="CK58" s="15">
        <v>0.92600000000000005</v>
      </c>
      <c r="CL58" s="2">
        <v>1.76</v>
      </c>
      <c r="CM58" s="4">
        <v>0.02</v>
      </c>
      <c r="CN58" s="33"/>
      <c r="CO58" s="33"/>
      <c r="CP58" s="33"/>
      <c r="CQ58" s="33"/>
      <c r="CR58" s="1" t="s">
        <v>7</v>
      </c>
      <c r="CS58" s="69">
        <f t="shared" si="75"/>
        <v>-0.16400000000000003</v>
      </c>
      <c r="CT58" s="12">
        <f t="shared" si="71"/>
        <v>-5.0000000000000044E-2</v>
      </c>
      <c r="CU58" s="12">
        <f t="shared" si="71"/>
        <v>0.108</v>
      </c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4"/>
      <c r="DJ58" s="38"/>
      <c r="DK58" s="1" t="s">
        <v>7</v>
      </c>
      <c r="DL58" s="15">
        <v>0.92800000000000005</v>
      </c>
      <c r="DM58" s="2">
        <v>1.778</v>
      </c>
      <c r="DN58" s="4">
        <v>0</v>
      </c>
      <c r="DO58" s="33"/>
      <c r="DP58" s="33"/>
      <c r="DQ58" s="33"/>
      <c r="DR58" s="33"/>
      <c r="DS58" s="1" t="s">
        <v>7</v>
      </c>
      <c r="DT58" s="12">
        <f t="shared" si="76"/>
        <v>2.0000000000000018E-3</v>
      </c>
      <c r="DU58" s="69">
        <f t="shared" si="72"/>
        <v>1.8000000000000016E-2</v>
      </c>
      <c r="DV58" s="69">
        <f t="shared" si="72"/>
        <v>-0.02</v>
      </c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4"/>
      <c r="EK58" s="38"/>
      <c r="EL58" s="1" t="s">
        <v>7</v>
      </c>
      <c r="EM58" s="15">
        <v>0.94599999999999995</v>
      </c>
      <c r="EN58" s="2">
        <v>1.77</v>
      </c>
      <c r="EO58" s="4">
        <v>6.0000000000000001E-3</v>
      </c>
      <c r="EP58" s="33"/>
      <c r="EQ58" s="33"/>
      <c r="ER58" s="33"/>
      <c r="ES58" s="33"/>
      <c r="ET58" s="1" t="s">
        <v>7</v>
      </c>
      <c r="EU58" s="69">
        <f t="shared" si="77"/>
        <v>1.7999999999999905E-2</v>
      </c>
      <c r="EV58" s="12">
        <f t="shared" si="73"/>
        <v>-8.0000000000000071E-3</v>
      </c>
      <c r="EW58" s="12">
        <f t="shared" si="74"/>
        <v>6.0000000000000001E-3</v>
      </c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4"/>
      <c r="FL58" s="1" t="s">
        <v>7</v>
      </c>
      <c r="FM58" s="2">
        <v>1.0900000000000001</v>
      </c>
      <c r="FN58" s="15">
        <v>1.0900000000000001</v>
      </c>
      <c r="FO58" s="15">
        <v>0.92600000000000005</v>
      </c>
      <c r="FP58" s="15">
        <v>0.92800000000000005</v>
      </c>
      <c r="FQ58" s="15">
        <v>0.94599999999999995</v>
      </c>
      <c r="FZ58" s="1" t="s">
        <v>7</v>
      </c>
      <c r="GA58" s="2">
        <v>1.81</v>
      </c>
      <c r="GB58" s="2">
        <v>1.81</v>
      </c>
      <c r="GC58" s="2">
        <v>1.76</v>
      </c>
      <c r="GD58" s="2">
        <v>1.778</v>
      </c>
      <c r="GE58" s="2">
        <v>1.77</v>
      </c>
      <c r="GN58" s="1" t="s">
        <v>7</v>
      </c>
      <c r="GO58" s="4">
        <v>-8.7999999999999995E-2</v>
      </c>
      <c r="GP58" s="4">
        <v>-8.7999999999999995E-2</v>
      </c>
      <c r="GQ58" s="4">
        <v>0.02</v>
      </c>
      <c r="GR58" s="4">
        <v>0</v>
      </c>
      <c r="GS58" s="4">
        <v>6.0000000000000001E-3</v>
      </c>
    </row>
    <row r="59" spans="1:201" ht="30" customHeight="1" thickBot="1" x14ac:dyDescent="0.35">
      <c r="A59" s="36" t="s">
        <v>10</v>
      </c>
      <c r="B59" s="2">
        <v>1.0780000000000001</v>
      </c>
      <c r="C59" s="2">
        <v>1.8009999999999999</v>
      </c>
      <c r="D59" s="4">
        <v>-7.4999999999999997E-2</v>
      </c>
      <c r="AB59" s="1" t="s">
        <v>10</v>
      </c>
      <c r="AC59" s="2" t="s">
        <v>198</v>
      </c>
      <c r="AD59" s="2" t="s">
        <v>208</v>
      </c>
      <c r="AE59" s="32" t="s">
        <v>218</v>
      </c>
      <c r="AK59" s="1" t="s">
        <v>10</v>
      </c>
      <c r="AL59" s="52"/>
      <c r="AM59" s="52"/>
      <c r="AN59" s="54"/>
      <c r="BI59" s="1" t="s">
        <v>10</v>
      </c>
      <c r="BJ59" s="15">
        <v>1.0780000000000001</v>
      </c>
      <c r="BK59" s="2">
        <v>1.8009999999999999</v>
      </c>
      <c r="BL59" s="4">
        <v>-7.4999999999999997E-2</v>
      </c>
      <c r="BQ59" s="1" t="s">
        <v>10</v>
      </c>
      <c r="BR59" s="12">
        <f t="shared" si="68"/>
        <v>0</v>
      </c>
      <c r="BS59" s="12">
        <f t="shared" si="69"/>
        <v>0</v>
      </c>
      <c r="BT59" s="12">
        <f t="shared" si="70"/>
        <v>0</v>
      </c>
      <c r="CI59" s="38"/>
      <c r="CJ59" s="1" t="s">
        <v>10</v>
      </c>
      <c r="CK59" s="15">
        <v>0.97699999999999998</v>
      </c>
      <c r="CL59" s="2">
        <v>1.8029999999999999</v>
      </c>
      <c r="CM59" s="4">
        <v>-3.2000000000000001E-2</v>
      </c>
      <c r="CN59" s="33"/>
      <c r="CO59" s="33"/>
      <c r="CP59" s="33"/>
      <c r="CQ59" s="33"/>
      <c r="CR59" s="1" t="s">
        <v>10</v>
      </c>
      <c r="CS59" s="69">
        <f t="shared" si="75"/>
        <v>-0.10100000000000009</v>
      </c>
      <c r="CT59" s="12">
        <f t="shared" si="71"/>
        <v>2.0000000000000018E-3</v>
      </c>
      <c r="CU59" s="12">
        <f t="shared" si="71"/>
        <v>4.2999999999999997E-2</v>
      </c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4"/>
      <c r="DJ59" s="38"/>
      <c r="DK59" s="1" t="s">
        <v>10</v>
      </c>
      <c r="DL59" s="15">
        <v>0.97299999999999998</v>
      </c>
      <c r="DM59" s="2">
        <v>1.804</v>
      </c>
      <c r="DN59" s="4">
        <v>-3.2000000000000001E-2</v>
      </c>
      <c r="DO59" s="33"/>
      <c r="DP59" s="33"/>
      <c r="DQ59" s="33"/>
      <c r="DR59" s="33"/>
      <c r="DS59" s="1" t="s">
        <v>10</v>
      </c>
      <c r="DT59" s="12">
        <f t="shared" si="76"/>
        <v>-4.0000000000000036E-3</v>
      </c>
      <c r="DU59" s="12">
        <f t="shared" si="72"/>
        <v>1.0000000000001119E-3</v>
      </c>
      <c r="DV59" s="12">
        <f t="shared" si="72"/>
        <v>0</v>
      </c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4"/>
      <c r="EK59" s="38"/>
      <c r="EL59" s="1" t="s">
        <v>10</v>
      </c>
      <c r="EM59" s="15">
        <v>0.97299999999999998</v>
      </c>
      <c r="EN59" s="2">
        <v>1.7869999999999999</v>
      </c>
      <c r="EO59" s="4">
        <v>-1.2E-2</v>
      </c>
      <c r="EP59" s="33"/>
      <c r="EQ59" s="33"/>
      <c r="ER59" s="33"/>
      <c r="ES59" s="33"/>
      <c r="ET59" s="1" t="s">
        <v>10</v>
      </c>
      <c r="EU59" s="12">
        <f t="shared" si="77"/>
        <v>0</v>
      </c>
      <c r="EV59" s="69">
        <f t="shared" si="73"/>
        <v>-1.7000000000000126E-2</v>
      </c>
      <c r="EW59" s="69">
        <f t="shared" si="74"/>
        <v>0.02</v>
      </c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4"/>
      <c r="FL59" s="1" t="s">
        <v>10</v>
      </c>
      <c r="FM59" s="2">
        <v>1.0780000000000001</v>
      </c>
      <c r="FN59" s="15">
        <v>1.0780000000000001</v>
      </c>
      <c r="FO59" s="15">
        <v>0.97699999999999998</v>
      </c>
      <c r="FP59" s="15">
        <v>0.97299999999999998</v>
      </c>
      <c r="FQ59" s="15">
        <v>0.97299999999999998</v>
      </c>
      <c r="FZ59" s="1" t="s">
        <v>10</v>
      </c>
      <c r="GA59" s="2">
        <v>1.8009999999999999</v>
      </c>
      <c r="GB59" s="2">
        <v>1.8009999999999999</v>
      </c>
      <c r="GC59" s="2">
        <v>1.8029999999999999</v>
      </c>
      <c r="GD59" s="2">
        <v>1.804</v>
      </c>
      <c r="GE59" s="2">
        <v>1.7869999999999999</v>
      </c>
      <c r="GN59" s="1" t="s">
        <v>10</v>
      </c>
      <c r="GO59" s="4">
        <v>-7.4999999999999997E-2</v>
      </c>
      <c r="GP59" s="4">
        <v>-7.4999999999999997E-2</v>
      </c>
      <c r="GQ59" s="4">
        <v>-3.2000000000000001E-2</v>
      </c>
      <c r="GR59" s="4">
        <v>-3.2000000000000001E-2</v>
      </c>
      <c r="GS59" s="4">
        <v>-1.2E-2</v>
      </c>
    </row>
    <row r="60" spans="1:201" ht="30" customHeight="1" thickBot="1" x14ac:dyDescent="0.35">
      <c r="A60" s="36" t="s">
        <v>18</v>
      </c>
      <c r="B60" s="2">
        <v>1.056</v>
      </c>
      <c r="C60" s="2">
        <v>1.742</v>
      </c>
      <c r="D60" s="4">
        <v>2.5999999999999999E-2</v>
      </c>
      <c r="AB60" s="1" t="s">
        <v>18</v>
      </c>
      <c r="AC60" s="2" t="s">
        <v>199</v>
      </c>
      <c r="AD60" s="2" t="s">
        <v>209</v>
      </c>
      <c r="AE60" s="4" t="s">
        <v>219</v>
      </c>
      <c r="AK60" s="1" t="s">
        <v>18</v>
      </c>
      <c r="AL60" s="52"/>
      <c r="AM60" s="52"/>
      <c r="AN60" s="53"/>
      <c r="BI60" s="1" t="s">
        <v>18</v>
      </c>
      <c r="BJ60" s="15">
        <v>1.056</v>
      </c>
      <c r="BK60" s="2">
        <v>1.742</v>
      </c>
      <c r="BL60" s="4">
        <v>2.5999999999999999E-2</v>
      </c>
      <c r="BQ60" s="1" t="s">
        <v>18</v>
      </c>
      <c r="BR60" s="12">
        <f t="shared" si="68"/>
        <v>0</v>
      </c>
      <c r="BS60" s="12">
        <f t="shared" si="69"/>
        <v>0</v>
      </c>
      <c r="BT60" s="12">
        <f t="shared" si="70"/>
        <v>0</v>
      </c>
      <c r="CI60" s="38"/>
      <c r="CJ60" s="1" t="s">
        <v>18</v>
      </c>
      <c r="CK60" s="15">
        <v>1.056</v>
      </c>
      <c r="CL60" s="2">
        <v>1.742</v>
      </c>
      <c r="CM60" s="4">
        <v>2.5999999999999999E-2</v>
      </c>
      <c r="CN60" s="33"/>
      <c r="CO60" s="33"/>
      <c r="CP60" s="33"/>
      <c r="CQ60" s="33"/>
      <c r="CR60" s="1" t="s">
        <v>18</v>
      </c>
      <c r="CS60" s="12">
        <f t="shared" si="75"/>
        <v>0</v>
      </c>
      <c r="CT60" s="12">
        <f t="shared" si="71"/>
        <v>0</v>
      </c>
      <c r="CU60" s="12">
        <f t="shared" si="71"/>
        <v>0</v>
      </c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4"/>
      <c r="DJ60" s="38"/>
      <c r="DK60" s="1" t="s">
        <v>18</v>
      </c>
      <c r="DL60" s="15">
        <v>1.0680000000000001</v>
      </c>
      <c r="DM60" s="2">
        <v>1.7450000000000001</v>
      </c>
      <c r="DN60" s="4">
        <v>1.7000000000000001E-2</v>
      </c>
      <c r="DO60" s="33"/>
      <c r="DP60" s="33"/>
      <c r="DQ60" s="33"/>
      <c r="DR60" s="33"/>
      <c r="DS60" s="1" t="s">
        <v>18</v>
      </c>
      <c r="DT60" s="12">
        <f t="shared" si="76"/>
        <v>1.2000000000000011E-2</v>
      </c>
      <c r="DU60" s="12">
        <f t="shared" si="72"/>
        <v>3.0000000000001137E-3</v>
      </c>
      <c r="DV60" s="12">
        <f t="shared" si="72"/>
        <v>-8.9999999999999976E-3</v>
      </c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4"/>
      <c r="EK60" s="38"/>
      <c r="EL60" s="1" t="s">
        <v>18</v>
      </c>
      <c r="EM60" s="15">
        <v>1.056</v>
      </c>
      <c r="EN60" s="2">
        <v>1.73</v>
      </c>
      <c r="EO60" s="4">
        <v>3.5999999999999997E-2</v>
      </c>
      <c r="EP60" s="33"/>
      <c r="EQ60" s="33"/>
      <c r="ER60" s="33"/>
      <c r="ES60" s="33"/>
      <c r="ET60" s="1" t="s">
        <v>18</v>
      </c>
      <c r="EU60" s="69">
        <f t="shared" si="77"/>
        <v>-1.2000000000000011E-2</v>
      </c>
      <c r="EV60" s="69">
        <f t="shared" si="73"/>
        <v>-1.5000000000000124E-2</v>
      </c>
      <c r="EW60" s="69">
        <f t="shared" si="74"/>
        <v>1.8999999999999996E-2</v>
      </c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4"/>
      <c r="FL60" s="1" t="s">
        <v>18</v>
      </c>
      <c r="FM60" s="2">
        <v>1.056</v>
      </c>
      <c r="FN60" s="15">
        <v>1.056</v>
      </c>
      <c r="FO60" s="15">
        <v>1.056</v>
      </c>
      <c r="FP60" s="15">
        <v>1.0680000000000001</v>
      </c>
      <c r="FQ60" s="15">
        <v>1.056</v>
      </c>
      <c r="FZ60" s="1" t="s">
        <v>18</v>
      </c>
      <c r="GA60" s="2">
        <v>1.742</v>
      </c>
      <c r="GB60" s="2">
        <v>1.742</v>
      </c>
      <c r="GC60" s="2">
        <v>1.742</v>
      </c>
      <c r="GD60" s="2">
        <v>1.7450000000000001</v>
      </c>
      <c r="GE60" s="2">
        <v>1.73</v>
      </c>
      <c r="GN60" s="1" t="s">
        <v>18</v>
      </c>
      <c r="GO60" s="4">
        <v>2.5999999999999999E-2</v>
      </c>
      <c r="GP60" s="4">
        <v>2.5999999999999999E-2</v>
      </c>
      <c r="GQ60" s="4">
        <v>2.5999999999999999E-2</v>
      </c>
      <c r="GR60" s="4">
        <v>1.7000000000000001E-2</v>
      </c>
      <c r="GS60" s="4">
        <v>3.5999999999999997E-2</v>
      </c>
    </row>
    <row r="61" spans="1:201" ht="30" customHeight="1" thickBot="1" x14ac:dyDescent="0.35">
      <c r="A61" s="37" t="s">
        <v>19</v>
      </c>
      <c r="B61" s="6">
        <v>1.2589999999999999</v>
      </c>
      <c r="C61" s="6">
        <v>1.97</v>
      </c>
      <c r="D61" s="8">
        <v>-0.32200000000000001</v>
      </c>
      <c r="AB61" s="5" t="s">
        <v>19</v>
      </c>
      <c r="AC61" s="6" t="s">
        <v>200</v>
      </c>
      <c r="AD61" s="6" t="s">
        <v>210</v>
      </c>
      <c r="AE61" s="40" t="s">
        <v>220</v>
      </c>
      <c r="AK61" s="5" t="s">
        <v>19</v>
      </c>
      <c r="AL61" s="55"/>
      <c r="AM61" s="55"/>
      <c r="AN61" s="56"/>
      <c r="BI61" s="5" t="s">
        <v>19</v>
      </c>
      <c r="BJ61" s="17">
        <v>1.254</v>
      </c>
      <c r="BK61" s="6">
        <v>1.9450000000000001</v>
      </c>
      <c r="BL61" s="8">
        <v>-0.30599999999999999</v>
      </c>
      <c r="BQ61" s="5" t="s">
        <v>19</v>
      </c>
      <c r="BR61" s="12">
        <f t="shared" si="68"/>
        <v>-4.9999999999998934E-3</v>
      </c>
      <c r="BS61" s="12">
        <f t="shared" si="69"/>
        <v>-2.4999999999999911E-2</v>
      </c>
      <c r="BT61" s="12">
        <f t="shared" si="70"/>
        <v>1.6000000000000014E-2</v>
      </c>
      <c r="CI61" s="38"/>
      <c r="CJ61" s="5" t="s">
        <v>19</v>
      </c>
      <c r="CK61" s="17">
        <v>1.056</v>
      </c>
      <c r="CL61" s="6">
        <v>1.744</v>
      </c>
      <c r="CM61" s="8">
        <v>1.7000000000000001E-2</v>
      </c>
      <c r="CN61" s="33"/>
      <c r="CO61" s="33"/>
      <c r="CP61" s="33"/>
      <c r="CQ61" s="33"/>
      <c r="CR61" s="5" t="s">
        <v>19</v>
      </c>
      <c r="CS61" s="69">
        <f t="shared" si="75"/>
        <v>-0.19799999999999995</v>
      </c>
      <c r="CT61" s="69">
        <f t="shared" si="71"/>
        <v>-0.20100000000000007</v>
      </c>
      <c r="CU61" s="69">
        <f t="shared" si="71"/>
        <v>0.32300000000000001</v>
      </c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4"/>
      <c r="DJ61" s="38"/>
      <c r="DK61" s="5" t="s">
        <v>19</v>
      </c>
      <c r="DL61" s="17">
        <v>1.7000000000000001E-2</v>
      </c>
      <c r="DM61" s="6">
        <v>1.81</v>
      </c>
      <c r="DN61" s="8">
        <v>-4.7E-2</v>
      </c>
      <c r="DO61" s="33"/>
      <c r="DP61" s="33"/>
      <c r="DQ61" s="33"/>
      <c r="DR61" s="33"/>
      <c r="DS61" s="5" t="s">
        <v>19</v>
      </c>
      <c r="DT61" s="12">
        <f t="shared" si="76"/>
        <v>-1.0390000000000001</v>
      </c>
      <c r="DU61" s="12">
        <f t="shared" si="72"/>
        <v>6.6000000000000059E-2</v>
      </c>
      <c r="DV61" s="69">
        <f>DN61-CM61</f>
        <v>-6.4000000000000001E-2</v>
      </c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4"/>
      <c r="EK61" s="38"/>
      <c r="EL61" s="5" t="s">
        <v>19</v>
      </c>
      <c r="EM61" s="17">
        <v>1.0489999999999999</v>
      </c>
      <c r="EN61" s="6">
        <v>1.728</v>
      </c>
      <c r="EO61" s="8">
        <v>3.1E-2</v>
      </c>
      <c r="EP61" s="33"/>
      <c r="EQ61" s="33"/>
      <c r="ER61" s="33"/>
      <c r="ES61" s="33"/>
      <c r="ET61" s="5" t="s">
        <v>19</v>
      </c>
      <c r="EU61" s="69">
        <f t="shared" si="77"/>
        <v>1.032</v>
      </c>
      <c r="EV61" s="12">
        <f t="shared" si="73"/>
        <v>-8.2000000000000073E-2</v>
      </c>
      <c r="EW61" s="69">
        <f>EO61-DN61</f>
        <v>7.8E-2</v>
      </c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4"/>
      <c r="FL61" s="5" t="s">
        <v>19</v>
      </c>
      <c r="FM61" s="6">
        <v>1.2589999999999999</v>
      </c>
      <c r="FN61" s="17">
        <v>1.254</v>
      </c>
      <c r="FO61" s="17">
        <v>1.056</v>
      </c>
      <c r="FP61" s="17">
        <v>1.7000000000000001E-2</v>
      </c>
      <c r="FQ61" s="17">
        <v>1.0489999999999999</v>
      </c>
      <c r="FZ61" s="5" t="s">
        <v>19</v>
      </c>
      <c r="GA61" s="6">
        <v>1.97</v>
      </c>
      <c r="GB61" s="6">
        <v>1.9450000000000001</v>
      </c>
      <c r="GC61" s="6">
        <v>1.744</v>
      </c>
      <c r="GD61" s="6">
        <v>1.81</v>
      </c>
      <c r="GE61" s="6">
        <v>1.728</v>
      </c>
      <c r="GN61" s="5" t="s">
        <v>19</v>
      </c>
      <c r="GO61" s="8">
        <v>-0.32200000000000001</v>
      </c>
      <c r="GP61" s="8">
        <v>-0.30599999999999999</v>
      </c>
      <c r="GQ61" s="8">
        <v>1.7000000000000001E-2</v>
      </c>
      <c r="GR61" s="8">
        <v>-4.7E-2</v>
      </c>
      <c r="GS61" s="8">
        <v>3.1E-2</v>
      </c>
    </row>
  </sheetData>
  <mergeCells count="58">
    <mergeCell ref="A1:Z1"/>
    <mergeCell ref="AA1:AI1"/>
    <mergeCell ref="AJ1:BG1"/>
    <mergeCell ref="A49:E49"/>
    <mergeCell ref="A2:E2"/>
    <mergeCell ref="A13:E13"/>
    <mergeCell ref="A38:E38"/>
    <mergeCell ref="AB2:AF2"/>
    <mergeCell ref="AB13:AF13"/>
    <mergeCell ref="AB38:AF38"/>
    <mergeCell ref="AB49:AF49"/>
    <mergeCell ref="AQ2:AU2"/>
    <mergeCell ref="AK2:AO2"/>
    <mergeCell ref="AK13:AO13"/>
    <mergeCell ref="AK38:AO38"/>
    <mergeCell ref="AK49:AO49"/>
    <mergeCell ref="BI49:BM49"/>
    <mergeCell ref="AQ13:AU13"/>
    <mergeCell ref="AQ38:AU38"/>
    <mergeCell ref="BI2:BM2"/>
    <mergeCell ref="BI13:BM13"/>
    <mergeCell ref="BI38:BM38"/>
    <mergeCell ref="BQ49:BT49"/>
    <mergeCell ref="CI1:DI1"/>
    <mergeCell ref="CJ2:CN2"/>
    <mergeCell ref="CR2:CV2"/>
    <mergeCell ref="CJ13:CN13"/>
    <mergeCell ref="CR13:CV13"/>
    <mergeCell ref="CR24:CX24"/>
    <mergeCell ref="CJ38:CN38"/>
    <mergeCell ref="CR38:CV38"/>
    <mergeCell ref="CJ49:CN49"/>
    <mergeCell ref="CR49:CU49"/>
    <mergeCell ref="BQ24:BW24"/>
    <mergeCell ref="BH1:CH1"/>
    <mergeCell ref="BQ2:BU2"/>
    <mergeCell ref="BQ13:BU13"/>
    <mergeCell ref="BQ38:BU38"/>
    <mergeCell ref="DJ1:EJ1"/>
    <mergeCell ref="DK2:DO2"/>
    <mergeCell ref="DS2:DW2"/>
    <mergeCell ref="DK13:DO13"/>
    <mergeCell ref="DS13:DW13"/>
    <mergeCell ref="DS24:DY24"/>
    <mergeCell ref="DK38:DO38"/>
    <mergeCell ref="DS38:DW38"/>
    <mergeCell ref="DK49:DO49"/>
    <mergeCell ref="DS49:DV49"/>
    <mergeCell ref="EK1:FK1"/>
    <mergeCell ref="EL2:EP2"/>
    <mergeCell ref="ET2:EX2"/>
    <mergeCell ref="EL13:EP13"/>
    <mergeCell ref="ET13:EX13"/>
    <mergeCell ref="ET24:EZ24"/>
    <mergeCell ref="EL38:EP38"/>
    <mergeCell ref="ET38:EX38"/>
    <mergeCell ref="EL49:EP49"/>
    <mergeCell ref="ET49:EW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2020-09-01T11:37:38Z</dcterms:created>
  <dcterms:modified xsi:type="dcterms:W3CDTF">2020-10-22T13:58:55Z</dcterms:modified>
</cp:coreProperties>
</file>