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Tese Github\master-thesis-iposcore\Results\Stage Results\"/>
    </mc:Choice>
  </mc:AlternateContent>
  <xr:revisionPtr revIDLastSave="0" documentId="13_ncr:1_{3D092315-5EC5-48BD-921F-58D9435EF457}" xr6:coauthVersionLast="45" xr6:coauthVersionMax="45" xr10:uidLastSave="{00000000-0000-0000-0000-000000000000}"/>
  <bookViews>
    <workbookView xWindow="-108" yWindow="-108" windowWidth="23256" windowHeight="13176" xr2:uid="{747F4D0D-3210-4C87-A741-A210C5D2AE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Y4" i="1" l="1"/>
  <c r="DP26" i="1" l="1"/>
  <c r="CE26" i="1"/>
  <c r="CE27" i="1"/>
  <c r="CE28" i="1"/>
  <c r="CE29" i="1"/>
  <c r="CE30" i="1"/>
  <c r="CE31" i="1"/>
  <c r="CE32" i="1"/>
  <c r="CE33" i="1"/>
  <c r="CE34" i="1"/>
  <c r="CE35" i="1"/>
  <c r="CE36" i="1"/>
  <c r="GL26" i="1"/>
  <c r="EU51" i="1" l="1"/>
  <c r="BY26" i="1" l="1"/>
  <c r="BZ26" i="1"/>
  <c r="CA26" i="1"/>
  <c r="BY15" i="1"/>
  <c r="CC26" i="1"/>
  <c r="BY40" i="1"/>
  <c r="BY51" i="1"/>
  <c r="DJ51" i="1"/>
  <c r="GF51" i="1"/>
  <c r="GF40" i="1"/>
  <c r="GJ26" i="1"/>
  <c r="GF26" i="1"/>
  <c r="GF15" i="1"/>
  <c r="GF4" i="1"/>
  <c r="EU4" i="1"/>
  <c r="EU15" i="1"/>
  <c r="EY26" i="1"/>
  <c r="EU26" i="1"/>
  <c r="EU40" i="1"/>
  <c r="DK51" i="1"/>
  <c r="DL51" i="1"/>
  <c r="DK52" i="1"/>
  <c r="DL52" i="1"/>
  <c r="DK53" i="1"/>
  <c r="DL53" i="1"/>
  <c r="DK54" i="1"/>
  <c r="DL54" i="1"/>
  <c r="DK55" i="1"/>
  <c r="DL55" i="1"/>
  <c r="DK56" i="1"/>
  <c r="DL56" i="1"/>
  <c r="DK57" i="1"/>
  <c r="DL57" i="1"/>
  <c r="DK58" i="1"/>
  <c r="DL58" i="1"/>
  <c r="DK59" i="1"/>
  <c r="DL59" i="1"/>
  <c r="DK60" i="1"/>
  <c r="DL60" i="1"/>
  <c r="DK61" i="1"/>
  <c r="DL61" i="1"/>
  <c r="DJ52" i="1"/>
  <c r="DJ53" i="1"/>
  <c r="DJ54" i="1"/>
  <c r="DJ55" i="1"/>
  <c r="DJ56" i="1"/>
  <c r="DJ57" i="1"/>
  <c r="DJ58" i="1"/>
  <c r="DJ59" i="1"/>
  <c r="DJ60" i="1"/>
  <c r="DJ61" i="1"/>
  <c r="DM46" i="1"/>
  <c r="DK40" i="1"/>
  <c r="DM40" i="1"/>
  <c r="DK41" i="1"/>
  <c r="DM41" i="1"/>
  <c r="DK42" i="1"/>
  <c r="DM42" i="1"/>
  <c r="DK43" i="1"/>
  <c r="DM43" i="1"/>
  <c r="DK44" i="1"/>
  <c r="DM44" i="1"/>
  <c r="DK45" i="1"/>
  <c r="DM45" i="1"/>
  <c r="DK46" i="1"/>
  <c r="DK47" i="1"/>
  <c r="DM47" i="1"/>
  <c r="DJ41" i="1"/>
  <c r="DJ42" i="1"/>
  <c r="DJ43" i="1"/>
  <c r="DJ44" i="1"/>
  <c r="DJ45" i="1"/>
  <c r="DJ46" i="1"/>
  <c r="DJ47" i="1"/>
  <c r="DJ40" i="1"/>
  <c r="DN26" i="1"/>
  <c r="DN27" i="1"/>
  <c r="DN28" i="1"/>
  <c r="DN29" i="1"/>
  <c r="DN30" i="1"/>
  <c r="DN31" i="1"/>
  <c r="DN32" i="1"/>
  <c r="DN33" i="1"/>
  <c r="DN34" i="1"/>
  <c r="DN35" i="1"/>
  <c r="DN36" i="1"/>
  <c r="DP27" i="1"/>
  <c r="DP28" i="1"/>
  <c r="DP29" i="1"/>
  <c r="DP30" i="1"/>
  <c r="DP31" i="1"/>
  <c r="DP32" i="1"/>
  <c r="DP33" i="1"/>
  <c r="DP34" i="1"/>
  <c r="DP35" i="1"/>
  <c r="DP36" i="1"/>
  <c r="DL32" i="1"/>
  <c r="DK26" i="1"/>
  <c r="DL26" i="1"/>
  <c r="DK27" i="1"/>
  <c r="DL27" i="1"/>
  <c r="DK28" i="1"/>
  <c r="DL28" i="1"/>
  <c r="DK29" i="1"/>
  <c r="DL29" i="1"/>
  <c r="DK30" i="1"/>
  <c r="DL30" i="1"/>
  <c r="DK31" i="1"/>
  <c r="DL31" i="1"/>
  <c r="DK32" i="1"/>
  <c r="DK33" i="1"/>
  <c r="DL33" i="1"/>
  <c r="DK34" i="1"/>
  <c r="DL34" i="1"/>
  <c r="DK35" i="1"/>
  <c r="DL35" i="1"/>
  <c r="DK36" i="1"/>
  <c r="DL36" i="1"/>
  <c r="DJ27" i="1"/>
  <c r="DJ28" i="1"/>
  <c r="DJ29" i="1"/>
  <c r="DJ30" i="1"/>
  <c r="DJ31" i="1"/>
  <c r="DJ32" i="1"/>
  <c r="DJ33" i="1"/>
  <c r="DJ34" i="1"/>
  <c r="DJ35" i="1"/>
  <c r="DJ36" i="1"/>
  <c r="DJ26" i="1"/>
  <c r="DJ15" i="1"/>
  <c r="GH61" i="1"/>
  <c r="GI11" i="1"/>
  <c r="GG6" i="1"/>
  <c r="GG61" i="1"/>
  <c r="GF61" i="1"/>
  <c r="GH60" i="1"/>
  <c r="GG60" i="1"/>
  <c r="GF60" i="1"/>
  <c r="GH59" i="1"/>
  <c r="GG59" i="1"/>
  <c r="GF59" i="1"/>
  <c r="GH58" i="1"/>
  <c r="GG58" i="1"/>
  <c r="GF58" i="1"/>
  <c r="GH57" i="1"/>
  <c r="GG57" i="1"/>
  <c r="GF57" i="1"/>
  <c r="GH56" i="1"/>
  <c r="GG56" i="1"/>
  <c r="GF56" i="1"/>
  <c r="GH55" i="1"/>
  <c r="GG55" i="1"/>
  <c r="GF55" i="1"/>
  <c r="GH54" i="1"/>
  <c r="GG54" i="1"/>
  <c r="GF54" i="1"/>
  <c r="GH53" i="1"/>
  <c r="GG53" i="1"/>
  <c r="GF53" i="1"/>
  <c r="GH52" i="1"/>
  <c r="GG52" i="1"/>
  <c r="GF52" i="1"/>
  <c r="GH51" i="1"/>
  <c r="GG51" i="1"/>
  <c r="GI47" i="1"/>
  <c r="GG47" i="1"/>
  <c r="GF47" i="1"/>
  <c r="GI46" i="1"/>
  <c r="GG46" i="1"/>
  <c r="GF46" i="1"/>
  <c r="GI45" i="1"/>
  <c r="GG45" i="1"/>
  <c r="GF45" i="1"/>
  <c r="GI44" i="1"/>
  <c r="GG44" i="1"/>
  <c r="GF44" i="1"/>
  <c r="GI43" i="1"/>
  <c r="GG43" i="1"/>
  <c r="GF43" i="1"/>
  <c r="GI42" i="1"/>
  <c r="GG42" i="1"/>
  <c r="GF42" i="1"/>
  <c r="GI41" i="1"/>
  <c r="GG41" i="1"/>
  <c r="GF41" i="1"/>
  <c r="GI40" i="1"/>
  <c r="GG40" i="1"/>
  <c r="GL36" i="1"/>
  <c r="GJ36" i="1"/>
  <c r="GH36" i="1"/>
  <c r="GG36" i="1"/>
  <c r="GF36" i="1"/>
  <c r="GL35" i="1"/>
  <c r="GJ35" i="1"/>
  <c r="GH35" i="1"/>
  <c r="GG35" i="1"/>
  <c r="GF35" i="1"/>
  <c r="GL34" i="1"/>
  <c r="GJ34" i="1"/>
  <c r="GH34" i="1"/>
  <c r="GG34" i="1"/>
  <c r="GF34" i="1"/>
  <c r="GL33" i="1"/>
  <c r="GJ33" i="1"/>
  <c r="GH33" i="1"/>
  <c r="GG33" i="1"/>
  <c r="GF33" i="1"/>
  <c r="GL32" i="1"/>
  <c r="GJ32" i="1"/>
  <c r="GH32" i="1"/>
  <c r="GG32" i="1"/>
  <c r="GF32" i="1"/>
  <c r="GL31" i="1"/>
  <c r="GJ31" i="1"/>
  <c r="GH31" i="1"/>
  <c r="GG31" i="1"/>
  <c r="GF31" i="1"/>
  <c r="GL30" i="1"/>
  <c r="GJ30" i="1"/>
  <c r="GH30" i="1"/>
  <c r="GG30" i="1"/>
  <c r="GF30" i="1"/>
  <c r="GL29" i="1"/>
  <c r="GJ29" i="1"/>
  <c r="GH29" i="1"/>
  <c r="GG29" i="1"/>
  <c r="GF29" i="1"/>
  <c r="GL28" i="1"/>
  <c r="GJ28" i="1"/>
  <c r="GH28" i="1"/>
  <c r="GG28" i="1"/>
  <c r="GF28" i="1"/>
  <c r="GL27" i="1"/>
  <c r="GJ27" i="1"/>
  <c r="GH27" i="1"/>
  <c r="GG27" i="1"/>
  <c r="GF27" i="1"/>
  <c r="GH26" i="1"/>
  <c r="GG26" i="1"/>
  <c r="GI22" i="1"/>
  <c r="GG22" i="1"/>
  <c r="GF22" i="1"/>
  <c r="GI21" i="1"/>
  <c r="GG21" i="1"/>
  <c r="GF21" i="1"/>
  <c r="GI20" i="1"/>
  <c r="GG20" i="1"/>
  <c r="GF20" i="1"/>
  <c r="GI19" i="1"/>
  <c r="GG19" i="1"/>
  <c r="GF19" i="1"/>
  <c r="GI18" i="1"/>
  <c r="GG18" i="1"/>
  <c r="GF18" i="1"/>
  <c r="GI17" i="1"/>
  <c r="GG17" i="1"/>
  <c r="GF17" i="1"/>
  <c r="GI16" i="1"/>
  <c r="GG16" i="1"/>
  <c r="GF16" i="1"/>
  <c r="GI15" i="1"/>
  <c r="GG15" i="1"/>
  <c r="GG11" i="1"/>
  <c r="GF11" i="1"/>
  <c r="GI10" i="1"/>
  <c r="GG10" i="1"/>
  <c r="GF10" i="1"/>
  <c r="GI9" i="1"/>
  <c r="GG9" i="1"/>
  <c r="GF9" i="1"/>
  <c r="GI8" i="1"/>
  <c r="GG8" i="1"/>
  <c r="GF8" i="1"/>
  <c r="GI7" i="1"/>
  <c r="GG7" i="1"/>
  <c r="GF7" i="1"/>
  <c r="GI6" i="1"/>
  <c r="GF6" i="1"/>
  <c r="GI5" i="1"/>
  <c r="GG5" i="1"/>
  <c r="GF5" i="1"/>
  <c r="GI4" i="1"/>
  <c r="GG4" i="1"/>
  <c r="EV6" i="1"/>
  <c r="EW61" i="1"/>
  <c r="EV51" i="1"/>
  <c r="EW51" i="1"/>
  <c r="EV52" i="1"/>
  <c r="EW52" i="1"/>
  <c r="EV53" i="1"/>
  <c r="EW53" i="1"/>
  <c r="EV54" i="1"/>
  <c r="EW54" i="1"/>
  <c r="EV55" i="1"/>
  <c r="EW55" i="1"/>
  <c r="EV56" i="1"/>
  <c r="EW56" i="1"/>
  <c r="EV57" i="1"/>
  <c r="EW57" i="1"/>
  <c r="EV58" i="1"/>
  <c r="EW58" i="1"/>
  <c r="EV59" i="1"/>
  <c r="EW59" i="1"/>
  <c r="EV60" i="1"/>
  <c r="EW60" i="1"/>
  <c r="EV61" i="1"/>
  <c r="EU52" i="1"/>
  <c r="EU53" i="1"/>
  <c r="EU54" i="1"/>
  <c r="EU55" i="1"/>
  <c r="EU56" i="1"/>
  <c r="EU57" i="1"/>
  <c r="EU58" i="1"/>
  <c r="EU59" i="1"/>
  <c r="EU60" i="1"/>
  <c r="EU61" i="1"/>
  <c r="EU41" i="1"/>
  <c r="EV41" i="1"/>
  <c r="EX41" i="1"/>
  <c r="EU42" i="1"/>
  <c r="EV42" i="1"/>
  <c r="EX42" i="1"/>
  <c r="EU43" i="1"/>
  <c r="EV43" i="1"/>
  <c r="EX43" i="1"/>
  <c r="EU44" i="1"/>
  <c r="EV44" i="1"/>
  <c r="EX44" i="1"/>
  <c r="EU45" i="1"/>
  <c r="EV45" i="1"/>
  <c r="EX45" i="1"/>
  <c r="EU46" i="1"/>
  <c r="EV46" i="1"/>
  <c r="EX46" i="1"/>
  <c r="EU47" i="1"/>
  <c r="EV47" i="1"/>
  <c r="EX47" i="1"/>
  <c r="EV40" i="1"/>
  <c r="EX40" i="1"/>
  <c r="FA36" i="1"/>
  <c r="EY27" i="1"/>
  <c r="FA27" i="1"/>
  <c r="EY28" i="1"/>
  <c r="FA28" i="1"/>
  <c r="EY29" i="1"/>
  <c r="FA29" i="1"/>
  <c r="EY30" i="1"/>
  <c r="FA30" i="1"/>
  <c r="EY31" i="1"/>
  <c r="FA31" i="1"/>
  <c r="EY32" i="1"/>
  <c r="FA32" i="1"/>
  <c r="EY33" i="1"/>
  <c r="FA33" i="1"/>
  <c r="EY34" i="1"/>
  <c r="FA34" i="1"/>
  <c r="EY35" i="1"/>
  <c r="FA35" i="1"/>
  <c r="EY36" i="1"/>
  <c r="FA26" i="1"/>
  <c r="EW36" i="1"/>
  <c r="EU27" i="1"/>
  <c r="EV27" i="1"/>
  <c r="EW27" i="1"/>
  <c r="EU28" i="1"/>
  <c r="EV28" i="1"/>
  <c r="EW28" i="1"/>
  <c r="EU29" i="1"/>
  <c r="EV29" i="1"/>
  <c r="EW29" i="1"/>
  <c r="EU30" i="1"/>
  <c r="EV30" i="1"/>
  <c r="EW30" i="1"/>
  <c r="EU31" i="1"/>
  <c r="EV31" i="1"/>
  <c r="EW31" i="1"/>
  <c r="EU32" i="1"/>
  <c r="EV32" i="1"/>
  <c r="EW32" i="1"/>
  <c r="EU33" i="1"/>
  <c r="EV33" i="1"/>
  <c r="EW33" i="1"/>
  <c r="EU34" i="1"/>
  <c r="EV34" i="1"/>
  <c r="EW34" i="1"/>
  <c r="EU35" i="1"/>
  <c r="EV35" i="1"/>
  <c r="EW35" i="1"/>
  <c r="EU36" i="1"/>
  <c r="EV36" i="1"/>
  <c r="EV26" i="1"/>
  <c r="EW26" i="1"/>
  <c r="EV20" i="1"/>
  <c r="EX22" i="1"/>
  <c r="EX18" i="1"/>
  <c r="EU16" i="1"/>
  <c r="EV16" i="1"/>
  <c r="EX16" i="1"/>
  <c r="EU17" i="1"/>
  <c r="EV17" i="1"/>
  <c r="EX17" i="1"/>
  <c r="EU18" i="1"/>
  <c r="EV18" i="1"/>
  <c r="EU19" i="1"/>
  <c r="EV19" i="1"/>
  <c r="EX19" i="1"/>
  <c r="EU20" i="1"/>
  <c r="EX20" i="1"/>
  <c r="EU21" i="1"/>
  <c r="EV21" i="1"/>
  <c r="EX21" i="1"/>
  <c r="EU22" i="1"/>
  <c r="EV22" i="1"/>
  <c r="EV15" i="1"/>
  <c r="EX15" i="1"/>
  <c r="EX11" i="1"/>
  <c r="EX5" i="1"/>
  <c r="EX6" i="1"/>
  <c r="EX7" i="1"/>
  <c r="EX8" i="1"/>
  <c r="EX9" i="1"/>
  <c r="EX10" i="1"/>
  <c r="EV5" i="1"/>
  <c r="EV7" i="1"/>
  <c r="EV8" i="1"/>
  <c r="EV9" i="1"/>
  <c r="EV10" i="1"/>
  <c r="EV11" i="1"/>
  <c r="EV4" i="1"/>
  <c r="EX4" i="1"/>
  <c r="EU5" i="1"/>
  <c r="EU6" i="1"/>
  <c r="EU7" i="1"/>
  <c r="EU8" i="1"/>
  <c r="EU9" i="1"/>
  <c r="EU10" i="1"/>
  <c r="EU11" i="1"/>
  <c r="EO4" i="1"/>
  <c r="DJ4" i="1"/>
  <c r="FZ47" i="1"/>
  <c r="FZ46" i="1"/>
  <c r="FZ45" i="1"/>
  <c r="FZ44" i="1"/>
  <c r="FZ43" i="1"/>
  <c r="FZ42" i="1"/>
  <c r="FZ41" i="1"/>
  <c r="FZ40" i="1"/>
  <c r="GB36" i="1"/>
  <c r="GB35" i="1"/>
  <c r="GB34" i="1"/>
  <c r="GB33" i="1"/>
  <c r="GB32" i="1"/>
  <c r="GB31" i="1"/>
  <c r="GB30" i="1"/>
  <c r="GB29" i="1"/>
  <c r="GB28" i="1"/>
  <c r="GB27" i="1"/>
  <c r="GB26" i="1"/>
  <c r="FZ22" i="1"/>
  <c r="FZ21" i="1"/>
  <c r="FZ20" i="1"/>
  <c r="FZ19" i="1"/>
  <c r="FZ18" i="1"/>
  <c r="FZ17" i="1"/>
  <c r="FZ16" i="1"/>
  <c r="FZ15" i="1"/>
  <c r="FZ11" i="1"/>
  <c r="FZ10" i="1"/>
  <c r="FZ9" i="1"/>
  <c r="FZ8" i="1"/>
  <c r="FZ7" i="1"/>
  <c r="FZ6" i="1"/>
  <c r="FZ5" i="1"/>
  <c r="FZ4" i="1"/>
  <c r="EQ36" i="1"/>
  <c r="EQ35" i="1"/>
  <c r="EQ34" i="1"/>
  <c r="EQ33" i="1"/>
  <c r="EQ32" i="1"/>
  <c r="EQ31" i="1"/>
  <c r="EQ30" i="1"/>
  <c r="EQ29" i="1"/>
  <c r="EQ28" i="1"/>
  <c r="EQ27" i="1"/>
  <c r="EQ26" i="1"/>
  <c r="EO47" i="1"/>
  <c r="EO46" i="1"/>
  <c r="EO45" i="1"/>
  <c r="EO44" i="1"/>
  <c r="EO43" i="1"/>
  <c r="EO42" i="1"/>
  <c r="EO41" i="1"/>
  <c r="EO40" i="1"/>
  <c r="EO22" i="1"/>
  <c r="EO21" i="1"/>
  <c r="EO20" i="1"/>
  <c r="EO19" i="1"/>
  <c r="EO18" i="1"/>
  <c r="EO17" i="1"/>
  <c r="EO16" i="1"/>
  <c r="EO15" i="1"/>
  <c r="EO11" i="1"/>
  <c r="EO10" i="1"/>
  <c r="EO9" i="1"/>
  <c r="EO8" i="1"/>
  <c r="EO7" i="1"/>
  <c r="EO6" i="1"/>
  <c r="EO5" i="1"/>
  <c r="DD47" i="1"/>
  <c r="DD46" i="1"/>
  <c r="DD45" i="1"/>
  <c r="DD44" i="1"/>
  <c r="DD43" i="1"/>
  <c r="DD42" i="1"/>
  <c r="DD41" i="1"/>
  <c r="DD40" i="1"/>
  <c r="DF36" i="1"/>
  <c r="DF35" i="1"/>
  <c r="DF34" i="1"/>
  <c r="DF33" i="1"/>
  <c r="DF32" i="1"/>
  <c r="DF31" i="1"/>
  <c r="DF30" i="1"/>
  <c r="DF29" i="1"/>
  <c r="DF28" i="1"/>
  <c r="DF27" i="1"/>
  <c r="DF26" i="1"/>
  <c r="DD22" i="1"/>
  <c r="DL22" i="1" s="1"/>
  <c r="DD21" i="1"/>
  <c r="DL21" i="1" s="1"/>
  <c r="DD20" i="1"/>
  <c r="DL20" i="1" s="1"/>
  <c r="DD19" i="1"/>
  <c r="DL19" i="1" s="1"/>
  <c r="DD18" i="1"/>
  <c r="DL18" i="1" s="1"/>
  <c r="DD17" i="1"/>
  <c r="DL17" i="1" s="1"/>
  <c r="DD16" i="1"/>
  <c r="DL16" i="1" s="1"/>
  <c r="DD15" i="1"/>
  <c r="DL15" i="1" s="1"/>
  <c r="DD11" i="1"/>
  <c r="DD10" i="1"/>
  <c r="DL10" i="1" s="1"/>
  <c r="DD9" i="1"/>
  <c r="DL9" i="1" s="1"/>
  <c r="DD8" i="1"/>
  <c r="DL8" i="1" s="1"/>
  <c r="DD7" i="1"/>
  <c r="DL7" i="1" s="1"/>
  <c r="DD6" i="1"/>
  <c r="DL6" i="1" s="1"/>
  <c r="DD5" i="1"/>
  <c r="DL5" i="1" s="1"/>
  <c r="DD4" i="1"/>
  <c r="DL4" i="1" s="1"/>
  <c r="DM22" i="1"/>
  <c r="DK22" i="1"/>
  <c r="DJ22" i="1"/>
  <c r="DM21" i="1"/>
  <c r="DK21" i="1"/>
  <c r="DJ21" i="1"/>
  <c r="DM20" i="1"/>
  <c r="DK20" i="1"/>
  <c r="DJ20" i="1"/>
  <c r="DM19" i="1"/>
  <c r="DK19" i="1"/>
  <c r="DJ19" i="1"/>
  <c r="DM18" i="1"/>
  <c r="DK18" i="1"/>
  <c r="DJ18" i="1"/>
  <c r="DM17" i="1"/>
  <c r="DK17" i="1"/>
  <c r="DJ17" i="1"/>
  <c r="DM16" i="1"/>
  <c r="DK16" i="1"/>
  <c r="DJ16" i="1"/>
  <c r="DM15" i="1"/>
  <c r="DK15" i="1"/>
  <c r="DM11" i="1"/>
  <c r="DK11" i="1"/>
  <c r="DJ11" i="1"/>
  <c r="DM10" i="1"/>
  <c r="DK10" i="1"/>
  <c r="DJ10" i="1"/>
  <c r="DM9" i="1"/>
  <c r="DK9" i="1"/>
  <c r="DJ9" i="1"/>
  <c r="DM8" i="1"/>
  <c r="DK8" i="1"/>
  <c r="DJ8" i="1"/>
  <c r="DM7" i="1"/>
  <c r="DK7" i="1"/>
  <c r="DJ7" i="1"/>
  <c r="DM6" i="1"/>
  <c r="DK6" i="1"/>
  <c r="DJ6" i="1"/>
  <c r="DM5" i="1"/>
  <c r="DK5" i="1"/>
  <c r="DJ5" i="1"/>
  <c r="DM4" i="1"/>
  <c r="DK4" i="1"/>
  <c r="CB11" i="1"/>
  <c r="CA29" i="1"/>
  <c r="CA27" i="1"/>
  <c r="CA28" i="1"/>
  <c r="CA30" i="1"/>
  <c r="CA31" i="1"/>
  <c r="CA32" i="1"/>
  <c r="CA33" i="1"/>
  <c r="CA34" i="1"/>
  <c r="CA35" i="1"/>
  <c r="CA36" i="1"/>
  <c r="CC27" i="1"/>
  <c r="CC28" i="1"/>
  <c r="CC29" i="1"/>
  <c r="CC30" i="1"/>
  <c r="CC31" i="1"/>
  <c r="CC32" i="1"/>
  <c r="CC33" i="1"/>
  <c r="CC34" i="1"/>
  <c r="CC35" i="1"/>
  <c r="CC36" i="1"/>
  <c r="BZ27" i="1"/>
  <c r="BZ28" i="1"/>
  <c r="BZ29" i="1"/>
  <c r="BZ30" i="1"/>
  <c r="BZ31" i="1"/>
  <c r="BZ32" i="1"/>
  <c r="BZ33" i="1"/>
  <c r="BZ34" i="1"/>
  <c r="BZ35" i="1"/>
  <c r="BZ36" i="1"/>
  <c r="BY27" i="1"/>
  <c r="BY28" i="1"/>
  <c r="BY29" i="1"/>
  <c r="BY30" i="1"/>
  <c r="BY31" i="1"/>
  <c r="BY32" i="1"/>
  <c r="BY33" i="1"/>
  <c r="BY34" i="1"/>
  <c r="BY35" i="1"/>
  <c r="BY36" i="1"/>
  <c r="Q26" i="1"/>
  <c r="Q27" i="1"/>
  <c r="Q28" i="1"/>
  <c r="Q29" i="1"/>
  <c r="Q30" i="1"/>
  <c r="Q31" i="1"/>
  <c r="Q32" i="1"/>
  <c r="Q33" i="1"/>
  <c r="Q34" i="1"/>
  <c r="Q35" i="1"/>
  <c r="Q36" i="1"/>
  <c r="BZ40" i="1"/>
  <c r="CB40" i="1"/>
  <c r="BY41" i="1"/>
  <c r="BZ41" i="1"/>
  <c r="CB41" i="1"/>
  <c r="BY42" i="1"/>
  <c r="BZ42" i="1"/>
  <c r="CB42" i="1"/>
  <c r="BY43" i="1"/>
  <c r="BZ43" i="1"/>
  <c r="CB43" i="1"/>
  <c r="BY44" i="1"/>
  <c r="BZ44" i="1"/>
  <c r="CB44" i="1"/>
  <c r="BY45" i="1"/>
  <c r="BZ45" i="1"/>
  <c r="CB45" i="1"/>
  <c r="BY46" i="1"/>
  <c r="BZ46" i="1"/>
  <c r="CB46" i="1"/>
  <c r="BY47" i="1"/>
  <c r="BZ47" i="1"/>
  <c r="CB47" i="1"/>
  <c r="BZ18" i="1"/>
  <c r="BZ7" i="1"/>
  <c r="CA61" i="1"/>
  <c r="CA52" i="1"/>
  <c r="CA53" i="1"/>
  <c r="CA54" i="1"/>
  <c r="CA55" i="1"/>
  <c r="CA56" i="1"/>
  <c r="CA57" i="1"/>
  <c r="CA58" i="1"/>
  <c r="CA59" i="1"/>
  <c r="CA60" i="1"/>
  <c r="BZ52" i="1"/>
  <c r="BZ53" i="1"/>
  <c r="BZ54" i="1"/>
  <c r="BZ55" i="1"/>
  <c r="BZ56" i="1"/>
  <c r="BZ57" i="1"/>
  <c r="BZ58" i="1"/>
  <c r="BZ59" i="1"/>
  <c r="BZ60" i="1"/>
  <c r="BZ61" i="1"/>
  <c r="BZ51" i="1"/>
  <c r="CA51" i="1"/>
  <c r="BY52" i="1"/>
  <c r="BY53" i="1"/>
  <c r="BY54" i="1"/>
  <c r="BY55" i="1"/>
  <c r="BY56" i="1"/>
  <c r="BY57" i="1"/>
  <c r="BY58" i="1"/>
  <c r="BY59" i="1"/>
  <c r="BY60" i="1"/>
  <c r="BY61" i="1"/>
  <c r="BY11" i="1"/>
  <c r="BZ11" i="1"/>
  <c r="BY22" i="1"/>
  <c r="BZ22" i="1"/>
  <c r="CB22" i="1"/>
  <c r="BS47" i="1"/>
  <c r="BS46" i="1"/>
  <c r="BS45" i="1"/>
  <c r="BS44" i="1"/>
  <c r="BS43" i="1"/>
  <c r="BS42" i="1"/>
  <c r="BS41" i="1"/>
  <c r="BS40" i="1"/>
  <c r="BU36" i="1"/>
  <c r="BU35" i="1"/>
  <c r="BU34" i="1"/>
  <c r="BU33" i="1"/>
  <c r="BU32" i="1"/>
  <c r="BU31" i="1"/>
  <c r="BU30" i="1"/>
  <c r="BU29" i="1"/>
  <c r="BU28" i="1"/>
  <c r="BU27" i="1"/>
  <c r="BU26" i="1"/>
  <c r="BS22" i="1"/>
  <c r="BS21" i="1"/>
  <c r="BS20" i="1"/>
  <c r="BS19" i="1"/>
  <c r="BS18" i="1"/>
  <c r="BS17" i="1"/>
  <c r="BS16" i="1"/>
  <c r="BS15" i="1"/>
  <c r="BS11" i="1"/>
  <c r="BS10" i="1"/>
  <c r="BS9" i="1"/>
  <c r="BS8" i="1"/>
  <c r="BS7" i="1"/>
  <c r="BS6" i="1"/>
  <c r="BS5" i="1"/>
  <c r="BS4" i="1"/>
  <c r="CB10" i="1"/>
  <c r="BZ10" i="1"/>
  <c r="BY10" i="1"/>
  <c r="CB9" i="1"/>
  <c r="BZ9" i="1"/>
  <c r="BY9" i="1"/>
  <c r="CB8" i="1"/>
  <c r="BZ8" i="1"/>
  <c r="BY8" i="1"/>
  <c r="CB7" i="1"/>
  <c r="BY7" i="1"/>
  <c r="CB6" i="1"/>
  <c r="BZ6" i="1"/>
  <c r="BY6" i="1"/>
  <c r="CB5" i="1"/>
  <c r="BZ5" i="1"/>
  <c r="BY5" i="1"/>
  <c r="CB4" i="1"/>
  <c r="BZ4" i="1"/>
  <c r="CB21" i="1"/>
  <c r="BZ21" i="1"/>
  <c r="BY21" i="1"/>
  <c r="CB20" i="1"/>
  <c r="BZ20" i="1"/>
  <c r="BY20" i="1"/>
  <c r="CB19" i="1"/>
  <c r="BZ19" i="1"/>
  <c r="BY19" i="1"/>
  <c r="CB18" i="1"/>
  <c r="BY18" i="1"/>
  <c r="CB17" i="1"/>
  <c r="BZ17" i="1"/>
  <c r="BY17" i="1"/>
  <c r="CB16" i="1"/>
  <c r="BZ16" i="1"/>
  <c r="BY16" i="1"/>
  <c r="CB15" i="1"/>
  <c r="BZ15" i="1"/>
  <c r="AR40" i="1"/>
  <c r="AN47" i="1"/>
  <c r="AN46" i="1"/>
  <c r="AN45" i="1"/>
  <c r="AN44" i="1"/>
  <c r="AN43" i="1"/>
  <c r="AN42" i="1"/>
  <c r="AN41" i="1"/>
  <c r="AN40" i="1"/>
  <c r="AN22" i="1"/>
  <c r="AN21" i="1"/>
  <c r="AN20" i="1"/>
  <c r="AN19" i="1"/>
  <c r="AN18" i="1"/>
  <c r="AN17" i="1"/>
  <c r="AN16" i="1"/>
  <c r="AN15" i="1"/>
  <c r="AN11" i="1"/>
  <c r="AN10" i="1"/>
  <c r="AN9" i="1"/>
  <c r="AN8" i="1"/>
  <c r="AN7" i="1"/>
  <c r="AN6" i="1"/>
  <c r="AN5" i="1"/>
  <c r="AN4" i="1"/>
  <c r="AU47" i="1"/>
  <c r="AS47" i="1"/>
  <c r="AR47" i="1"/>
  <c r="AU46" i="1"/>
  <c r="AS46" i="1"/>
  <c r="AR46" i="1"/>
  <c r="AU45" i="1"/>
  <c r="AS45" i="1"/>
  <c r="AR45" i="1"/>
  <c r="AU44" i="1"/>
  <c r="AS44" i="1"/>
  <c r="AR44" i="1"/>
  <c r="AU43" i="1"/>
  <c r="AS43" i="1"/>
  <c r="AR43" i="1"/>
  <c r="AU42" i="1"/>
  <c r="AS42" i="1"/>
  <c r="AR42" i="1"/>
  <c r="AU41" i="1"/>
  <c r="AS41" i="1"/>
  <c r="AR41" i="1"/>
  <c r="AU40" i="1"/>
  <c r="AS40" i="1"/>
  <c r="AR15" i="1"/>
  <c r="AU22" i="1"/>
  <c r="AS22" i="1"/>
  <c r="AR22" i="1"/>
  <c r="AU21" i="1"/>
  <c r="AS21" i="1"/>
  <c r="AR21" i="1"/>
  <c r="AU20" i="1"/>
  <c r="AS20" i="1"/>
  <c r="AR20" i="1"/>
  <c r="AU19" i="1"/>
  <c r="AS19" i="1"/>
  <c r="AR19" i="1"/>
  <c r="AU18" i="1"/>
  <c r="AS18" i="1"/>
  <c r="AR18" i="1"/>
  <c r="AU17" i="1"/>
  <c r="AS17" i="1"/>
  <c r="AR17" i="1"/>
  <c r="AU16" i="1"/>
  <c r="AS16" i="1"/>
  <c r="AR16" i="1"/>
  <c r="AU15" i="1"/>
  <c r="AS15" i="1"/>
  <c r="CD33" i="1" l="1"/>
  <c r="CD29" i="1"/>
  <c r="CD32" i="1"/>
  <c r="DO26" i="1"/>
  <c r="CD26" i="1"/>
  <c r="CD34" i="1"/>
  <c r="CD28" i="1"/>
  <c r="CD36" i="1"/>
  <c r="CD27" i="1"/>
  <c r="CD35" i="1"/>
  <c r="EZ26" i="1"/>
  <c r="CD30" i="1"/>
  <c r="GK26" i="1"/>
  <c r="CD31" i="1"/>
  <c r="CA22" i="1"/>
  <c r="CA47" i="1"/>
  <c r="EW5" i="1"/>
  <c r="CA43" i="1"/>
  <c r="GH4" i="1"/>
  <c r="GH8" i="1"/>
  <c r="EW11" i="1"/>
  <c r="CA8" i="1"/>
  <c r="CA19" i="1"/>
  <c r="CA41" i="1"/>
  <c r="DO28" i="1"/>
  <c r="DO36" i="1"/>
  <c r="DL47" i="1"/>
  <c r="EW15" i="1"/>
  <c r="EW40" i="1"/>
  <c r="EZ34" i="1"/>
  <c r="GH9" i="1"/>
  <c r="GH20" i="1"/>
  <c r="GK31" i="1"/>
  <c r="GH42" i="1"/>
  <c r="CA42" i="1"/>
  <c r="DO29" i="1"/>
  <c r="DL40" i="1"/>
  <c r="EW16" i="1"/>
  <c r="EW41" i="1"/>
  <c r="EZ27" i="1"/>
  <c r="EZ35" i="1"/>
  <c r="GH10" i="1"/>
  <c r="GH21" i="1"/>
  <c r="GK32" i="1"/>
  <c r="GH43" i="1"/>
  <c r="DO30" i="1"/>
  <c r="DL41" i="1"/>
  <c r="EW6" i="1"/>
  <c r="EW17" i="1"/>
  <c r="EW42" i="1"/>
  <c r="EZ28" i="1"/>
  <c r="EZ36" i="1"/>
  <c r="GH11" i="1"/>
  <c r="GH22" i="1"/>
  <c r="GK33" i="1"/>
  <c r="GH44" i="1"/>
  <c r="CA11" i="1"/>
  <c r="DO31" i="1"/>
  <c r="DL42" i="1"/>
  <c r="EW7" i="1"/>
  <c r="EW18" i="1"/>
  <c r="EW43" i="1"/>
  <c r="EZ29" i="1"/>
  <c r="GH15" i="1"/>
  <c r="GK34" i="1"/>
  <c r="GH45" i="1"/>
  <c r="DO32" i="1"/>
  <c r="DL43" i="1"/>
  <c r="EW19" i="1"/>
  <c r="EW44" i="1"/>
  <c r="EZ30" i="1"/>
  <c r="GH5" i="1"/>
  <c r="GH16" i="1"/>
  <c r="GK27" i="1"/>
  <c r="GK35" i="1"/>
  <c r="GH46" i="1"/>
  <c r="CA46" i="1"/>
  <c r="DO33" i="1"/>
  <c r="DL44" i="1"/>
  <c r="EW9" i="1"/>
  <c r="EW20" i="1"/>
  <c r="EW45" i="1"/>
  <c r="EZ31" i="1"/>
  <c r="GH6" i="1"/>
  <c r="GH17" i="1"/>
  <c r="GK28" i="1"/>
  <c r="GK36" i="1"/>
  <c r="GH47" i="1"/>
  <c r="DO34" i="1"/>
  <c r="DL45" i="1"/>
  <c r="EW10" i="1"/>
  <c r="EW21" i="1"/>
  <c r="EW46" i="1"/>
  <c r="EZ32" i="1"/>
  <c r="GH7" i="1"/>
  <c r="GH18" i="1"/>
  <c r="GK29" i="1"/>
  <c r="GH40" i="1"/>
  <c r="CA7" i="1"/>
  <c r="CA18" i="1"/>
  <c r="CA40" i="1"/>
  <c r="DL11" i="1"/>
  <c r="DO27" i="1"/>
  <c r="DO35" i="1"/>
  <c r="DL46" i="1"/>
  <c r="EW22" i="1"/>
  <c r="EW47" i="1"/>
  <c r="GH19" i="1"/>
  <c r="GK30" i="1"/>
  <c r="GH41" i="1"/>
  <c r="EW4" i="1"/>
  <c r="EZ33" i="1"/>
  <c r="CA4" i="1"/>
  <c r="CA16" i="1"/>
  <c r="CA21" i="1"/>
  <c r="CA5" i="1"/>
  <c r="CA44" i="1"/>
  <c r="CA6" i="1"/>
  <c r="CA17" i="1"/>
  <c r="EW8" i="1"/>
  <c r="CA20" i="1"/>
  <c r="CA15" i="1"/>
  <c r="CA9" i="1"/>
  <c r="CA45" i="1"/>
  <c r="CA10" i="1"/>
  <c r="AU11" i="1"/>
  <c r="AR5" i="1"/>
  <c r="AS5" i="1"/>
  <c r="AU5" i="1"/>
  <c r="AR6" i="1"/>
  <c r="AS6" i="1"/>
  <c r="AU6" i="1"/>
  <c r="AR7" i="1"/>
  <c r="AS7" i="1"/>
  <c r="AU7" i="1"/>
  <c r="AR8" i="1"/>
  <c r="AS8" i="1"/>
  <c r="AU8" i="1"/>
  <c r="AR9" i="1"/>
  <c r="AS9" i="1"/>
  <c r="AU9" i="1"/>
  <c r="AR10" i="1"/>
  <c r="AS10" i="1"/>
  <c r="AU10" i="1"/>
  <c r="AR11" i="1"/>
  <c r="AS11" i="1"/>
  <c r="AS4" i="1"/>
  <c r="AU4" i="1"/>
  <c r="AR4" i="1"/>
  <c r="D4" i="1" l="1"/>
  <c r="AT4" i="1" s="1"/>
  <c r="D5" i="1"/>
  <c r="AT5" i="1" s="1"/>
  <c r="D6" i="1"/>
  <c r="AT6" i="1" s="1"/>
  <c r="D7" i="1"/>
  <c r="AT7" i="1" s="1"/>
  <c r="D8" i="1"/>
  <c r="AT8" i="1" s="1"/>
  <c r="D9" i="1"/>
  <c r="AT9" i="1" s="1"/>
  <c r="D10" i="1"/>
  <c r="AT10" i="1" s="1"/>
  <c r="D11" i="1"/>
  <c r="AT11" i="1" s="1"/>
  <c r="D15" i="1"/>
  <c r="AT15" i="1" s="1"/>
  <c r="D16" i="1"/>
  <c r="AT16" i="1" s="1"/>
  <c r="D17" i="1"/>
  <c r="AT17" i="1" s="1"/>
  <c r="D18" i="1"/>
  <c r="AT18" i="1" s="1"/>
  <c r="D19" i="1"/>
  <c r="AT19" i="1" s="1"/>
  <c r="D20" i="1"/>
  <c r="AT20" i="1" s="1"/>
  <c r="D21" i="1"/>
  <c r="AT21" i="1" s="1"/>
  <c r="D22" i="1"/>
  <c r="AT22" i="1" s="1"/>
  <c r="D47" i="1" l="1"/>
  <c r="AT47" i="1" s="1"/>
  <c r="D46" i="1"/>
  <c r="AT46" i="1" s="1"/>
  <c r="D45" i="1"/>
  <c r="AT45" i="1" s="1"/>
  <c r="D44" i="1"/>
  <c r="AT44" i="1" s="1"/>
  <c r="D43" i="1"/>
  <c r="AT43" i="1" s="1"/>
  <c r="D42" i="1"/>
  <c r="AT42" i="1" s="1"/>
  <c r="D41" i="1"/>
  <c r="AT41" i="1" s="1"/>
  <c r="D40" i="1"/>
  <c r="AT40" i="1" s="1"/>
</calcChain>
</file>

<file path=xl/sharedStrings.xml><?xml version="1.0" encoding="utf-8"?>
<sst xmlns="http://schemas.openxmlformats.org/spreadsheetml/2006/main" count="2517" uniqueCount="991">
  <si>
    <t>Accuracy</t>
  </si>
  <si>
    <t>AUC</t>
  </si>
  <si>
    <t>Recall</t>
  </si>
  <si>
    <t>Kappa</t>
  </si>
  <si>
    <t>NB</t>
  </si>
  <si>
    <t>KNN</t>
  </si>
  <si>
    <t>DT</t>
  </si>
  <si>
    <t>RF</t>
  </si>
  <si>
    <t>SVM</t>
  </si>
  <si>
    <t>LR</t>
  </si>
  <si>
    <t>XGB</t>
  </si>
  <si>
    <t>MLP</t>
  </si>
  <si>
    <t>RMSE</t>
  </si>
  <si>
    <t>Linear</t>
  </si>
  <si>
    <t>Ridge</t>
  </si>
  <si>
    <t>LASSO</t>
  </si>
  <si>
    <t>SVR</t>
  </si>
  <si>
    <t>Elastic</t>
  </si>
  <si>
    <t>PLS</t>
  </si>
  <si>
    <t>MLPR</t>
  </si>
  <si>
    <t>MAE</t>
  </si>
  <si>
    <t>Severity,of,Complications</t>
  </si>
  <si>
    <t>Death,Within,1,Year</t>
  </si>
  <si>
    <t>Days,in,Intermediate,Care,Unit</t>
  </si>
  <si>
    <t>R,Squared</t>
  </si>
  <si>
    <t>0.24 ± 0.142</t>
  </si>
  <si>
    <t>0.615 ± 0.068</t>
  </si>
  <si>
    <t>0.71 ± 0.086</t>
  </si>
  <si>
    <t>0.643 ± 0.064</t>
  </si>
  <si>
    <t>0.197 ± 0.129</t>
  </si>
  <si>
    <t>0.5975 ± 0.064</t>
  </si>
  <si>
    <t>0.636 ± 0.078</t>
  </si>
  <si>
    <t>0.605 ± 0.064</t>
  </si>
  <si>
    <t>0.21 ± 0.110</t>
  </si>
  <si>
    <t>0.605 ± 0.055</t>
  </si>
  <si>
    <t>0.609 ± 0.054</t>
  </si>
  <si>
    <t>0.301 ± 0.130</t>
  </si>
  <si>
    <t>0.649 ± 0.065</t>
  </si>
  <si>
    <t>0.73 ± 0.067</t>
  </si>
  <si>
    <t>0.659 ± 0.061</t>
  </si>
  <si>
    <t>0.284 ± 0.089</t>
  </si>
  <si>
    <t>0.637 ± 0.043</t>
  </si>
  <si>
    <t>0.707 ± 0.067</t>
  </si>
  <si>
    <t>0.336 ± 0.128</t>
  </si>
  <si>
    <t>0.666 ± 0.063</t>
  </si>
  <si>
    <t>0.705 ± 0.073</t>
  </si>
  <si>
    <t>0.299 ± 0.137</t>
  </si>
  <si>
    <t>0.6485 ± 0.069</t>
  </si>
  <si>
    <t>0.708 ± 0.059</t>
  </si>
  <si>
    <t>0.221 ± 0.066</t>
  </si>
  <si>
    <t>0.6095 ± 0.032</t>
  </si>
  <si>
    <t>0.672 ± 0.036</t>
  </si>
  <si>
    <t>0.023 ± 0.016</t>
  </si>
  <si>
    <t xml:space="preserve">0.197 ± 0.064  </t>
  </si>
  <si>
    <t>0.587 ± 0.057</t>
  </si>
  <si>
    <t>0.073 ±  0.013</t>
  </si>
  <si>
    <t>0.122 ± 0.054</t>
  </si>
  <si>
    <t>0.167 ± 0.039</t>
  </si>
  <si>
    <t>0.589 ± 0.022</t>
  </si>
  <si>
    <t>0.519 ± 0.033</t>
  </si>
  <si>
    <t>0.094 ± 0.071</t>
  </si>
  <si>
    <t>0.178 ± 0.057</t>
  </si>
  <si>
    <t>0.53 ± 0.032</t>
  </si>
  <si>
    <t>0.402 ± 0.049</t>
  </si>
  <si>
    <t>0.145 ± 0.067</t>
  </si>
  <si>
    <t>0.159 ± 0.022</t>
  </si>
  <si>
    <t>0.627 ± 0.033</t>
  </si>
  <si>
    <t>0.539 ± 0.033</t>
  </si>
  <si>
    <t>0.021 ± 0.011</t>
  </si>
  <si>
    <t>0.112 ± 0.002</t>
  </si>
  <si>
    <t>0.626 ± 0.037</t>
  </si>
  <si>
    <t>0.533 ± 0.008</t>
  </si>
  <si>
    <t>0.152 ± 0.045</t>
  </si>
  <si>
    <t>0.154 ± 0.029</t>
  </si>
  <si>
    <t>0.645 ± 0.046</t>
  </si>
  <si>
    <t>0.521 ± 0.022</t>
  </si>
  <si>
    <t>0.135 ± 0.054</t>
  </si>
  <si>
    <t>0.168 ± 0.034</t>
  </si>
  <si>
    <t>0.634 ± 0.043</t>
  </si>
  <si>
    <t>0.523 ± 0.025</t>
  </si>
  <si>
    <t>0.158 ± 0.058</t>
  </si>
  <si>
    <t>0.179 ± 0.071</t>
  </si>
  <si>
    <t>0.622 ± 0.072</t>
  </si>
  <si>
    <t>0.492 ± 0.04</t>
  </si>
  <si>
    <t>DEFAULT</t>
  </si>
  <si>
    <t>LATEX (DEFAULT)</t>
  </si>
  <si>
    <t>RESAMPLING - IMPROVEMENT</t>
  </si>
  <si>
    <t>0.005 ± 0.062</t>
  </si>
  <si>
    <t>0.4965 ± 0.059</t>
  </si>
  <si>
    <t>0.515 ± 0.091</t>
  </si>
  <si>
    <t>0.255 ± 0.156</t>
  </si>
  <si>
    <t>0.138 ± 0.09</t>
  </si>
  <si>
    <t>0.5535 ± 0.038</t>
  </si>
  <si>
    <t>0.681 ± 0.063</t>
  </si>
  <si>
    <t>0.807 ± 0.028</t>
  </si>
  <si>
    <t>0.173 ± 0.127</t>
  </si>
  <si>
    <t>0.5875 ± 0.064</t>
  </si>
  <si>
    <t>0.587 ± 0.064</t>
  </si>
  <si>
    <t>0.748 ± 0.051</t>
  </si>
  <si>
    <t>0.168 ± 0.16</t>
  </si>
  <si>
    <t>0.561 ± 0.059</t>
  </si>
  <si>
    <t>0.77 ± 0.072</t>
  </si>
  <si>
    <t>0.831 ± 0.028</t>
  </si>
  <si>
    <t>0 ± 0</t>
  </si>
  <si>
    <t>0.5 ± 0</t>
  </si>
  <si>
    <t>0.706 ± 0.127</t>
  </si>
  <si>
    <t>0.819 ± 0.004</t>
  </si>
  <si>
    <t>0.223 ± 0.131</t>
  </si>
  <si>
    <t>0.5955 ± 0.058</t>
  </si>
  <si>
    <t>0.734 ± 0.093</t>
  </si>
  <si>
    <t>0.809 ± 0.031</t>
  </si>
  <si>
    <t>0.242 ± 0.162</t>
  </si>
  <si>
    <t>0.5915 ± 0.063</t>
  </si>
  <si>
    <t>0.729 ± 0.086</t>
  </si>
  <si>
    <t>0.83 ± 0.04</t>
  </si>
  <si>
    <t>0.197 ± 0.107</t>
  </si>
  <si>
    <t>0.5905 ± 0.052</t>
  </si>
  <si>
    <t>0.719 ± 0.091</t>
  </si>
  <si>
    <t>0.792 ± 0.025</t>
  </si>
  <si>
    <t>Difference</t>
  </si>
  <si>
    <t>NORMALIZATION - IMPROVEMENT</t>
  </si>
  <si>
    <t>OPT No_Selection - IMPROVEMENT</t>
  </si>
  <si>
    <t>OPT 0.1 - IMPROVEMENT</t>
  </si>
  <si>
    <t>OPT 0.0001 - IMPROVEMENT</t>
  </si>
  <si>
    <t>1.391 ± 0.156</t>
  </si>
  <si>
    <t>1.363 ± 0.163</t>
  </si>
  <si>
    <t>1.316 ± 0.138</t>
  </si>
  <si>
    <t>1.195 ± 0.193</t>
  </si>
  <si>
    <t>1.311 ± 0.141</t>
  </si>
  <si>
    <t>1.34 ± 0.149</t>
  </si>
  <si>
    <t>1.521 ± 0.155</t>
  </si>
  <si>
    <t>1.29 ± 0.120</t>
  </si>
  <si>
    <t>1.304 ± 0.146</t>
  </si>
  <si>
    <t>1.289 ± 0.134</t>
  </si>
  <si>
    <t>1.353 ± 0.149</t>
  </si>
  <si>
    <t>1.799 ± 0.215</t>
  </si>
  <si>
    <t>1.763 ± 0.228</t>
  </si>
  <si>
    <t>1.66 ± 0.222</t>
  </si>
  <si>
    <t>1.743 ± 0.305</t>
  </si>
  <si>
    <t>1.658 ± 0.229</t>
  </si>
  <si>
    <t>1.776 ± 0.280</t>
  </si>
  <si>
    <t>2.293 ± 0.186</t>
  </si>
  <si>
    <t>1.673 ± 0.180</t>
  </si>
  <si>
    <t>1.697 ± 0.206</t>
  </si>
  <si>
    <t>1.645 ± 0.208</t>
  </si>
  <si>
    <t>1.804 ± 0.235</t>
  </si>
  <si>
    <t>0.085 ± 0.142</t>
  </si>
  <si>
    <t>0.125 ± 0.113</t>
  </si>
  <si>
    <t>0.221 ± 0.133</t>
  </si>
  <si>
    <t>0.138 ± 0.213</t>
  </si>
  <si>
    <t>0.222 ± 0.142</t>
  </si>
  <si>
    <t>0.111 ± 0.165</t>
  </si>
  <si>
    <t>-0.509 ± 0.294</t>
  </si>
  <si>
    <t>0.202 ± 0.154</t>
  </si>
  <si>
    <t>0.185 ± 0.125</t>
  </si>
  <si>
    <t>0.233 ± 0.131</t>
  </si>
  <si>
    <t>0.076 ± 0.171</t>
  </si>
  <si>
    <t>0.325 ± 0.051</t>
  </si>
  <si>
    <t>0.337 ± 0.054</t>
  </si>
  <si>
    <t>0.295 ± 0.041</t>
  </si>
  <si>
    <t>0.472 ± 0.046</t>
  </si>
  <si>
    <t>0.297 ± 0.040</t>
  </si>
  <si>
    <t>0.366 ± 0.047</t>
  </si>
  <si>
    <t>0.432 ± 0.041</t>
  </si>
  <si>
    <t>0.334 ± 0.045</t>
  </si>
  <si>
    <t>0.35 ± 0.043</t>
  </si>
  <si>
    <t>0.342 ± 0.041</t>
  </si>
  <si>
    <t>0.368 ± 0.044</t>
  </si>
  <si>
    <t>0.086 ± 0.040</t>
  </si>
  <si>
    <t>0.101 ± 0.042</t>
  </si>
  <si>
    <t>0.092 ± 0.055</t>
  </si>
  <si>
    <t>0.121 ± 0.057</t>
  </si>
  <si>
    <t>0.089 ± 0.058</t>
  </si>
  <si>
    <t>0.113 ± 0.052</t>
  </si>
  <si>
    <t>0.105 ± 0.069</t>
  </si>
  <si>
    <t>0.113 ± 0.045</t>
  </si>
  <si>
    <t>0.12 ± 0.041</t>
  </si>
  <si>
    <t>0.118 ± 0.051</t>
  </si>
  <si>
    <t>0.118 ± 0.044</t>
  </si>
  <si>
    <t>0.149 ± 0.063</t>
  </si>
  <si>
    <t>0.17 ± 0.078</t>
  </si>
  <si>
    <t>0.120 ± 0.060</t>
  </si>
  <si>
    <t>0.140 ± 0.060</t>
  </si>
  <si>
    <t>0.134 ± 0.087</t>
  </si>
  <si>
    <t>0.169 ± 0.076</t>
  </si>
  <si>
    <t>0.177 ± 0.041</t>
  </si>
  <si>
    <t>0.154 ± 0.080</t>
  </si>
  <si>
    <t>0.151 ± 0.054</t>
  </si>
  <si>
    <t>0.165 ± 0.093</t>
  </si>
  <si>
    <t>0.191 ± 0.068</t>
  </si>
  <si>
    <t>1.279 ± 0.162</t>
  </si>
  <si>
    <t>1.154 ± 0.142</t>
  </si>
  <si>
    <t>1.092 ± 0.171</t>
  </si>
  <si>
    <t>0.947 ± 0.161</t>
  </si>
  <si>
    <t>1.063 ± 0.142</t>
  </si>
  <si>
    <t>1.409 ± 0.161</t>
  </si>
  <si>
    <t>1.09 ± 0.148</t>
  </si>
  <si>
    <t>1.078 ± 0.161</t>
  </si>
  <si>
    <t>1.056 ± 0.141</t>
  </si>
  <si>
    <t>1.259 ± 0.119</t>
  </si>
  <si>
    <t>2.101 ± 0.409</t>
  </si>
  <si>
    <t>1.836 ± 0.322</t>
  </si>
  <si>
    <t>1.785 ± 0.459</t>
  </si>
  <si>
    <t>1.76 ± 0.452</t>
  </si>
  <si>
    <t>1.834 ± 0.375</t>
  </si>
  <si>
    <t>2.617 ± 0.331</t>
  </si>
  <si>
    <t>1.81 ± 0.398</t>
  </si>
  <si>
    <t>1.801 ± 0.411</t>
  </si>
  <si>
    <t>1.742 ± 0.396</t>
  </si>
  <si>
    <t>1.97 ± 0.280</t>
  </si>
  <si>
    <t>-0.611 ± 1.004</t>
  </si>
  <si>
    <t>-0.115 ± 0.199</t>
  </si>
  <si>
    <t>-0.009 ± 0.007</t>
  </si>
  <si>
    <t>0.018 ± 0.050</t>
  </si>
  <si>
    <t>-0.103 ± 0.197</t>
  </si>
  <si>
    <t>-1.415 ± 1.025</t>
  </si>
  <si>
    <t>-0.088 ± 0.294</t>
  </si>
  <si>
    <t>-0.075 ± 0.302</t>
  </si>
  <si>
    <t>0.026 ± 0.068</t>
  </si>
  <si>
    <t>-0.322 ± 0.372</t>
  </si>
  <si>
    <r>
      <t>R</t>
    </r>
    <r>
      <rPr>
        <vertAlign val="superscript"/>
        <sz val="10"/>
        <color theme="1"/>
        <rFont val="Arial"/>
        <family val="2"/>
      </rPr>
      <t>2</t>
    </r>
  </si>
  <si>
    <t>0.616 ± 0.039</t>
  </si>
  <si>
    <t>0.656 ± 0.065</t>
  </si>
  <si>
    <t>0.676 ± 0.063</t>
  </si>
  <si>
    <t>0.657 ± 0.043</t>
  </si>
  <si>
    <t>Existence.of.Complications</t>
  </si>
  <si>
    <t>0.643</t>
  </si>
  <si>
    <t>0.71</t>
  </si>
  <si>
    <t>0.655 ± 0.067</t>
  </si>
  <si>
    <t>0.71 ± 0.072</t>
  </si>
  <si>
    <t>0.628 ± 0.071</t>
  </si>
  <si>
    <t>0.267 ± 0.148</t>
  </si>
  <si>
    <t>0.666 ± 0.034</t>
  </si>
  <si>
    <t>0.702 ± 0.066</t>
  </si>
  <si>
    <t>0.649 ± 0.037</t>
  </si>
  <si>
    <t>0.306 ± 0.074</t>
  </si>
  <si>
    <t>0.649 ± 0.057</t>
  </si>
  <si>
    <t>0.696 ± 0.056</t>
  </si>
  <si>
    <t>0.645 ± 0.062</t>
  </si>
  <si>
    <t>0.289 ± 0.122</t>
  </si>
  <si>
    <t>0.648 ± 0.064</t>
  </si>
  <si>
    <t>0.688 ± 0.068</t>
  </si>
  <si>
    <t>0.687 ± 0.087</t>
  </si>
  <si>
    <t>0.668 ± 0.063</t>
  </si>
  <si>
    <t>0.677 ± 0.072</t>
  </si>
  <si>
    <t>0.729 ± 0.192</t>
  </si>
  <si>
    <t>0.657 ± 0.055</t>
  </si>
  <si>
    <t>0.619 ± 0.064</t>
  </si>
  <si>
    <t>0.669 ± 0.058</t>
  </si>
  <si>
    <t>0.599 ± 0.04</t>
  </si>
  <si>
    <t>0.618 ± 0.107</t>
  </si>
  <si>
    <t>0.738 ± 0.054</t>
  </si>
  <si>
    <t>0.592 ± 0.037</t>
  </si>
  <si>
    <t>0.714 ± 0.064</t>
  </si>
  <si>
    <t>0.732 ± 0.076</t>
  </si>
  <si>
    <t>0.729 ± 0.076</t>
  </si>
  <si>
    <t>0.711 ± 0.07</t>
  </si>
  <si>
    <t>0.704 ± 0.083</t>
  </si>
  <si>
    <t>0.694 ± 0.105</t>
  </si>
  <si>
    <t>0.721 ± 0.065</t>
  </si>
  <si>
    <t>0.683 ± 0.076</t>
  </si>
  <si>
    <t>0.762 ± 0.081</t>
  </si>
  <si>
    <t>0.743 ± 0.077</t>
  </si>
  <si>
    <t>0.746 ± 0.08</t>
  </si>
  <si>
    <t>0.744 ± 0.047</t>
  </si>
  <si>
    <t>0.739 ± 0.072</t>
  </si>
  <si>
    <t>0.647 ± 0.068</t>
  </si>
  <si>
    <t>0.682 ± 0.07</t>
  </si>
  <si>
    <t>0.682 ± 0.089</t>
  </si>
  <si>
    <t>0.665 ± 0.063</t>
  </si>
  <si>
    <t>0.674 ± 0.072</t>
  </si>
  <si>
    <t>0.546 ± 0.098</t>
  </si>
  <si>
    <t>0.671 ± 0.083</t>
  </si>
  <si>
    <t>0.624 ± 0.049</t>
  </si>
  <si>
    <t>0.696 ± 0.068</t>
  </si>
  <si>
    <t>0.681 ± 0.048</t>
  </si>
  <si>
    <t>0.697 ± 0.065</t>
  </si>
  <si>
    <t>0.694 ± 0.075</t>
  </si>
  <si>
    <t>0.659 ± 0.053</t>
  </si>
  <si>
    <t>0.291 ± 0.133</t>
  </si>
  <si>
    <t>0.366 ± 0.141</t>
  </si>
  <si>
    <t>0.364 ± 0.178</t>
  </si>
  <si>
    <t>0.33 ± 0.126</t>
  </si>
  <si>
    <t>0.348 ± 0.144</t>
  </si>
  <si>
    <t>0.089 ± 0.156</t>
  </si>
  <si>
    <t>0.228 ± 0.11</t>
  </si>
  <si>
    <t>0.163 ± 0.065</t>
  </si>
  <si>
    <t>0.261 ± 0.095</t>
  </si>
  <si>
    <t>0.21 ± 0.05</t>
  </si>
  <si>
    <t>0.236 ± 0.081</t>
  </si>
  <si>
    <t>0.305 ± 0.069</t>
  </si>
  <si>
    <t>0.185 ± 0.053</t>
  </si>
  <si>
    <t>0.112 ± 0.072</t>
  </si>
  <si>
    <t>0.177 ± 0.047</t>
  </si>
  <si>
    <t>0.625 ± 0.051</t>
  </si>
  <si>
    <t>0.407 ± 0.075</t>
  </si>
  <si>
    <t>0.034 ± 0.034</t>
  </si>
  <si>
    <t>0.206 ± 0.082</t>
  </si>
  <si>
    <t>0.581 ± 0.061</t>
  </si>
  <si>
    <t>0.106 ± 0.041</t>
  </si>
  <si>
    <t>0.038 ± 0.018</t>
  </si>
  <si>
    <t>0.247 ± 0.047</t>
  </si>
  <si>
    <t>0.638 ± 0.058</t>
  </si>
  <si>
    <t>0.083 ± 0.022</t>
  </si>
  <si>
    <t>0.029 ± 0.020</t>
  </si>
  <si>
    <t>0.219 ± 0.069</t>
  </si>
  <si>
    <t>0.652 ± 0.035</t>
  </si>
  <si>
    <t>0.066 ± 0.019</t>
  </si>
  <si>
    <t>0.05 ± 0.054</t>
  </si>
  <si>
    <t>0.239 ± 0.118</t>
  </si>
  <si>
    <t>0.612 ± 0.068</t>
  </si>
  <si>
    <t>0.133 ± 0.055</t>
  </si>
  <si>
    <t>0.04 ± 0.030</t>
  </si>
  <si>
    <t>0.248 ± 0.081</t>
  </si>
  <si>
    <t>0.661 ± 0.066</t>
  </si>
  <si>
    <t>0.095 ± 0.031</t>
  </si>
  <si>
    <t>0.04 ± 0.032</t>
  </si>
  <si>
    <t>0.262 ± 0.060</t>
  </si>
  <si>
    <t>0.095 ± 0.03</t>
  </si>
  <si>
    <t>0.034 ± 0.042</t>
  </si>
  <si>
    <t>0.200 ± 0.105</t>
  </si>
  <si>
    <t>0.636 ± 0.066</t>
  </si>
  <si>
    <t>0.306 ± 0.110</t>
  </si>
  <si>
    <t>0.651 ± 0.056</t>
  </si>
  <si>
    <t>0.703 ± 0.066</t>
  </si>
  <si>
    <t>0.662 ± 0.051</t>
  </si>
  <si>
    <t>0.279 ± 0.106</t>
  </si>
  <si>
    <t>0.638 ± 0.053</t>
  </si>
  <si>
    <t>0.694 ± 0.074</t>
  </si>
  <si>
    <t>0.646 ± 0.049</t>
  </si>
  <si>
    <t>0.31 ± 0.131</t>
  </si>
  <si>
    <t>0.657 ± 0.067</t>
  </si>
  <si>
    <t>0.696 ± 0.078</t>
  </si>
  <si>
    <t>0.654 ± 0.063</t>
  </si>
  <si>
    <t>0.283 ± 0.136</t>
  </si>
  <si>
    <t>0.644 ± 0.070</t>
  </si>
  <si>
    <t>0.697 ± 0.068</t>
  </si>
  <si>
    <t>0.642 ± 0.066</t>
  </si>
  <si>
    <t>0.31 ± 0.144</t>
  </si>
  <si>
    <t>0.654 ± 0.072</t>
  </si>
  <si>
    <t>0.702 ± 0.07</t>
  </si>
  <si>
    <t>0.661 ± 0.069</t>
  </si>
  <si>
    <t>0.306 ± 0.136</t>
  </si>
  <si>
    <t>0.654 ± 0.069</t>
  </si>
  <si>
    <t>0.705 ± 0.065</t>
  </si>
  <si>
    <t>0.282 ± 0.099</t>
  </si>
  <si>
    <t>0.642 ± 0.050</t>
  </si>
  <si>
    <t>0.695 ± 0.070</t>
  </si>
  <si>
    <t>0.645 ± 0.048</t>
  </si>
  <si>
    <t>0.297 ± 0.113</t>
  </si>
  <si>
    <t>0.645 ± 0.061</t>
  </si>
  <si>
    <t>0.601  ± 0.076</t>
  </si>
  <si>
    <t>0.62 ± 0.060</t>
  </si>
  <si>
    <t>0.646 ± 0.059</t>
  </si>
  <si>
    <t>0.652 ± 0.052</t>
  </si>
  <si>
    <t>0.645 ± 0.068</t>
  </si>
  <si>
    <t>0.646 ± 0.066</t>
  </si>
  <si>
    <t>0.711 ± 0.078</t>
  </si>
  <si>
    <t>0.647  ± 0.087</t>
  </si>
  <si>
    <t>0.708 ± 0.069</t>
  </si>
  <si>
    <t>0.695 ± 0.066</t>
  </si>
  <si>
    <t>0.685 ± 0.067</t>
  </si>
  <si>
    <t>0.705 ± 0.069</t>
  </si>
  <si>
    <t>0.698 ± 0.066</t>
  </si>
  <si>
    <t>0.641  ± 0.07</t>
  </si>
  <si>
    <t>0.604  ± 0.076</t>
  </si>
  <si>
    <t>0.620 ± 0.060</t>
  </si>
  <si>
    <t>0.648 ± 0.060</t>
  </si>
  <si>
    <t>0.641 ± 0.063</t>
  </si>
  <si>
    <t>0.651 ± 0.053</t>
  </si>
  <si>
    <t>0.646 ± 0.070</t>
  </si>
  <si>
    <t>0.6455 ± 0.064</t>
  </si>
  <si>
    <t>0.293  ± 0.144</t>
  </si>
  <si>
    <t>0.205 ± 0.152</t>
  </si>
  <si>
    <t>0.238 ± 0.118</t>
  </si>
  <si>
    <t>0.293 ± 0.118</t>
  </si>
  <si>
    <t>0.283 ± 0.124</t>
  </si>
  <si>
    <t>0.3 ± 0.106</t>
  </si>
  <si>
    <t>0.289 ± 0.138</t>
  </si>
  <si>
    <t>0.29 ± 0.129</t>
  </si>
  <si>
    <t>0.664 ± 0.067</t>
  </si>
  <si>
    <t>0.115 ± 0.024</t>
  </si>
  <si>
    <t>0.189 ± 0.058</t>
  </si>
  <si>
    <t>0.213 ± 0.039</t>
  </si>
  <si>
    <t>0.085 ± 0.044</t>
  </si>
  <si>
    <t>0.111 ± 0.041</t>
  </si>
  <si>
    <t>0.218 ± 0.037</t>
  </si>
  <si>
    <t>0.215 ± 0.044</t>
  </si>
  <si>
    <t>0.584 ± 0.061</t>
  </si>
  <si>
    <t>0.562 ± 0.058</t>
  </si>
  <si>
    <t>0.535 ± 0.043</t>
  </si>
  <si>
    <t>0.648 ± 0.057</t>
  </si>
  <si>
    <t>0.637 ± 0.066</t>
  </si>
  <si>
    <t>0.640 ± 0.069</t>
  </si>
  <si>
    <t>0.627 ± 0.063</t>
  </si>
  <si>
    <t>0.633 ± 0.070</t>
  </si>
  <si>
    <t>0.197 ± 0.073</t>
  </si>
  <si>
    <t>0.187 ± 0.081</t>
  </si>
  <si>
    <t>0.186 ± 0.075</t>
  </si>
  <si>
    <t>0.205 ± 0.074</t>
  </si>
  <si>
    <t>0.234 ± 0.068</t>
  </si>
  <si>
    <t>0.239 ± 0.082</t>
  </si>
  <si>
    <t>0.208 ± 0.074</t>
  </si>
  <si>
    <t>0.222 ± 0.075</t>
  </si>
  <si>
    <t>0.096 ± 0.065</t>
  </si>
  <si>
    <t>0.0260 ± 0.032</t>
  </si>
  <si>
    <t>0.050 ± 0.063</t>
  </si>
  <si>
    <t>0.073 ± 0.046</t>
  </si>
  <si>
    <t>0.038 ± 0.038</t>
  </si>
  <si>
    <t>0.032 ± 0.036</t>
  </si>
  <si>
    <t>0.076 ± 0.040</t>
  </si>
  <si>
    <t>0.069 ± 0.036</t>
  </si>
  <si>
    <t>0.326 ± 0.115</t>
  </si>
  <si>
    <t>0.526 ± 0.041</t>
  </si>
  <si>
    <t>0.683 ± 0.046</t>
  </si>
  <si>
    <t>0.742 ± 0.034</t>
  </si>
  <si>
    <t>0.457 ± 0.046</t>
  </si>
  <si>
    <t>0.625 ± 0.048</t>
  </si>
  <si>
    <t>0.763 ± 0.041</t>
  </si>
  <si>
    <t>0.696 ± 0.077</t>
  </si>
  <si>
    <t>0.646 ± 0.117</t>
  </si>
  <si>
    <t>0.685 ± 0.045</t>
  </si>
  <si>
    <t>0.632 ± 0.085</t>
  </si>
  <si>
    <t>0.755 ± 0.084</t>
  </si>
  <si>
    <t>0.709 ± 0.069</t>
  </si>
  <si>
    <t>0.731 ± 0.076</t>
  </si>
  <si>
    <t>0.752 ± 0.072</t>
  </si>
  <si>
    <t>0.728 ± 0.091</t>
  </si>
  <si>
    <t>0.536 ± 0.090</t>
  </si>
  <si>
    <t>0.626 ± 0.058</t>
  </si>
  <si>
    <t>0.671 ± 0.067</t>
  </si>
  <si>
    <t>0.628 ± 0.059</t>
  </si>
  <si>
    <t>0.672 ± 0.069</t>
  </si>
  <si>
    <t>0.676 ± 0.068</t>
  </si>
  <si>
    <t>0.684 ± 0.092</t>
  </si>
  <si>
    <t>0.084 ± 0.131</t>
  </si>
  <si>
    <t>0.136 ± 0.063</t>
  </si>
  <si>
    <t>0.195 ± 0.117</t>
  </si>
  <si>
    <t>0.278 ± 0.092</t>
  </si>
  <si>
    <t>0.123 ± 0.056</t>
  </si>
  <si>
    <t>0.213 ± 0.087</t>
  </si>
  <si>
    <t>0.303 ± 0.106</t>
  </si>
  <si>
    <t>0.269 ± 0.140</t>
  </si>
  <si>
    <t>0.709 ± 0.193</t>
  </si>
  <si>
    <t>0.628 ± 0.049</t>
  </si>
  <si>
    <t>0.625 ± 0.053</t>
  </si>
  <si>
    <t>0.638 ± 0.064</t>
  </si>
  <si>
    <t>0.662 ± 0.053</t>
  </si>
  <si>
    <t>0.655 ± 0.052</t>
  </si>
  <si>
    <t>0.66 ± 0.059</t>
  </si>
  <si>
    <t>0.707 ± 0.079</t>
  </si>
  <si>
    <t>0.688 ± 0.053</t>
  </si>
  <si>
    <t>0.626 ± 0.053</t>
  </si>
  <si>
    <t>0.711 ± 0.067</t>
  </si>
  <si>
    <t>0.72 ± 0.066</t>
  </si>
  <si>
    <t>0.708 ± 0.070</t>
  </si>
  <si>
    <t>0.707 ± 0.063</t>
  </si>
  <si>
    <t>0.622 ± 0.075</t>
  </si>
  <si>
    <t>0.636 ± 0.05</t>
  </si>
  <si>
    <t>0.640 ± 0.066</t>
  </si>
  <si>
    <t>0.659 ± 0.054</t>
  </si>
  <si>
    <t>0.652 ± 0.053</t>
  </si>
  <si>
    <t>0.659 ± 0.058</t>
  </si>
  <si>
    <t>0.254 ± 0.157</t>
  </si>
  <si>
    <t>0.265 ± 0.098</t>
  </si>
  <si>
    <t>0.249 ± 0.104</t>
  </si>
  <si>
    <t>0.276 ± 0.129</t>
  </si>
  <si>
    <t>0.318 ± 0.108</t>
  </si>
  <si>
    <t>0.304 ± 0.106</t>
  </si>
  <si>
    <t>0.316 ± 0.117</t>
  </si>
  <si>
    <t>0.648 ± 0.072</t>
  </si>
  <si>
    <t>0.109 ± 0.024</t>
  </si>
  <si>
    <t>0.194 ± 0.058</t>
  </si>
  <si>
    <t>0.203 ± 0.039</t>
  </si>
  <si>
    <t>0.174 ± 0.044</t>
  </si>
  <si>
    <t>0.158 ± 0.041</t>
  </si>
  <si>
    <t>0.213 ± 0.037</t>
  </si>
  <si>
    <t>0.189 ± 0.044</t>
  </si>
  <si>
    <t>0.58 ± 0.061</t>
  </si>
  <si>
    <t>0.555 ± 0.058</t>
  </si>
  <si>
    <t>0.653 ± 0.057</t>
  </si>
  <si>
    <t>0.62 ± 0.066</t>
  </si>
  <si>
    <t>0.625 ± 0.069</t>
  </si>
  <si>
    <t>0.622 ± 0.070</t>
  </si>
  <si>
    <t>0.192 ± 0.073</t>
  </si>
  <si>
    <t>0.177 ± 0.081</t>
  </si>
  <si>
    <t>0.210 ± 0.074</t>
  </si>
  <si>
    <t>0.207 ± 0.068</t>
  </si>
  <si>
    <t>0.178 ± 0.082</t>
  </si>
  <si>
    <t>0.199 ± 0.074</t>
  </si>
  <si>
    <t>0.162 ± 0.075</t>
  </si>
  <si>
    <t>0.088 ± 0.065</t>
  </si>
  <si>
    <t>0.024 ± 0.032</t>
  </si>
  <si>
    <t>0.051 ± 0.063</t>
  </si>
  <si>
    <t>0.068 ± 0.046</t>
  </si>
  <si>
    <t>0.05 ± 0.038</t>
  </si>
  <si>
    <t>0.031 ± 0.036</t>
  </si>
  <si>
    <t>0.072 ± 0.040</t>
  </si>
  <si>
    <t>0.316 ± 0.115</t>
  </si>
  <si>
    <t>0.462 ± 0.043</t>
  </si>
  <si>
    <t>0.696 ± 0.067</t>
  </si>
  <si>
    <t>0.739 ± 0.039</t>
  </si>
  <si>
    <t>0.669 ± 0.054</t>
  </si>
  <si>
    <t>0.634 ± 0.070</t>
  </si>
  <si>
    <t>0.7 ± 0.06</t>
  </si>
  <si>
    <t>0.645 ± 0.116</t>
  </si>
  <si>
    <t>0.686 ± 0.046</t>
  </si>
  <si>
    <t>0.648 ± 0.086</t>
  </si>
  <si>
    <t>0.75 ± 0.071</t>
  </si>
  <si>
    <t>0.732 ± 0.082</t>
  </si>
  <si>
    <t>0.723 ± 0.107</t>
  </si>
  <si>
    <t>0.703 ± 0.112</t>
  </si>
  <si>
    <t>0.645 ± 0.058</t>
  </si>
  <si>
    <t>0.603 ± 0.054</t>
  </si>
  <si>
    <t>0.666 ± 0.067</t>
  </si>
  <si>
    <t>0.670 ± 0.057</t>
  </si>
  <si>
    <t>0.652 ± 0.115</t>
  </si>
  <si>
    <t>0.655 ± 0.087</t>
  </si>
  <si>
    <t>0.03 ± 0.010</t>
  </si>
  <si>
    <t>0.101 ± 0.054</t>
  </si>
  <si>
    <t>0.228 ± 0.143</t>
  </si>
  <si>
    <t>0.271 ± 0.01</t>
  </si>
  <si>
    <t>0.235 ± 0.083</t>
  </si>
  <si>
    <t>0.197 ± 0.150</t>
  </si>
  <si>
    <t>0.234 ± 0.137</t>
  </si>
  <si>
    <t>0.668 ± 0.226</t>
  </si>
  <si>
    <t>0.644 ± 0.052</t>
  </si>
  <si>
    <t>0.657 ± 0.059</t>
  </si>
  <si>
    <t>0.65 ± 0.061</t>
  </si>
  <si>
    <t>0.68 ± 0.061</t>
  </si>
  <si>
    <t>0.67 ± 0.063</t>
  </si>
  <si>
    <t>0.651 ± 0.063</t>
  </si>
  <si>
    <t>0.66 ± 0.038</t>
  </si>
  <si>
    <t>0.686 ± 0.049</t>
  </si>
  <si>
    <t>0.716 ± 0.069</t>
  </si>
  <si>
    <t>0.722 ± 0.069</t>
  </si>
  <si>
    <t>0.704 ± 0.068</t>
  </si>
  <si>
    <t>0.715 ± 0.064</t>
  </si>
  <si>
    <t>0.645 ± 0.050</t>
  </si>
  <si>
    <t>0.658 ± 0.58</t>
  </si>
  <si>
    <t>0.677 ± 0.062</t>
  </si>
  <si>
    <t>0.667 ± 0.064</t>
  </si>
  <si>
    <t>0.653 ± 0.064</t>
  </si>
  <si>
    <t>0.664 ± 0.040</t>
  </si>
  <si>
    <t>0.287 ± 0.0100</t>
  </si>
  <si>
    <t>0.313 ± 0.115</t>
  </si>
  <si>
    <t>0.302 ± 0.124</t>
  </si>
  <si>
    <t>0.354 ± 0.123</t>
  </si>
  <si>
    <t>0.334 ± 0.127</t>
  </si>
  <si>
    <t>0.302 ± 0.126</t>
  </si>
  <si>
    <t>0.323 ± 0.078</t>
  </si>
  <si>
    <t>0.086 ± 0.024</t>
  </si>
  <si>
    <t>0.123 ± 0.044</t>
  </si>
  <si>
    <t>0.149 ± 0.049</t>
  </si>
  <si>
    <t>0.089 ± 0.027</t>
  </si>
  <si>
    <t>0.134 ± 0.041</t>
  </si>
  <si>
    <t>0.25 ± 0.037</t>
  </si>
  <si>
    <t>0.214 ± 0.07</t>
  </si>
  <si>
    <t>0.6 ± 0.068</t>
  </si>
  <si>
    <t>0.633 ± 0.062</t>
  </si>
  <si>
    <t>0.646 ± 0.06</t>
  </si>
  <si>
    <t>0.637 ± 0.052</t>
  </si>
  <si>
    <t>0.635 ± 0.068</t>
  </si>
  <si>
    <t>0.614 ± 0.062</t>
  </si>
  <si>
    <t>0.599 ± 0.07</t>
  </si>
  <si>
    <t>0.220 ± 0.084</t>
  </si>
  <si>
    <t>0.268 ± 0.096</t>
  </si>
  <si>
    <t>0.221 ± 0.092</t>
  </si>
  <si>
    <t>0.216 ± 0.091</t>
  </si>
  <si>
    <t>0.202 ± 0.098</t>
  </si>
  <si>
    <t>0.238 ± 0.071</t>
  </si>
  <si>
    <t>0.202 ± 0.09</t>
  </si>
  <si>
    <t>0.029 ± 0.027</t>
  </si>
  <si>
    <t>0.051 ± 0.047</t>
  </si>
  <si>
    <t>0.052 ± 0.049</t>
  </si>
  <si>
    <t>0.025 ± 0.026</t>
  </si>
  <si>
    <t>0.041 ± 0.037</t>
  </si>
  <si>
    <t>0.091 ± 0.039</t>
  </si>
  <si>
    <t>0.065 ± 0.063</t>
  </si>
  <si>
    <t>0.559 ± 0.029</t>
  </si>
  <si>
    <t>0.668 ± 0.055</t>
  </si>
  <si>
    <t>0.7 ± 0.041</t>
  </si>
  <si>
    <t>0.698 ± 0.051</t>
  </si>
  <si>
    <t>0.62 ± 0.052</t>
  </si>
  <si>
    <t>0.754 ± 0.036</t>
  </si>
  <si>
    <t>0.606 ± 0.096</t>
  </si>
  <si>
    <t>0.682 ± 0.045</t>
  </si>
  <si>
    <t>0.67 ± 0.077</t>
  </si>
  <si>
    <t>0.752 ± 0.085</t>
  </si>
  <si>
    <t>0.735 ± 0.085</t>
  </si>
  <si>
    <t>0.746 ± 0.087</t>
  </si>
  <si>
    <t>0.759 ± 0.085</t>
  </si>
  <si>
    <t>0.733 ± 0.107</t>
  </si>
  <si>
    <t>0.509 ± 0.058</t>
  </si>
  <si>
    <t>0.644 ± 0.048</t>
  </si>
  <si>
    <t>0.686 ± 0.064</t>
  </si>
  <si>
    <t>0.673 ± 0.083</t>
  </si>
  <si>
    <t>0.673 ± 0.082</t>
  </si>
  <si>
    <t>0.683 ± 0.059</t>
  </si>
  <si>
    <t>0.6465 ± 0.103</t>
  </si>
  <si>
    <t>0.03 ± 0.01</t>
  </si>
  <si>
    <t>0.161 ± 0.054</t>
  </si>
  <si>
    <t>0.23 ± 0.095</t>
  </si>
  <si>
    <t>0.267 ± 0.082</t>
  </si>
  <si>
    <t>0.25 ± 0.114</t>
  </si>
  <si>
    <t>0.212 ± 0.098</t>
  </si>
  <si>
    <t>0.305 ± 0.088</t>
  </si>
  <si>
    <t>0.186 ± 0.136</t>
  </si>
  <si>
    <t>0.241 ± 0.118</t>
  </si>
  <si>
    <t>0.647 ± 0.075</t>
  </si>
  <si>
    <t>0.702 ± 0.072</t>
  </si>
  <si>
    <t>0.728 ± 0.052</t>
  </si>
  <si>
    <t>0.728 ± 0.081</t>
  </si>
  <si>
    <t>0.65 ± 0.065</t>
  </si>
  <si>
    <t>0.686 ± 0.080</t>
  </si>
  <si>
    <t>0.628 ± 0.043</t>
  </si>
  <si>
    <t>0.24 ± 0.066</t>
  </si>
  <si>
    <t>0.683 ± 0.05</t>
  </si>
  <si>
    <t>0.702 ± 0.059</t>
  </si>
  <si>
    <t>0.653 ± 0.048</t>
  </si>
  <si>
    <t>0.209 ± 0.063</t>
  </si>
  <si>
    <t>0.667 ± 0.053</t>
  </si>
  <si>
    <t>0.721 ± 0.063</t>
  </si>
  <si>
    <t>0.63 ± 0.038</t>
  </si>
  <si>
    <t>0.184 ± 0.084</t>
  </si>
  <si>
    <t>0.712 ± 0.089</t>
  </si>
  <si>
    <t>0.574 ± 0.059</t>
  </si>
  <si>
    <t>0.174 ± 0.078</t>
  </si>
  <si>
    <t>0.650 ± 0.066</t>
  </si>
  <si>
    <t>0.712 ± 0.103</t>
  </si>
  <si>
    <t>0.577 ± 0.052</t>
  </si>
  <si>
    <t>0.282 ± 0.077</t>
  </si>
  <si>
    <t>0.689 ± 0.053</t>
  </si>
  <si>
    <t>0.7 ± 0.074</t>
  </si>
  <si>
    <t>0.716 ± 0.032</t>
  </si>
  <si>
    <t>0.173 ± 0.082</t>
  </si>
  <si>
    <t>0.65 ± 0.069</t>
  </si>
  <si>
    <t>0.718 ± 0.095</t>
  </si>
  <si>
    <t>0.574 ± 0.053</t>
  </si>
  <si>
    <t>0.148 ± 0.052</t>
  </si>
  <si>
    <t>0.232 ± 0.077</t>
  </si>
  <si>
    <t>0.645 ± 0.03</t>
  </si>
  <si>
    <t>0.395 ± 0.079</t>
  </si>
  <si>
    <t>0.045 ± 0.043</t>
  </si>
  <si>
    <t>0.230 ± 0.106</t>
  </si>
  <si>
    <t>0.592 ± 0.079</t>
  </si>
  <si>
    <t>0.123 ± 0.045</t>
  </si>
  <si>
    <t>0.01 ± 0.012</t>
  </si>
  <si>
    <t>0.161 ± 0.044</t>
  </si>
  <si>
    <t>0.604 ± 0.066</t>
  </si>
  <si>
    <t>0.046 ± 0.017</t>
  </si>
  <si>
    <t>0.015 ± 0.02</t>
  </si>
  <si>
    <t>0.183 ± 0.073</t>
  </si>
  <si>
    <t>0.64 ± 0.048</t>
  </si>
  <si>
    <t>0.053 ± 0.018</t>
  </si>
  <si>
    <t>0.04 ± 0.04</t>
  </si>
  <si>
    <t>0.238 ± 0.114</t>
  </si>
  <si>
    <t>0.605 ± 0.077</t>
  </si>
  <si>
    <t>0.093 ± 0.041</t>
  </si>
  <si>
    <t>0.052 ± 0.044</t>
  </si>
  <si>
    <t>0.220 ± 0.104</t>
  </si>
  <si>
    <t>0.612 ± 0.084</t>
  </si>
  <si>
    <t>0.145 ± 0.05</t>
  </si>
  <si>
    <t>0.082 ± 0.054</t>
  </si>
  <si>
    <t xml:space="preserve">0.232 ± 0.081 </t>
  </si>
  <si>
    <t>0.615 ± 0.069</t>
  </si>
  <si>
    <t>0.217 ± 0.056</t>
  </si>
  <si>
    <t>0.04 ± 0.041</t>
  </si>
  <si>
    <t>0.189 ± 0.093</t>
  </si>
  <si>
    <t>0.163 ± 0.045</t>
  </si>
  <si>
    <t>1.785 ± 0.007</t>
  </si>
  <si>
    <t>0.018 ± 0.05</t>
  </si>
  <si>
    <t>1.056 ± 0.142</t>
  </si>
  <si>
    <t>1.254 ± 0.115</t>
  </si>
  <si>
    <t>1.945 ± 0.263</t>
  </si>
  <si>
    <t>-0.306 ± 0.426</t>
  </si>
  <si>
    <t>2118583774.761 ± 6699550138.72535</t>
  </si>
  <si>
    <t>19532377289.441 ± 61766800346.8536</t>
  </si>
  <si>
    <t>-1.02230026470762E+21 ± 3.23279728906915E+21</t>
  </si>
  <si>
    <t>1.043 ± 0.143</t>
  </si>
  <si>
    <t>1.712 ± 0.403</t>
  </si>
  <si>
    <t>0.058 ± 0.091</t>
  </si>
  <si>
    <t>0.942 ± 0.17</t>
  </si>
  <si>
    <t>1.75 ± 0.474</t>
  </si>
  <si>
    <t>0.032 ± 0.072</t>
  </si>
  <si>
    <t>1.012 ± 0.16</t>
  </si>
  <si>
    <t>1.797 ± 0.468</t>
  </si>
  <si>
    <t>-0.023 ± 0.048</t>
  </si>
  <si>
    <t>1.013 ± 0.151</t>
  </si>
  <si>
    <t>1.722 ± 0.435</t>
  </si>
  <si>
    <t>0.056 ± 0.051</t>
  </si>
  <si>
    <t>0.909 ± 0.151</t>
  </si>
  <si>
    <t>1.784 ± 0.459</t>
  </si>
  <si>
    <t>-0.013 ± 0.085</t>
  </si>
  <si>
    <t>0.946 ± 0.148</t>
  </si>
  <si>
    <t>1.77 ± 0.46</t>
  </si>
  <si>
    <t>0.006 ± 0.052</t>
  </si>
  <si>
    <t>0.973 ± 0.167</t>
  </si>
  <si>
    <t>1.787 ± 0.471</t>
  </si>
  <si>
    <t>-0.012 ± 0.071</t>
  </si>
  <si>
    <t>1.056 ± 0.138</t>
  </si>
  <si>
    <t>1.73 ± 0.393</t>
  </si>
  <si>
    <t>0.036 ± 0.1</t>
  </si>
  <si>
    <t>1.049 ± 0.14</t>
  </si>
  <si>
    <t>1.728 ± 0.397</t>
  </si>
  <si>
    <t>0.031 ± 0.149</t>
  </si>
  <si>
    <t>85271798.924 ± 269653100.98367</t>
  </si>
  <si>
    <t>781528937.416 ± 2471411493.45456</t>
  </si>
  <si>
    <t>-2289514030057890000 ± 7240079069894140000</t>
  </si>
  <si>
    <t>1.722 ± 0.404</t>
  </si>
  <si>
    <t>1.043 ± 0.150</t>
  </si>
  <si>
    <t>0.047 ± 0.11</t>
  </si>
  <si>
    <t>0.941 ± 0.159</t>
  </si>
  <si>
    <t>1.768 ± 0.455</t>
  </si>
  <si>
    <t>0.007 ± 0.066</t>
  </si>
  <si>
    <t>1.039 ± 0.161</t>
  </si>
  <si>
    <t>1.779 ± 0.465</t>
  </si>
  <si>
    <t>-0.001 ± 0.032</t>
  </si>
  <si>
    <t>1.002 ± 0.143</t>
  </si>
  <si>
    <t>1.73 ± 0.43</t>
  </si>
  <si>
    <t>0.046 ± 0.07</t>
  </si>
  <si>
    <t>0.898 ± 0.169</t>
  </si>
  <si>
    <t>1.782 ± 0.466</t>
  </si>
  <si>
    <t>-0.012 ± 0.123</t>
  </si>
  <si>
    <t>0.928 ± 0.154</t>
  </si>
  <si>
    <t>1.778 ± 0.464</t>
  </si>
  <si>
    <t>0 ± 0.047</t>
  </si>
  <si>
    <t>0.973 ± 0.166</t>
  </si>
  <si>
    <t>1.804 ± 0.474</t>
  </si>
  <si>
    <t>-0.032 ± 0.085</t>
  </si>
  <si>
    <t>1.068 ± 0.139</t>
  </si>
  <si>
    <t>1.745 ± 0.396</t>
  </si>
  <si>
    <t>0.017 ± 0.118</t>
  </si>
  <si>
    <t>0.017 ± 0.227</t>
  </si>
  <si>
    <t>1.81 ± 0.486</t>
  </si>
  <si>
    <t>-0.047 ± 0.191</t>
  </si>
  <si>
    <t>1.261 ± 0.15</t>
  </si>
  <si>
    <t>2.039 ± 0.315</t>
  </si>
  <si>
    <t>-0.484 ± 0.72</t>
  </si>
  <si>
    <t>1.036 ± 0.158</t>
  </si>
  <si>
    <t>1.716 ± 0.412</t>
  </si>
  <si>
    <t>0.06 ± 0.08</t>
  </si>
  <si>
    <t>0.942 ± 0.163</t>
  </si>
  <si>
    <t>1.745 ± 0.438</t>
  </si>
  <si>
    <t>0.032 ± 0.06</t>
  </si>
  <si>
    <t>1.046 ± 0.162</t>
  </si>
  <si>
    <t>1.774 ± 0.459</t>
  </si>
  <si>
    <t>0.004 ± 0.031</t>
  </si>
  <si>
    <t>1.012 ± 0.132</t>
  </si>
  <si>
    <t>1.738 ± 0.418</t>
  </si>
  <si>
    <t>0.036 ± 0.056</t>
  </si>
  <si>
    <t>0.913 ± 0.154</t>
  </si>
  <si>
    <t>1.813 ± 0.452</t>
  </si>
  <si>
    <t>-0.051 ± 0.113</t>
  </si>
  <si>
    <t>0.926 ± 0.153</t>
  </si>
  <si>
    <t>1.76 ± 0.463</t>
  </si>
  <si>
    <t>0.02 ± 0.059</t>
  </si>
  <si>
    <t>0.977 ± 0.173</t>
  </si>
  <si>
    <t>1.803 ± 0.475</t>
  </si>
  <si>
    <t>-0.032 ± 0.108</t>
  </si>
  <si>
    <t>1.056 ± 0.16</t>
  </si>
  <si>
    <t>1.744 ± 0.403</t>
  </si>
  <si>
    <t>0.017 ± 0.161</t>
  </si>
  <si>
    <t>1.292 ± 0.137</t>
  </si>
  <si>
    <t>1.662 ± 0.21</t>
  </si>
  <si>
    <t>0.219 ± 0.122</t>
  </si>
  <si>
    <t>0.117 ± 0.064</t>
  </si>
  <si>
    <t>0.171 ± 0.062</t>
  </si>
  <si>
    <t>0.348 ± 0.057</t>
  </si>
  <si>
    <t>1.284 ± 0.142</t>
  </si>
  <si>
    <t>1.646 ± 0.225</t>
  </si>
  <si>
    <t>0.234 ± 0.131</t>
  </si>
  <si>
    <t>0.098 ± 0.061</t>
  </si>
  <si>
    <t>0.154 ± 0.073</t>
  </si>
  <si>
    <t>0.324 ± 0.047</t>
  </si>
  <si>
    <t>1.439 ± 0.258</t>
  </si>
  <si>
    <t>2.378 ± 0.318</t>
  </si>
  <si>
    <t>-0.584 ± 0.123</t>
  </si>
  <si>
    <t>0.125 ± 0.009</t>
  </si>
  <si>
    <t>0.532 ± 0.055</t>
  </si>
  <si>
    <t>1.187 ± 0.16</t>
  </si>
  <si>
    <t>1.747 ± 0.249</t>
  </si>
  <si>
    <t>0.137 ± 0.159</t>
  </si>
  <si>
    <t>0.139 ± 0.044</t>
  </si>
  <si>
    <t>0.157 ± 0.052</t>
  </si>
  <si>
    <t>0.464 ± 0.033</t>
  </si>
  <si>
    <t>1.351 ± 0.171</t>
  </si>
  <si>
    <t>1.803 ± 0.269</t>
  </si>
  <si>
    <t>0.091 ± 0.097</t>
  </si>
  <si>
    <t>0.113 ± 0.051</t>
  </si>
  <si>
    <t>0.13 ± 0.048</t>
  </si>
  <si>
    <t>0.409 ± 0.045</t>
  </si>
  <si>
    <t>1.289 ± 0.141</t>
  </si>
  <si>
    <t>1.675 ± 0.229</t>
  </si>
  <si>
    <t>0.209 ± 0.12</t>
  </si>
  <si>
    <t>0.123 ± 0.069</t>
  </si>
  <si>
    <t>0.159 ± 0.067</t>
  </si>
  <si>
    <t>0.368 ± 0.057</t>
  </si>
  <si>
    <t>1.167 ± 0.217</t>
  </si>
  <si>
    <t>1.865 ± 0.314</t>
  </si>
  <si>
    <t>0.01 ± 0.26</t>
  </si>
  <si>
    <t>0.178 ± 0.049</t>
  </si>
  <si>
    <t>0.158 ± 0.023</t>
  </si>
  <si>
    <t>0.518 ± 0.058</t>
  </si>
  <si>
    <t>1.19 ± 0.202</t>
  </si>
  <si>
    <t>1.843 ± 0.306</t>
  </si>
  <si>
    <t>0.039 ± 0.22</t>
  </si>
  <si>
    <t>0.126 ± 0.077</t>
  </si>
  <si>
    <t>0.145 ± 0.036</t>
  </si>
  <si>
    <t>0.523 ± 0.053</t>
  </si>
  <si>
    <t>1.3 ± 0.118</t>
  </si>
  <si>
    <t>1.755 ± 0.208</t>
  </si>
  <si>
    <t>0.129 ± 0.124</t>
  </si>
  <si>
    <t>0.114 ± 0.069</t>
  </si>
  <si>
    <t>0.153 ± 0.065</t>
  </si>
  <si>
    <t>0.409 ± 0.039</t>
  </si>
  <si>
    <t>1.281 ± 0.142</t>
  </si>
  <si>
    <t>1.645 ± 0.227</t>
  </si>
  <si>
    <t>0.235 ± 0.135</t>
  </si>
  <si>
    <t>0.108 ± 0.055</t>
  </si>
  <si>
    <t>0.162 ± 0.076</t>
  </si>
  <si>
    <t>0.33 ± 0.043</t>
  </si>
  <si>
    <t>1.278 ± 0.154</t>
  </si>
  <si>
    <t>1.645 ± 0.228</t>
  </si>
  <si>
    <t>0.112 ± 0.064</t>
  </si>
  <si>
    <t>0.183 ± 0.092</t>
  </si>
  <si>
    <t>0.347 ± 0.072</t>
  </si>
  <si>
    <t>1.299 ± 0.143</t>
  </si>
  <si>
    <t>1.673 ± 0.229</t>
  </si>
  <si>
    <t>0.209 ± 0.137</t>
  </si>
  <si>
    <t>0.12 ± 0.038</t>
  </si>
  <si>
    <t>0.169 ± 0.064</t>
  </si>
  <si>
    <t>0.347 ± 0.049</t>
  </si>
  <si>
    <t>1.268 ± 0.125</t>
  </si>
  <si>
    <t>1.623 ± 0.192</t>
  </si>
  <si>
    <t>0.253 ± 0.124</t>
  </si>
  <si>
    <t>0.118 ± 0.05</t>
  </si>
  <si>
    <t>0.178 ± 0.106</t>
  </si>
  <si>
    <t>0.342 ± 0.044</t>
  </si>
  <si>
    <t>1.158 ± 0.162</t>
  </si>
  <si>
    <t>1.707 ± 0.239</t>
  </si>
  <si>
    <t>0.172 ± 0.182</t>
  </si>
  <si>
    <t>0.14 ± 0.065</t>
  </si>
  <si>
    <t>0.172 ± 0.054</t>
  </si>
  <si>
    <t>0.468 ± 0.059</t>
  </si>
  <si>
    <t>1.391 ± 0.152</t>
  </si>
  <si>
    <t>1.763 ± 0.233</t>
  </si>
  <si>
    <t>0.13 ± 0.067</t>
  </si>
  <si>
    <t>0.06 ± 0.048</t>
  </si>
  <si>
    <t>0.113 ± 0.061</t>
  </si>
  <si>
    <t>0.248 ± 0.04</t>
  </si>
  <si>
    <t>1.284 ± 0.15</t>
  </si>
  <si>
    <t>1.677 ± 0.227</t>
  </si>
  <si>
    <t>0.208 ± 0.116</t>
  </si>
  <si>
    <t>0.099 ± 0.051</t>
  </si>
  <si>
    <t>0.133 ± 0.035</t>
  </si>
  <si>
    <t>0.349 ± 0.048</t>
  </si>
  <si>
    <t>1.156 ± 0.181</t>
  </si>
  <si>
    <t>1.86 ± 0.284</t>
  </si>
  <si>
    <t>0.017 ± 0.206</t>
  </si>
  <si>
    <t>0.197 ± 0.05</t>
  </si>
  <si>
    <t>0.208 ± 0.052</t>
  </si>
  <si>
    <t>0.502 ± 0.035</t>
  </si>
  <si>
    <t>1.162 ± 0.202</t>
  </si>
  <si>
    <t>1.8 ± 0.307</t>
  </si>
  <si>
    <t>0.082 ± 0.225</t>
  </si>
  <si>
    <t>0.121 ± 0.056</t>
  </si>
  <si>
    <t>0.155 ± 0.043</t>
  </si>
  <si>
    <t>0.496 ± 0.049</t>
  </si>
  <si>
    <t>1.284 ± 0.138</t>
  </si>
  <si>
    <t>1.776 ± 0.228</t>
  </si>
  <si>
    <t>0.108 ± 0.141</t>
  </si>
  <si>
    <t>0.123 ± 0.034</t>
  </si>
  <si>
    <t>0.139 ± 0.026</t>
  </si>
  <si>
    <t>0.417 ± 0.028</t>
  </si>
  <si>
    <t>1.268 ± 0.13</t>
  </si>
  <si>
    <t>1.633 ± 0.198</t>
  </si>
  <si>
    <t>0.244 ± 0.125</t>
  </si>
  <si>
    <t>0.119 ± 0.051</t>
  </si>
  <si>
    <t>0.17 ± 0.087</t>
  </si>
  <si>
    <t>0.357 ± 0.056</t>
  </si>
  <si>
    <t>1.255 ± 0.135</t>
  </si>
  <si>
    <t>1.617 ± 0.187</t>
  </si>
  <si>
    <t>0.258 ± 0.13</t>
  </si>
  <si>
    <t>0.105 ± 0.032</t>
  </si>
  <si>
    <t>0.153 ± 0.056</t>
  </si>
  <si>
    <t>0.349 ± 0.057</t>
  </si>
  <si>
    <t>1060499440.368 ± 2991771397.10481</t>
  </si>
  <si>
    <t>9316319367.244 ± 26786451717.4858</t>
  </si>
  <si>
    <t>-256238078862196000000 ± 806539510266334000000</t>
  </si>
  <si>
    <t>0.088 ± 0.024</t>
  </si>
  <si>
    <t>0.318 ± 0.04</t>
  </si>
  <si>
    <t>1.283 ± 0.138</t>
  </si>
  <si>
    <t>1.631 ± 0.211</t>
  </si>
  <si>
    <t>0.248 ± 0.123</t>
  </si>
  <si>
    <t>0.184 ± 0.088</t>
  </si>
  <si>
    <t>0.112 ± 0.047</t>
  </si>
  <si>
    <t>1.178 ± 0.166</t>
  </si>
  <si>
    <t>1.671 ± 0.252</t>
  </si>
  <si>
    <t>0.204 ± 0.205</t>
  </si>
  <si>
    <t>0.161 ± 0.077</t>
  </si>
  <si>
    <t>0.155 ± 0.061</t>
  </si>
  <si>
    <t>0.466 ± 0.049</t>
  </si>
  <si>
    <t>1.291 ± 0.177</t>
  </si>
  <si>
    <t>1.707 ± 0.277</t>
  </si>
  <si>
    <t>0.178 ± 0.166</t>
  </si>
  <si>
    <t>0.103 ± 0.07</t>
  </si>
  <si>
    <t>0.142 ± 0.067</t>
  </si>
  <si>
    <t>0.374 ± 0.054</t>
  </si>
  <si>
    <t>1.17 ± 0.172</t>
  </si>
  <si>
    <t>1.885 ± 0.251</t>
  </si>
  <si>
    <t>-0.005 ± 0.18</t>
  </si>
  <si>
    <t xml:space="preserve">0.191 ± 0.065 </t>
  </si>
  <si>
    <t>0.174 ± 0.024</t>
  </si>
  <si>
    <t>0.517 ± 0.042</t>
  </si>
  <si>
    <t>1.166 ± 0.198</t>
  </si>
  <si>
    <t>1.741 ± 0.29</t>
  </si>
  <si>
    <t>0.139 ± 0.217</t>
  </si>
  <si>
    <t>0.142 ± 0.065</t>
  </si>
  <si>
    <t>0.138 ± 0.024</t>
  </si>
  <si>
    <t>0.487 ± 0.045</t>
  </si>
  <si>
    <t>1.279 ± 0.121</t>
  </si>
  <si>
    <t>1.7 ± 0.202</t>
  </si>
  <si>
    <t>0.183 ± 0.112</t>
  </si>
  <si>
    <t>0.131 ± 0.054</t>
  </si>
  <si>
    <t>0.177 ± 0.067</t>
  </si>
  <si>
    <t>0.401 ± 0.037</t>
  </si>
  <si>
    <t>1.274 ± 0.143</t>
  </si>
  <si>
    <t>1.629 ± 0.218</t>
  </si>
  <si>
    <t>0.248 ± 0.144</t>
  </si>
  <si>
    <t>0.126 ± 0.068</t>
  </si>
  <si>
    <t>0.187 ± 0.109</t>
  </si>
  <si>
    <t>0.342 ± 0.049</t>
  </si>
  <si>
    <t>1.289 ± 0.111</t>
  </si>
  <si>
    <t>1.651 ± 0.184</t>
  </si>
  <si>
    <t>0.225 ± 0.145</t>
  </si>
  <si>
    <t>0.12 ± 0.054</t>
  </si>
  <si>
    <t>0.145 ± 0.058</t>
  </si>
  <si>
    <t>0.335 ± 0.044</t>
  </si>
  <si>
    <t>171453068240.113 ± 323857159151.715</t>
  </si>
  <si>
    <t>1356669348569.4 ± 2658637876942.55</t>
  </si>
  <si>
    <t>-2.86404387808038E+24 ± 7.14605817486664E+24</t>
  </si>
  <si>
    <t>0.094 ± 0.033</t>
  </si>
  <si>
    <t>0.178 ± 0.045</t>
  </si>
  <si>
    <t>0.338 ± 0.04</t>
  </si>
  <si>
    <t>1.339 ± 0.151</t>
  </si>
  <si>
    <t>1.728 ± 0.207</t>
  </si>
  <si>
    <t>0.158 ± 0.113</t>
  </si>
  <si>
    <t>0.121 ± 0.029</t>
  </si>
  <si>
    <t>0.206 ± 0.072</t>
  </si>
  <si>
    <t>0.358 ± 0.053</t>
  </si>
  <si>
    <t>1.569 ± 0.153</t>
  </si>
  <si>
    <t>1.909 ± 0.227</t>
  </si>
  <si>
    <t>-0.021 ± 0.032</t>
  </si>
  <si>
    <t>0.113 ± 0.041</t>
  </si>
  <si>
    <t>0.04 ± 0.022</t>
  </si>
  <si>
    <t>1.18 ± 0.17</t>
  </si>
  <si>
    <t>1.682 ± 0.258</t>
  </si>
  <si>
    <t>0.196 ± 0.2</t>
  </si>
  <si>
    <t>0.154 ± 0.075</t>
  </si>
  <si>
    <t>0.145 ± 0.057</t>
  </si>
  <si>
    <t>0.468 ± 0.063</t>
  </si>
  <si>
    <t>1.31 ± 0.153</t>
  </si>
  <si>
    <t>1.759 ± 0.235</t>
  </si>
  <si>
    <t>0.126 ± 0.147</t>
  </si>
  <si>
    <t>0.067 ± 0.062</t>
  </si>
  <si>
    <t>0.15 ± 0.078</t>
  </si>
  <si>
    <t>0.372 ± 0.047</t>
  </si>
  <si>
    <t>1.521 ± 0.159</t>
  </si>
  <si>
    <t>2.29 ± 0.192</t>
  </si>
  <si>
    <t>-0.506 ± 0.306</t>
  </si>
  <si>
    <t>0.105 ± 0.072</t>
  </si>
  <si>
    <t>0.177 ± 0.042</t>
  </si>
  <si>
    <t>0.431 ± 0.044</t>
  </si>
  <si>
    <t>1.29 ± 0.119</t>
  </si>
  <si>
    <t>1.673 ± 0.181</t>
  </si>
  <si>
    <t>0.115 ± 0.047</t>
  </si>
  <si>
    <t>0.175 ± 0.081</t>
  </si>
  <si>
    <t>0.337 ± 0.045</t>
  </si>
  <si>
    <t>1.305 ± 0.146</t>
  </si>
  <si>
    <t>1.698 ± 0.206</t>
  </si>
  <si>
    <t>0.184 ± 0.125</t>
  </si>
  <si>
    <t>0.12 ± 0.042</t>
  </si>
  <si>
    <t>0.17 ± 0.054</t>
  </si>
  <si>
    <t>0.186 ± 0.093</t>
  </si>
  <si>
    <t>1.457 ± 0.136</t>
  </si>
  <si>
    <t>1.894 ± 0.176</t>
  </si>
  <si>
    <t>-0.028 ± 0.213</t>
  </si>
  <si>
    <t>0.112 ± 0.048</t>
  </si>
  <si>
    <t>0.19 ± 0.084</t>
  </si>
  <si>
    <t>0.361 ± 0.054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</si>
</sst>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2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0"/>
      <color theme="1"/>
      <name val="Calibri"/>
      <family val="2"/>
      <scheme val="minor"/>
    </font>
    <font>
      <vertAlign val="superscript"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/>
      <diagonal/>
    </border>
    <border>
      <left style="medium">
        <color indexed="64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2" xfId="0" applyFont="1" applyBorder="1" applyAlignment="1">
      <alignment horizontal="center" wrapText="1"/>
    </xf>
    <xf numFmtId="0" fontId="1" fillId="0" borderId="15" xfId="0" applyFont="1" applyBorder="1" applyAlignment="1">
      <alignment wrapText="1"/>
    </xf>
    <xf numFmtId="0" fontId="1" fillId="3" borderId="16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center" wrapText="1"/>
    </xf>
    <xf numFmtId="0" fontId="1" fillId="0" borderId="20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21" xfId="0" applyFont="1" applyBorder="1" applyAlignment="1">
      <alignment horizontal="center"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0" borderId="24" xfId="0" applyFont="1" applyBorder="1" applyAlignment="1">
      <alignment wrapText="1"/>
    </xf>
    <xf numFmtId="0" fontId="1" fillId="0" borderId="25" xfId="0" applyFont="1" applyBorder="1" applyAlignment="1">
      <alignment wrapText="1"/>
    </xf>
    <xf numFmtId="0" fontId="1" fillId="0" borderId="26" xfId="0" applyFont="1" applyBorder="1" applyAlignment="1">
      <alignment wrapText="1"/>
    </xf>
    <xf numFmtId="0" fontId="1" fillId="0" borderId="26" xfId="0" applyFont="1" applyBorder="1" applyAlignment="1">
      <alignment horizontal="center" wrapText="1"/>
    </xf>
    <xf numFmtId="0" fontId="1" fillId="0" borderId="27" xfId="0" applyFont="1" applyBorder="1" applyAlignment="1">
      <alignment wrapText="1"/>
    </xf>
    <xf numFmtId="0" fontId="1" fillId="0" borderId="3" xfId="0" quotePrefix="1" applyFont="1" applyBorder="1" applyAlignment="1">
      <alignment wrapText="1"/>
    </xf>
    <xf numFmtId="0" fontId="0" fillId="0" borderId="0" xfId="0" applyBorder="1"/>
    <xf numFmtId="0" fontId="0" fillId="0" borderId="29" xfId="0" applyBorder="1"/>
    <xf numFmtId="0" fontId="1" fillId="2" borderId="30" xfId="0" applyFont="1" applyFill="1" applyBorder="1" applyAlignment="1">
      <alignment horizontal="center" wrapText="1"/>
    </xf>
    <xf numFmtId="0" fontId="1" fillId="3" borderId="31" xfId="0" applyFont="1" applyFill="1" applyBorder="1" applyAlignment="1">
      <alignment horizontal="center" wrapText="1"/>
    </xf>
    <xf numFmtId="0" fontId="1" fillId="3" borderId="30" xfId="0" applyFont="1" applyFill="1" applyBorder="1" applyAlignment="1">
      <alignment horizontal="center" wrapText="1"/>
    </xf>
    <xf numFmtId="0" fontId="0" fillId="0" borderId="33" xfId="0" applyBorder="1"/>
    <xf numFmtId="0" fontId="0" fillId="0" borderId="35" xfId="0" applyBorder="1"/>
    <xf numFmtId="0" fontId="1" fillId="0" borderId="6" xfId="0" quotePrefix="1" applyFont="1" applyBorder="1" applyAlignment="1">
      <alignment wrapText="1"/>
    </xf>
    <xf numFmtId="0" fontId="1" fillId="2" borderId="37" xfId="0" applyFont="1" applyFill="1" applyBorder="1" applyAlignment="1">
      <alignment horizontal="center" wrapText="1"/>
    </xf>
    <xf numFmtId="0" fontId="1" fillId="2" borderId="38" xfId="0" applyFont="1" applyFill="1" applyBorder="1" applyAlignment="1">
      <alignment horizontal="center" wrapText="1"/>
    </xf>
    <xf numFmtId="0" fontId="1" fillId="2" borderId="39" xfId="0" applyFont="1" applyFill="1" applyBorder="1" applyAlignment="1">
      <alignment horizontal="center" wrapText="1"/>
    </xf>
    <xf numFmtId="0" fontId="1" fillId="2" borderId="43" xfId="0" applyFont="1" applyFill="1" applyBorder="1" applyAlignment="1">
      <alignment horizontal="center" wrapText="1"/>
    </xf>
    <xf numFmtId="0" fontId="1" fillId="3" borderId="44" xfId="0" applyFont="1" applyFill="1" applyBorder="1" applyAlignment="1">
      <alignment horizontal="center" wrapText="1"/>
    </xf>
    <xf numFmtId="0" fontId="0" fillId="0" borderId="45" xfId="0" applyBorder="1"/>
    <xf numFmtId="0" fontId="0" fillId="0" borderId="46" xfId="0" applyBorder="1"/>
    <xf numFmtId="0" fontId="1" fillId="8" borderId="11" xfId="0" applyFont="1" applyFill="1" applyBorder="1" applyAlignment="1">
      <alignment wrapText="1"/>
    </xf>
    <xf numFmtId="0" fontId="1" fillId="8" borderId="12" xfId="0" applyFont="1" applyFill="1" applyBorder="1" applyAlignment="1">
      <alignment wrapText="1"/>
    </xf>
    <xf numFmtId="0" fontId="1" fillId="8" borderId="13" xfId="0" applyFont="1" applyFill="1" applyBorder="1" applyAlignment="1">
      <alignment wrapText="1"/>
    </xf>
    <xf numFmtId="0" fontId="1" fillId="8" borderId="14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3" xfId="0" quotePrefix="1" applyFont="1" applyFill="1" applyBorder="1" applyAlignment="1">
      <alignment wrapText="1"/>
    </xf>
    <xf numFmtId="0" fontId="1" fillId="8" borderId="5" xfId="0" applyFont="1" applyFill="1" applyBorder="1" applyAlignment="1">
      <alignment wrapText="1"/>
    </xf>
    <xf numFmtId="0" fontId="1" fillId="8" borderId="6" xfId="0" quotePrefix="1" applyFont="1" applyFill="1" applyBorder="1" applyAlignment="1">
      <alignment wrapText="1"/>
    </xf>
    <xf numFmtId="0" fontId="1" fillId="0" borderId="11" xfId="0" applyFont="1" applyFill="1" applyBorder="1" applyAlignment="1">
      <alignment wrapText="1"/>
    </xf>
    <xf numFmtId="0" fontId="1" fillId="0" borderId="14" xfId="0" applyFont="1" applyFill="1" applyBorder="1" applyAlignment="1">
      <alignment wrapText="1"/>
    </xf>
    <xf numFmtId="0" fontId="0" fillId="0" borderId="0" xfId="0" applyFill="1" applyBorder="1"/>
    <xf numFmtId="0" fontId="0" fillId="0" borderId="29" xfId="0" applyFill="1" applyBorder="1"/>
    <xf numFmtId="0" fontId="1" fillId="0" borderId="12" xfId="0" applyFont="1" applyBorder="1" applyAlignment="1">
      <alignment vertical="center"/>
    </xf>
    <xf numFmtId="0" fontId="1" fillId="2" borderId="47" xfId="0" applyFont="1" applyFill="1" applyBorder="1" applyAlignment="1">
      <alignment horizontal="center" wrapText="1"/>
    </xf>
    <xf numFmtId="0" fontId="1" fillId="2" borderId="48" xfId="0" applyFont="1" applyFill="1" applyBorder="1" applyAlignment="1">
      <alignment horizontal="center" wrapText="1"/>
    </xf>
    <xf numFmtId="0" fontId="1" fillId="0" borderId="33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0" fillId="0" borderId="33" xfId="0" applyFill="1" applyBorder="1"/>
    <xf numFmtId="0" fontId="0" fillId="0" borderId="0" xfId="0" applyFill="1"/>
    <xf numFmtId="0" fontId="1" fillId="11" borderId="11" xfId="0" applyFont="1" applyFill="1" applyBorder="1" applyAlignment="1">
      <alignment wrapText="1"/>
    </xf>
    <xf numFmtId="0" fontId="1" fillId="11" borderId="14" xfId="0" applyFont="1" applyFill="1" applyBorder="1" applyAlignment="1">
      <alignment wrapText="1"/>
    </xf>
    <xf numFmtId="0" fontId="2" fillId="9" borderId="35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0" fillId="0" borderId="49" xfId="0" applyBorder="1"/>
    <xf numFmtId="164" fontId="0" fillId="0" borderId="0" xfId="0" applyNumberFormat="1" applyBorder="1"/>
    <xf numFmtId="164" fontId="0" fillId="0" borderId="0" xfId="0" applyNumberFormat="1" applyFill="1" applyBorder="1"/>
    <xf numFmtId="0" fontId="2" fillId="9" borderId="35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wrapText="1"/>
    </xf>
    <xf numFmtId="0" fontId="1" fillId="0" borderId="13" xfId="0" quotePrefix="1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5" borderId="52" xfId="0" applyFont="1" applyFill="1" applyBorder="1" applyAlignment="1">
      <alignment horizontal="center" vertical="center"/>
    </xf>
    <xf numFmtId="0" fontId="0" fillId="0" borderId="52" xfId="0" applyBorder="1"/>
    <xf numFmtId="0" fontId="3" fillId="0" borderId="50" xfId="0" applyFont="1" applyFill="1" applyBorder="1" applyAlignment="1">
      <alignment horizontal="center" vertical="center" wrapText="1"/>
    </xf>
    <xf numFmtId="0" fontId="0" fillId="0" borderId="51" xfId="0" applyFill="1" applyBorder="1"/>
    <xf numFmtId="0" fontId="1" fillId="3" borderId="53" xfId="0" applyFont="1" applyFill="1" applyBorder="1" applyAlignment="1">
      <alignment horizontal="center" wrapText="1"/>
    </xf>
    <xf numFmtId="0" fontId="1" fillId="0" borderId="54" xfId="0" applyFont="1" applyBorder="1" applyAlignment="1">
      <alignment wrapText="1"/>
    </xf>
    <xf numFmtId="0" fontId="1" fillId="0" borderId="55" xfId="0" applyFont="1" applyBorder="1" applyAlignment="1">
      <alignment wrapText="1"/>
    </xf>
    <xf numFmtId="0" fontId="0" fillId="0" borderId="45" xfId="0" applyFill="1" applyBorder="1"/>
    <xf numFmtId="0" fontId="0" fillId="0" borderId="46" xfId="0" applyFill="1" applyBorder="1"/>
    <xf numFmtId="0" fontId="1" fillId="2" borderId="56" xfId="0" applyFont="1" applyFill="1" applyBorder="1" applyAlignment="1">
      <alignment horizontal="center" wrapText="1"/>
    </xf>
    <xf numFmtId="0" fontId="1" fillId="3" borderId="57" xfId="0" applyFont="1" applyFill="1" applyBorder="1" applyAlignment="1">
      <alignment horizontal="center" wrapText="1"/>
    </xf>
    <xf numFmtId="0" fontId="1" fillId="0" borderId="58" xfId="0" applyFont="1" applyBorder="1" applyAlignment="1">
      <alignment wrapText="1"/>
    </xf>
    <xf numFmtId="0" fontId="1" fillId="3" borderId="59" xfId="0" applyFont="1" applyFill="1" applyBorder="1" applyAlignment="1">
      <alignment horizontal="center" wrapText="1"/>
    </xf>
    <xf numFmtId="0" fontId="1" fillId="2" borderId="60" xfId="0" applyFont="1" applyFill="1" applyBorder="1" applyAlignment="1">
      <alignment horizontal="center" wrapText="1"/>
    </xf>
    <xf numFmtId="0" fontId="1" fillId="2" borderId="61" xfId="0" applyFont="1" applyFill="1" applyBorder="1" applyAlignment="1">
      <alignment horizontal="center" wrapText="1"/>
    </xf>
    <xf numFmtId="0" fontId="1" fillId="2" borderId="62" xfId="0" applyFont="1" applyFill="1" applyBorder="1" applyAlignment="1">
      <alignment horizontal="center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52" xfId="0" applyFont="1" applyFill="1" applyBorder="1" applyAlignment="1">
      <alignment horizontal="center" vertical="center" wrapText="1"/>
    </xf>
    <xf numFmtId="0" fontId="3" fillId="4" borderId="50" xfId="0" applyFont="1" applyFill="1" applyBorder="1" applyAlignment="1">
      <alignment horizontal="center" vertical="center" wrapText="1"/>
    </xf>
    <xf numFmtId="0" fontId="3" fillId="4" borderId="63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/>
    </xf>
    <xf numFmtId="0" fontId="4" fillId="7" borderId="35" xfId="0" applyFont="1" applyFill="1" applyBorder="1" applyAlignment="1">
      <alignment horizontal="center"/>
    </xf>
    <xf numFmtId="0" fontId="4" fillId="7" borderId="36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9" borderId="34" xfId="0" applyFont="1" applyFill="1" applyBorder="1" applyAlignment="1">
      <alignment horizontal="center" vertical="center"/>
    </xf>
    <xf numFmtId="0" fontId="2" fillId="9" borderId="35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wrapText="1"/>
    </xf>
    <xf numFmtId="0" fontId="1" fillId="11" borderId="12" xfId="0" applyFont="1" applyFill="1" applyBorder="1" applyAlignment="1">
      <alignment vertical="center"/>
    </xf>
    <xf numFmtId="0" fontId="1" fillId="11" borderId="1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Existence of Complications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0.61499999999999999</c:v>
                </c:pt>
                <c:pt idx="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3-4E6F-A8A7-AE7FFFB60708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0.60499999999999998</c:v>
                </c:pt>
                <c:pt idx="1">
                  <c:v>0.63600000000000001</c:v>
                </c:pt>
                <c:pt idx="2">
                  <c:v>0.59750000000000003</c:v>
                </c:pt>
                <c:pt idx="3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3-4E6F-A8A7-AE7FFFB60708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0.60899999999999999</c:v>
                </c:pt>
                <c:pt idx="1">
                  <c:v>0.60499999999999998</c:v>
                </c:pt>
                <c:pt idx="2">
                  <c:v>0.60499999999999998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3-4E6F-A8A7-AE7FFFB60708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0.65900000000000003</c:v>
                </c:pt>
                <c:pt idx="1">
                  <c:v>0.73</c:v>
                </c:pt>
                <c:pt idx="2">
                  <c:v>0.64900000000000002</c:v>
                </c:pt>
                <c:pt idx="3">
                  <c:v>0.30099999999999999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3-4E6F-A8A7-AE7FFFB60708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0.65700000000000003</c:v>
                </c:pt>
                <c:pt idx="1">
                  <c:v>0.70699999999999996</c:v>
                </c:pt>
                <c:pt idx="2">
                  <c:v>0.63700000000000001</c:v>
                </c:pt>
                <c:pt idx="3">
                  <c:v>0.28399999999999997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3-4E6F-A8A7-AE7FFFB60708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0.67600000000000005</c:v>
                </c:pt>
                <c:pt idx="1">
                  <c:v>0.70499999999999996</c:v>
                </c:pt>
                <c:pt idx="2">
                  <c:v>0.66599999999999993</c:v>
                </c:pt>
                <c:pt idx="3">
                  <c:v>0.33600000000000002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3-4E6F-A8A7-AE7FFFB60708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0.65600000000000003</c:v>
                </c:pt>
                <c:pt idx="1">
                  <c:v>0.70799999999999996</c:v>
                </c:pt>
                <c:pt idx="2">
                  <c:v>0.64849999999999997</c:v>
                </c:pt>
                <c:pt idx="3">
                  <c:v>0.29899999999999999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83-4E6F-A8A7-AE7FFFB60708}"/>
            </c:ext>
          </c:extLst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0.61599999999999999</c:v>
                </c:pt>
                <c:pt idx="1">
                  <c:v>0.67200000000000004</c:v>
                </c:pt>
                <c:pt idx="2">
                  <c:v>0.60950000000000004</c:v>
                </c:pt>
                <c:pt idx="3">
                  <c:v>0.221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83-4E6F-A8A7-AE7FFFB60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683631"/>
        <c:axId val="522706319"/>
      </c:barChart>
      <c:catAx>
        <c:axId val="82868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06319"/>
        <c:crosses val="autoZero"/>
        <c:auto val="1"/>
        <c:lblAlgn val="ctr"/>
        <c:lblOffset val="100"/>
        <c:noMultiLvlLbl val="0"/>
      </c:catAx>
      <c:valAx>
        <c:axId val="5227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8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Days in the ICU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Sheet1!$BY$50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Sheet1!$BX$51:$BX$61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Sheet1!$BY$51:$BY$61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-4.9999999999998934E-3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4-4CBE-B773-82C3F60B8B37}"/>
            </c:ext>
          </c:extLst>
        </c:ser>
        <c:ser>
          <c:idx val="1"/>
          <c:order val="1"/>
          <c:tx>
            <c:strRef>
              <c:f>Sheet1!$BZ$50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Sheet1!$BX$51:$BX$61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Sheet1!$BZ$51:$BZ$61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-2.4999999999999911E-2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4-4CBE-B773-82C3F60B8B37}"/>
            </c:ext>
          </c:extLst>
        </c:ser>
        <c:ser>
          <c:idx val="2"/>
          <c:order val="2"/>
          <c:tx>
            <c:strRef>
              <c:f>Sheet1!$CA$50</c:f>
              <c:strCache>
                <c:ptCount val="1"/>
                <c:pt idx="0">
                  <c:v>R,Squared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Sheet1!$BX$51:$BX$61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Sheet1!$CA$51:$CA$61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1.7939999999999998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1.6000000000000014E-2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A4-4CBE-B773-82C3F60B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618687"/>
        <c:axId val="1590027135"/>
      </c:barChart>
      <c:catAx>
        <c:axId val="16936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027135"/>
        <c:crosses val="autoZero"/>
        <c:auto val="1"/>
        <c:lblAlgn val="ctr"/>
        <c:lblOffset val="100"/>
        <c:noMultiLvlLbl val="0"/>
      </c:catAx>
      <c:valAx>
        <c:axId val="1590027135"/>
        <c:scaling>
          <c:orientation val="minMax"/>
          <c:max val="0.2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1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Sheet1!$BY$25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Sheet1!$BX$26:$BX$36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Sheet1!$BY$26:$BY$36</c:f>
              <c:numCache>
                <c:formatCode>General</c:formatCode>
                <c:ptCount val="11"/>
                <c:pt idx="0">
                  <c:v>171453068238.72202</c:v>
                </c:pt>
                <c:pt idx="1">
                  <c:v>-2.4000000000000021E-2</c:v>
                </c:pt>
                <c:pt idx="2">
                  <c:v>0.25299999999999989</c:v>
                </c:pt>
                <c:pt idx="3">
                  <c:v>-1.5000000000000124E-2</c:v>
                </c:pt>
                <c:pt idx="4">
                  <c:v>0.25800000000000001</c:v>
                </c:pt>
                <c:pt idx="5">
                  <c:v>-3.0000000000000027E-2</c:v>
                </c:pt>
                <c:pt idx="6">
                  <c:v>0</c:v>
                </c:pt>
                <c:pt idx="7">
                  <c:v>0</c:v>
                </c:pt>
                <c:pt idx="8">
                  <c:v>9.9999999999988987E-4</c:v>
                </c:pt>
                <c:pt idx="9">
                  <c:v>0</c:v>
                </c:pt>
                <c:pt idx="10">
                  <c:v>0.10400000000000009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8-456D-A32B-0D6C5D862642}"/>
            </c:ext>
          </c:extLst>
        </c:ser>
        <c:ser>
          <c:idx val="1"/>
          <c:order val="1"/>
          <c:tx>
            <c:strRef>
              <c:f>Sheet1!$BZ$25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Sheet1!$BX$26:$BX$36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Sheet1!$BZ$26:$BZ$36</c:f>
              <c:numCache>
                <c:formatCode>General</c:formatCode>
                <c:ptCount val="11"/>
                <c:pt idx="0">
                  <c:v>1356669348567.6008</c:v>
                </c:pt>
                <c:pt idx="1">
                  <c:v>-3.499999999999992E-2</c:v>
                </c:pt>
                <c:pt idx="2">
                  <c:v>0.24900000000000011</c:v>
                </c:pt>
                <c:pt idx="3">
                  <c:v>-6.1000000000000165E-2</c:v>
                </c:pt>
                <c:pt idx="4">
                  <c:v>0.25100000000000011</c:v>
                </c:pt>
                <c:pt idx="5">
                  <c:v>-1.7000000000000126E-2</c:v>
                </c:pt>
                <c:pt idx="6">
                  <c:v>-3.0000000000001137E-3</c:v>
                </c:pt>
                <c:pt idx="7">
                  <c:v>0</c:v>
                </c:pt>
                <c:pt idx="8">
                  <c:v>9.9999999999988987E-4</c:v>
                </c:pt>
                <c:pt idx="9">
                  <c:v>0</c:v>
                </c:pt>
                <c:pt idx="10">
                  <c:v>8.9999999999999858E-2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8-456D-A32B-0D6C5D862642}"/>
            </c:ext>
          </c:extLst>
        </c:ser>
        <c:ser>
          <c:idx val="2"/>
          <c:order val="2"/>
          <c:tx>
            <c:strRef>
              <c:f>Sheet1!$CA$25</c:f>
              <c:strCache>
                <c:ptCount val="1"/>
                <c:pt idx="0">
                  <c:v>R,Squared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Sheet1!$BX$26:$BX$36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Sheet1!$CA$26:$CA$36</c:f>
              <c:numCache>
                <c:formatCode>General</c:formatCode>
                <c:ptCount val="11"/>
                <c:pt idx="0">
                  <c:v>-2.8640438780803798E+24</c:v>
                </c:pt>
                <c:pt idx="1">
                  <c:v>3.3000000000000002E-2</c:v>
                </c:pt>
                <c:pt idx="2">
                  <c:v>-0.24199999999999999</c:v>
                </c:pt>
                <c:pt idx="3">
                  <c:v>5.7999999999999996E-2</c:v>
                </c:pt>
                <c:pt idx="4">
                  <c:v>-0.24299999999999999</c:v>
                </c:pt>
                <c:pt idx="5">
                  <c:v>1.4999999999999999E-2</c:v>
                </c:pt>
                <c:pt idx="6">
                  <c:v>3.0000000000000027E-3</c:v>
                </c:pt>
                <c:pt idx="7">
                  <c:v>0</c:v>
                </c:pt>
                <c:pt idx="8">
                  <c:v>-1.0000000000000009E-3</c:v>
                </c:pt>
                <c:pt idx="9">
                  <c:v>0</c:v>
                </c:pt>
                <c:pt idx="10">
                  <c:v>-0.104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8-456D-A32B-0D6C5D862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6576303"/>
        <c:axId val="1833867951"/>
      </c:barChart>
      <c:catAx>
        <c:axId val="18065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7951"/>
        <c:crosses val="autoZero"/>
        <c:auto val="1"/>
        <c:lblAlgn val="ctr"/>
        <c:lblOffset val="100"/>
        <c:noMultiLvlLbl val="0"/>
      </c:catAx>
      <c:valAx>
        <c:axId val="1833867951"/>
        <c:scaling>
          <c:orientation val="minMax"/>
          <c:max val="0.70000000000000007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7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Sheet1!$CC$25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Sheet1!$CB$26:$CB$36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Sheet1!$CC$26:$CC$36</c:f>
              <c:numCache>
                <c:formatCode>General</c:formatCode>
                <c:ptCount val="11"/>
                <c:pt idx="0">
                  <c:v>1.3000000000000012E-2</c:v>
                </c:pt>
                <c:pt idx="1">
                  <c:v>2.0999999999999963E-2</c:v>
                </c:pt>
                <c:pt idx="2">
                  <c:v>-0.255</c:v>
                </c:pt>
                <c:pt idx="3">
                  <c:v>-3.999999999999948E-3</c:v>
                </c:pt>
                <c:pt idx="4">
                  <c:v>-0.25700000000000001</c:v>
                </c:pt>
                <c:pt idx="5">
                  <c:v>6.0000000000000053E-3</c:v>
                </c:pt>
                <c:pt idx="6">
                  <c:v>-1.0000000000000009E-3</c:v>
                </c:pt>
                <c:pt idx="7">
                  <c:v>3.0000000000000027E-3</c:v>
                </c:pt>
                <c:pt idx="8">
                  <c:v>0</c:v>
                </c:pt>
                <c:pt idx="9">
                  <c:v>0</c:v>
                </c:pt>
                <c:pt idx="10">
                  <c:v>-7.0000000000000062E-3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4-466D-9844-2E843565F553}"/>
            </c:ext>
          </c:extLst>
        </c:ser>
        <c:ser>
          <c:idx val="1"/>
          <c:order val="1"/>
          <c:tx>
            <c:strRef>
              <c:f>Sheet1!$CD$25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Sheet1!$CB$26:$CB$36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Sheet1!$CD$26:$CD$36</c:f>
              <c:numCache>
                <c:formatCode>General</c:formatCode>
                <c:ptCount val="11"/>
                <c:pt idx="0">
                  <c:v>2.8305555555555556E-2</c:v>
                </c:pt>
                <c:pt idx="1">
                  <c:v>3.562499999999999E-2</c:v>
                </c:pt>
                <c:pt idx="2">
                  <c:v>-7.1666666666666545E-3</c:v>
                </c:pt>
                <c:pt idx="3">
                  <c:v>5.0138888888889011E-3</c:v>
                </c:pt>
                <c:pt idx="4">
                  <c:v>-2.1944444444444447E-2</c:v>
                </c:pt>
                <c:pt idx="5">
                  <c:v>-1.9347222222222266E-2</c:v>
                </c:pt>
                <c:pt idx="6">
                  <c:v>-2.5000000000000022E-4</c:v>
                </c:pt>
                <c:pt idx="7">
                  <c:v>2.008333333333337E-2</c:v>
                </c:pt>
                <c:pt idx="8">
                  <c:v>1.8888888888888899E-2</c:v>
                </c:pt>
                <c:pt idx="9">
                  <c:v>2.0666666666666667E-2</c:v>
                </c:pt>
                <c:pt idx="10">
                  <c:v>-1.3333333333333808E-3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4-466D-9844-2E843565F553}"/>
            </c:ext>
          </c:extLst>
        </c:ser>
        <c:ser>
          <c:idx val="2"/>
          <c:order val="2"/>
          <c:tx>
            <c:strRef>
              <c:f>Sheet1!$CE$25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Sheet1!$CB$26:$CB$36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Sheet1!$CE$26:$CE$36</c:f>
              <c:numCache>
                <c:formatCode>General</c:formatCode>
                <c:ptCount val="11"/>
                <c:pt idx="0">
                  <c:v>8.0000000000000071E-3</c:v>
                </c:pt>
                <c:pt idx="1">
                  <c:v>1.999999999999999E-2</c:v>
                </c:pt>
                <c:pt idx="2">
                  <c:v>-9.1999999999999998E-2</c:v>
                </c:pt>
                <c:pt idx="3">
                  <c:v>3.3000000000000002E-2</c:v>
                </c:pt>
                <c:pt idx="4">
                  <c:v>-8.8999999999999996E-2</c:v>
                </c:pt>
                <c:pt idx="5">
                  <c:v>-4.5999999999999999E-2</c:v>
                </c:pt>
                <c:pt idx="6">
                  <c:v>0</c:v>
                </c:pt>
                <c:pt idx="7">
                  <c:v>2.0000000000000018E-3</c:v>
                </c:pt>
                <c:pt idx="8">
                  <c:v>0</c:v>
                </c:pt>
                <c:pt idx="9">
                  <c:v>0</c:v>
                </c:pt>
                <c:pt idx="10">
                  <c:v>-5.9999999999999915E-3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4-466D-9844-2E843565F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385839"/>
        <c:axId val="1794440047"/>
      </c:barChart>
      <c:catAx>
        <c:axId val="183438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0047"/>
        <c:crosses val="autoZero"/>
        <c:auto val="1"/>
        <c:lblAlgn val="ctr"/>
        <c:lblOffset val="100"/>
        <c:noMultiLvlLbl val="0"/>
      </c:catAx>
      <c:valAx>
        <c:axId val="179444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8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Death Within 1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Sheet1!$BY$39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Sheet1!$BX$40:$BX$47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Sheet1!$BY$40:$BY$47</c:f>
              <c:numCache>
                <c:formatCode>General</c:formatCode>
                <c:ptCount val="8"/>
                <c:pt idx="0">
                  <c:v>-4.0999999999999925E-2</c:v>
                </c:pt>
                <c:pt idx="1">
                  <c:v>-6.4000000000000001E-2</c:v>
                </c:pt>
                <c:pt idx="2">
                  <c:v>1.2999999999999901E-2</c:v>
                </c:pt>
                <c:pt idx="3">
                  <c:v>-3.0000000000000027E-3</c:v>
                </c:pt>
                <c:pt idx="4">
                  <c:v>0.21200000000000002</c:v>
                </c:pt>
                <c:pt idx="5">
                  <c:v>9.000000000000008E-3</c:v>
                </c:pt>
                <c:pt idx="6">
                  <c:v>0</c:v>
                </c:pt>
                <c:pt idx="7">
                  <c:v>4.0000000000000036E-3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C-4BB0-BA77-7783CE8DFA3F}"/>
            </c:ext>
          </c:extLst>
        </c:ser>
        <c:ser>
          <c:idx val="1"/>
          <c:order val="1"/>
          <c:tx>
            <c:strRef>
              <c:f>Sheet1!$BZ$39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Sheet1!$BX$40:$BX$47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Sheet1!$BZ$40:$BZ$47</c:f>
              <c:numCache>
                <c:formatCode>General</c:formatCode>
                <c:ptCount val="8"/>
                <c:pt idx="0">
                  <c:v>-1.0000000000000009E-3</c:v>
                </c:pt>
                <c:pt idx="1">
                  <c:v>1.0000000000000009E-3</c:v>
                </c:pt>
                <c:pt idx="2">
                  <c:v>1.6000000000000014E-2</c:v>
                </c:pt>
                <c:pt idx="3">
                  <c:v>-5.0000000000000044E-3</c:v>
                </c:pt>
                <c:pt idx="4">
                  <c:v>2.300000000000002E-2</c:v>
                </c:pt>
                <c:pt idx="5">
                  <c:v>-8.0000000000000071E-3</c:v>
                </c:pt>
                <c:pt idx="6">
                  <c:v>0</c:v>
                </c:pt>
                <c:pt idx="7">
                  <c:v>-2.5000000000000022E-2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BB0-BA77-7783CE8DFA3F}"/>
            </c:ext>
          </c:extLst>
        </c:ser>
        <c:ser>
          <c:idx val="2"/>
          <c:order val="2"/>
          <c:tx>
            <c:strRef>
              <c:f>Sheet1!$CA$39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Sheet1!$BX$40:$BX$47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Sheet1!$CA$40:$CA$47</c:f>
              <c:numCache>
                <c:formatCode>General</c:formatCode>
                <c:ptCount val="8"/>
                <c:pt idx="0">
                  <c:v>-2.7000000000000135E-2</c:v>
                </c:pt>
                <c:pt idx="1">
                  <c:v>-2.3499999999999965E-2</c:v>
                </c:pt>
                <c:pt idx="2">
                  <c:v>1.5999999999999903E-2</c:v>
                </c:pt>
                <c:pt idx="3">
                  <c:v>-5.0000000000000044E-3</c:v>
                </c:pt>
                <c:pt idx="4">
                  <c:v>4.1499999999999981E-2</c:v>
                </c:pt>
                <c:pt idx="5">
                  <c:v>-1.9999999999999907E-2</c:v>
                </c:pt>
                <c:pt idx="6">
                  <c:v>0</c:v>
                </c:pt>
                <c:pt idx="7">
                  <c:v>-2.8999999999999915E-2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BB0-BA77-7783CE8DFA3F}"/>
            </c:ext>
          </c:extLst>
        </c:ser>
        <c:ser>
          <c:idx val="3"/>
          <c:order val="3"/>
          <c:tx>
            <c:strRef>
              <c:f>Sheet1!$CB$39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Sheet1!$BX$40:$BX$47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Sheet1!$CB$40:$CB$47</c:f>
              <c:numCache>
                <c:formatCode>General</c:formatCode>
                <c:ptCount val="8"/>
                <c:pt idx="0">
                  <c:v>-5.4000000000000006E-2</c:v>
                </c:pt>
                <c:pt idx="1">
                  <c:v>-3.5000000000000003E-2</c:v>
                </c:pt>
                <c:pt idx="2">
                  <c:v>3.3000000000000002E-2</c:v>
                </c:pt>
                <c:pt idx="3">
                  <c:v>-7.0000000000000062E-3</c:v>
                </c:pt>
                <c:pt idx="4">
                  <c:v>0.11199999999999999</c:v>
                </c:pt>
                <c:pt idx="5">
                  <c:v>-1.5999999999999986E-2</c:v>
                </c:pt>
                <c:pt idx="6">
                  <c:v>0</c:v>
                </c:pt>
                <c:pt idx="7">
                  <c:v>-3.5000000000000003E-2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BB0-BA77-7783CE8DF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8881487"/>
        <c:axId val="1797603135"/>
      </c:barChart>
      <c:catAx>
        <c:axId val="20588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603135"/>
        <c:crosses val="autoZero"/>
        <c:auto val="1"/>
        <c:lblAlgn val="ctr"/>
        <c:lblOffset val="100"/>
        <c:noMultiLvlLbl val="0"/>
      </c:catAx>
      <c:valAx>
        <c:axId val="179760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8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Sheet1!$BY$14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Sheet1!$BX$15:$BX$22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Sheet1!$BY$15:$BY$22</c:f>
              <c:numCache>
                <c:formatCode>General</c:formatCode>
                <c:ptCount val="8"/>
                <c:pt idx="0">
                  <c:v>-9.5221518987341769E-3</c:v>
                </c:pt>
                <c:pt idx="1">
                  <c:v>-6.1107594936708892E-3</c:v>
                </c:pt>
                <c:pt idx="2">
                  <c:v>5.0284810126582091E-3</c:v>
                </c:pt>
                <c:pt idx="3">
                  <c:v>-9.7848101265822773E-3</c:v>
                </c:pt>
                <c:pt idx="4">
                  <c:v>8.8857594936708847E-2</c:v>
                </c:pt>
                <c:pt idx="5">
                  <c:v>4.6591772151898733E-2</c:v>
                </c:pt>
                <c:pt idx="6">
                  <c:v>-4.8164556962025096E-3</c:v>
                </c:pt>
                <c:pt idx="7">
                  <c:v>-2.6268987341772132E-2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4-47F0-91F5-33724922A8E7}"/>
            </c:ext>
          </c:extLst>
        </c:ser>
        <c:ser>
          <c:idx val="1"/>
          <c:order val="1"/>
          <c:tx>
            <c:strRef>
              <c:f>Sheet1!$BZ$14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Sheet1!$BX$15:$BX$22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Sheet1!$BZ$15:$BZ$22</c:f>
              <c:numCache>
                <c:formatCode>General</c:formatCode>
                <c:ptCount val="8"/>
                <c:pt idx="0">
                  <c:v>-3.9263608959640983E-3</c:v>
                </c:pt>
                <c:pt idx="1">
                  <c:v>-6.5551370626693028E-3</c:v>
                </c:pt>
                <c:pt idx="2">
                  <c:v>8.673236736556067E-5</c:v>
                </c:pt>
                <c:pt idx="3">
                  <c:v>4.6403543121752433E-3</c:v>
                </c:pt>
                <c:pt idx="4">
                  <c:v>-1.7267447238216049E-2</c:v>
                </c:pt>
                <c:pt idx="5">
                  <c:v>-1.5266966882729438E-2</c:v>
                </c:pt>
                <c:pt idx="6">
                  <c:v>2.3271362808685581E-4</c:v>
                </c:pt>
                <c:pt idx="7">
                  <c:v>-1.0510892992302123E-2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4-47F0-91F5-33724922A8E7}"/>
            </c:ext>
          </c:extLst>
        </c:ser>
        <c:ser>
          <c:idx val="2"/>
          <c:order val="2"/>
          <c:tx>
            <c:strRef>
              <c:f>Sheet1!$CA$14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Sheet1!$BX$15:$BX$22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Sheet1!$CA$15:$CA$22</c:f>
              <c:numCache>
                <c:formatCode>General</c:formatCode>
                <c:ptCount val="8"/>
                <c:pt idx="0">
                  <c:v>-5.1250000000000184E-3</c:v>
                </c:pt>
                <c:pt idx="1">
                  <c:v>-9.8749999999999949E-3</c:v>
                </c:pt>
                <c:pt idx="2">
                  <c:v>3.749999999999587E-4</c:v>
                </c:pt>
                <c:pt idx="3">
                  <c:v>4.2500000000000038E-3</c:v>
                </c:pt>
                <c:pt idx="4">
                  <c:v>-2.6749999999999968E-2</c:v>
                </c:pt>
                <c:pt idx="5">
                  <c:v>-0.06</c:v>
                </c:pt>
                <c:pt idx="6">
                  <c:v>-8.74999999999998E-3</c:v>
                </c:pt>
                <c:pt idx="7">
                  <c:v>-6.0124999999999984E-2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4-47F0-91F5-33724922A8E7}"/>
            </c:ext>
          </c:extLst>
        </c:ser>
        <c:ser>
          <c:idx val="3"/>
          <c:order val="3"/>
          <c:tx>
            <c:strRef>
              <c:f>Sheet1!$CB$14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Sheet1!$BX$15:$BX$22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Sheet1!$CB$15:$CB$22</c:f>
              <c:numCache>
                <c:formatCode>General</c:formatCode>
                <c:ptCount val="8"/>
                <c:pt idx="0">
                  <c:v>-8.2125721508955751E-3</c:v>
                </c:pt>
                <c:pt idx="1">
                  <c:v>-1.98696277651653E-3</c:v>
                </c:pt>
                <c:pt idx="2">
                  <c:v>1.098476686792936E-3</c:v>
                </c:pt>
                <c:pt idx="3">
                  <c:v>-4.7523099136378422E-3</c:v>
                </c:pt>
                <c:pt idx="4">
                  <c:v>1.2249461176688403E-2</c:v>
                </c:pt>
                <c:pt idx="5">
                  <c:v>-1.3849719321552476E-3</c:v>
                </c:pt>
                <c:pt idx="6">
                  <c:v>-4.4710607344841391E-3</c:v>
                </c:pt>
                <c:pt idx="7">
                  <c:v>-3.7727373028370537E-2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C4-47F0-91F5-33724922A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3486431"/>
        <c:axId val="1842436639"/>
      </c:barChart>
      <c:catAx>
        <c:axId val="15434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36639"/>
        <c:crosses val="autoZero"/>
        <c:auto val="1"/>
        <c:lblAlgn val="ctr"/>
        <c:lblOffset val="100"/>
        <c:noMultiLvlLbl val="0"/>
      </c:catAx>
      <c:valAx>
        <c:axId val="184243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48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/>
              <a:t>Existence of Complications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Sheet1!$BY$3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Sheet1!$BX$4:$BX$11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Sheet1!$BY$4:$BY$11</c:f>
              <c:numCache>
                <c:formatCode>General</c:formatCode>
                <c:ptCount val="8"/>
                <c:pt idx="0">
                  <c:v>-1.6000000000000014E-2</c:v>
                </c:pt>
                <c:pt idx="1">
                  <c:v>2.7000000000000024E-2</c:v>
                </c:pt>
                <c:pt idx="2">
                  <c:v>5.0000000000000044E-3</c:v>
                </c:pt>
                <c:pt idx="3">
                  <c:v>-8.0000000000000071E-3</c:v>
                </c:pt>
                <c:pt idx="4">
                  <c:v>1.6000000000000014E-2</c:v>
                </c:pt>
                <c:pt idx="5">
                  <c:v>3.0000000000000027E-3</c:v>
                </c:pt>
                <c:pt idx="6">
                  <c:v>0</c:v>
                </c:pt>
                <c:pt idx="7">
                  <c:v>1.4000000000000012E-2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1-46FD-93F6-9AD4D324E5F5}"/>
            </c:ext>
          </c:extLst>
        </c:ser>
        <c:ser>
          <c:idx val="1"/>
          <c:order val="1"/>
          <c:tx>
            <c:strRef>
              <c:f>Sheet1!$BZ$3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Sheet1!$BX$4:$BX$11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Sheet1!$BZ$4:$BZ$11</c:f>
              <c:numCache>
                <c:formatCode>General</c:formatCode>
                <c:ptCount val="8"/>
                <c:pt idx="0">
                  <c:v>-4.0000000000000036E-3</c:v>
                </c:pt>
                <c:pt idx="1">
                  <c:v>4.0999999999999925E-2</c:v>
                </c:pt>
                <c:pt idx="2">
                  <c:v>6.0000000000000053E-3</c:v>
                </c:pt>
                <c:pt idx="3">
                  <c:v>3.0000000000000027E-3</c:v>
                </c:pt>
                <c:pt idx="4">
                  <c:v>2.5000000000000022E-2</c:v>
                </c:pt>
                <c:pt idx="5">
                  <c:v>2.2999999999999909E-2</c:v>
                </c:pt>
                <c:pt idx="6">
                  <c:v>0</c:v>
                </c:pt>
                <c:pt idx="7">
                  <c:v>9.000000000000008E-3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1-46FD-93F6-9AD4D324E5F5}"/>
            </c:ext>
          </c:extLst>
        </c:ser>
        <c:ser>
          <c:idx val="2"/>
          <c:order val="2"/>
          <c:tx>
            <c:strRef>
              <c:f>Sheet1!$CA$3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Sheet1!$BX$4:$BX$11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Sheet1!$CA$4:$CA$11</c:f>
              <c:numCache>
                <c:formatCode>General</c:formatCode>
                <c:ptCount val="8"/>
                <c:pt idx="0">
                  <c:v>-1.9499999999999962E-2</c:v>
                </c:pt>
                <c:pt idx="1">
                  <c:v>3.2000000000000028E-2</c:v>
                </c:pt>
                <c:pt idx="2">
                  <c:v>6.5000000000000613E-3</c:v>
                </c:pt>
                <c:pt idx="3">
                  <c:v>-8.5000000000000631E-3</c:v>
                </c:pt>
                <c:pt idx="4">
                  <c:v>1.8000000000000016E-2</c:v>
                </c:pt>
                <c:pt idx="5">
                  <c:v>1.4999999999999458E-3</c:v>
                </c:pt>
                <c:pt idx="6">
                  <c:v>0</c:v>
                </c:pt>
                <c:pt idx="7">
                  <c:v>1.3000000000000123E-2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1-46FD-93F6-9AD4D324E5F5}"/>
            </c:ext>
          </c:extLst>
        </c:ser>
        <c:ser>
          <c:idx val="3"/>
          <c:order val="3"/>
          <c:tx>
            <c:strRef>
              <c:f>Sheet1!$CB$3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Sheet1!$BX$4:$BX$11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Sheet1!$CB$4:$CB$11</c:f>
              <c:numCache>
                <c:formatCode>General</c:formatCode>
                <c:ptCount val="8"/>
                <c:pt idx="0">
                  <c:v>-3.8999999999999979E-2</c:v>
                </c:pt>
                <c:pt idx="1">
                  <c:v>6.0000000000000026E-2</c:v>
                </c:pt>
                <c:pt idx="2">
                  <c:v>1.100000000000001E-2</c:v>
                </c:pt>
                <c:pt idx="3">
                  <c:v>-1.699999999999996E-2</c:v>
                </c:pt>
                <c:pt idx="4">
                  <c:v>3.5000000000000031E-2</c:v>
                </c:pt>
                <c:pt idx="5">
                  <c:v>4.0000000000000036E-3</c:v>
                </c:pt>
                <c:pt idx="6">
                  <c:v>0</c:v>
                </c:pt>
                <c:pt idx="7">
                  <c:v>2.6000000000000023E-2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1-46FD-93F6-9AD4D324E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3557743"/>
        <c:axId val="1688590815"/>
      </c:barChart>
      <c:catAx>
        <c:axId val="15435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90815"/>
        <c:crosses val="autoZero"/>
        <c:auto val="1"/>
        <c:lblAlgn val="ctr"/>
        <c:lblOffset val="100"/>
        <c:noMultiLvlLbl val="0"/>
      </c:catAx>
      <c:valAx>
        <c:axId val="168859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5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Existence of Complications</a:t>
            </a:r>
            <a:r>
              <a:rPr lang="en-US" sz="1400" b="0" i="0" baseline="0">
                <a:effectLst/>
              </a:rPr>
              <a:t>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Sheet1!$DJ$3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Sheet1!$DI$4:$DI$11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Sheet1!$DJ$4:$DJ$11</c:f>
              <c:numCache>
                <c:formatCode>General</c:formatCode>
                <c:ptCount val="8"/>
                <c:pt idx="0">
                  <c:v>0.39400000000000002</c:v>
                </c:pt>
                <c:pt idx="1">
                  <c:v>0.379</c:v>
                </c:pt>
                <c:pt idx="2">
                  <c:v>0.40800000000000003</c:v>
                </c:pt>
                <c:pt idx="3">
                  <c:v>0.374</c:v>
                </c:pt>
                <c:pt idx="4">
                  <c:v>0.36200000000000004</c:v>
                </c:pt>
                <c:pt idx="5">
                  <c:v>0.36600000000000005</c:v>
                </c:pt>
                <c:pt idx="6">
                  <c:v>0.36200000000000004</c:v>
                </c:pt>
                <c:pt idx="7">
                  <c:v>0.34400000000000003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0-4FBA-9C8D-87F7A2D3876C}"/>
            </c:ext>
          </c:extLst>
        </c:ser>
        <c:ser>
          <c:idx val="1"/>
          <c:order val="1"/>
          <c:tx>
            <c:strRef>
              <c:f>Sheet1!$DK$3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Sheet1!$DI$4:$DI$11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Sheet1!$DK$4:$DK$11</c:f>
              <c:numCache>
                <c:formatCode>General</c:formatCode>
                <c:ptCount val="8"/>
                <c:pt idx="0">
                  <c:v>0.70699999999999996</c:v>
                </c:pt>
                <c:pt idx="1">
                  <c:v>0.68600000000000005</c:v>
                </c:pt>
                <c:pt idx="2">
                  <c:v>0.68799999999999994</c:v>
                </c:pt>
                <c:pt idx="3">
                  <c:v>0.69599999999999995</c:v>
                </c:pt>
                <c:pt idx="4">
                  <c:v>0.71599999999999997</c:v>
                </c:pt>
                <c:pt idx="5">
                  <c:v>0.72199999999999998</c:v>
                </c:pt>
                <c:pt idx="6">
                  <c:v>0.70399999999999996</c:v>
                </c:pt>
                <c:pt idx="7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0-4FBA-9C8D-87F7A2D3876C}"/>
            </c:ext>
          </c:extLst>
        </c:ser>
        <c:ser>
          <c:idx val="2"/>
          <c:order val="2"/>
          <c:tx>
            <c:strRef>
              <c:f>Sheet1!$DL$3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Sheet1!$DI$4:$DI$11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Sheet1!$DL$4:$DL$11</c:f>
              <c:numCache>
                <c:formatCode>General</c:formatCode>
                <c:ptCount val="8"/>
                <c:pt idx="0">
                  <c:v>0.62150000000000005</c:v>
                </c:pt>
                <c:pt idx="1">
                  <c:v>0.64450000000000007</c:v>
                </c:pt>
                <c:pt idx="2">
                  <c:v>0.65749999999999997</c:v>
                </c:pt>
                <c:pt idx="3">
                  <c:v>0.65349999999999997</c:v>
                </c:pt>
                <c:pt idx="4">
                  <c:v>0.67700000000000005</c:v>
                </c:pt>
                <c:pt idx="5">
                  <c:v>0.66700000000000004</c:v>
                </c:pt>
                <c:pt idx="6">
                  <c:v>0.65300000000000002</c:v>
                </c:pt>
                <c:pt idx="7">
                  <c:v>0.66399999999999992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0-4FBA-9C8D-87F7A2D3876C}"/>
            </c:ext>
          </c:extLst>
        </c:ser>
        <c:ser>
          <c:idx val="3"/>
          <c:order val="3"/>
          <c:tx>
            <c:strRef>
              <c:f>Sheet1!$DM$3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Sheet1!$DI$4:$DI$11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Sheet1!$DM$4:$DM$11</c:f>
              <c:numCache>
                <c:formatCode>General</c:formatCode>
                <c:ptCount val="8"/>
                <c:pt idx="0">
                  <c:v>0.254</c:v>
                </c:pt>
                <c:pt idx="1">
                  <c:v>0.28699999999999998</c:v>
                </c:pt>
                <c:pt idx="2">
                  <c:v>0.313</c:v>
                </c:pt>
                <c:pt idx="3">
                  <c:v>0.30199999999999999</c:v>
                </c:pt>
                <c:pt idx="4">
                  <c:v>0.35399999999999998</c:v>
                </c:pt>
                <c:pt idx="5">
                  <c:v>0.33400000000000002</c:v>
                </c:pt>
                <c:pt idx="6">
                  <c:v>0.30199999999999999</c:v>
                </c:pt>
                <c:pt idx="7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0-4FBA-9C8D-87F7A2D3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408239"/>
        <c:axId val="1797605631"/>
      </c:barChart>
      <c:catAx>
        <c:axId val="17874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605631"/>
        <c:crosses val="autoZero"/>
        <c:auto val="1"/>
        <c:lblAlgn val="ctr"/>
        <c:lblOffset val="100"/>
        <c:noMultiLvlLbl val="0"/>
      </c:catAx>
      <c:valAx>
        <c:axId val="17976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0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Severity of Complications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Sheet1!$DJ$14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Sheet1!$DI$15:$DI$22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Sheet1!$DJ$15:$DJ$22</c:f>
              <c:numCache>
                <c:formatCode>General</c:formatCode>
                <c:ptCount val="8"/>
                <c:pt idx="0">
                  <c:v>0.22800000000000001</c:v>
                </c:pt>
                <c:pt idx="1">
                  <c:v>6.1999999999999993E-2</c:v>
                </c:pt>
                <c:pt idx="2">
                  <c:v>7.2000000000000008E-2</c:v>
                </c:pt>
                <c:pt idx="3">
                  <c:v>8.0999999999999989E-2</c:v>
                </c:pt>
                <c:pt idx="4">
                  <c:v>3.8999999999999993E-2</c:v>
                </c:pt>
                <c:pt idx="5">
                  <c:v>0.10300000000000001</c:v>
                </c:pt>
                <c:pt idx="6">
                  <c:v>0.17799999999999999</c:v>
                </c:pt>
                <c:pt idx="7">
                  <c:v>0.183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8-4BEE-A2B6-A873B1354A59}"/>
            </c:ext>
          </c:extLst>
        </c:ser>
        <c:ser>
          <c:idx val="1"/>
          <c:order val="1"/>
          <c:tx>
            <c:strRef>
              <c:f>Sheet1!$DK$14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Sheet1!$DI$15:$DI$22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Sheet1!$DK$15:$DK$22</c:f>
              <c:numCache>
                <c:formatCode>General</c:formatCode>
                <c:ptCount val="8"/>
                <c:pt idx="0">
                  <c:v>0.57999999999999996</c:v>
                </c:pt>
                <c:pt idx="1">
                  <c:v>0.6</c:v>
                </c:pt>
                <c:pt idx="2">
                  <c:v>0.63300000000000001</c:v>
                </c:pt>
                <c:pt idx="3">
                  <c:v>0.64600000000000002</c:v>
                </c:pt>
                <c:pt idx="4">
                  <c:v>0.63700000000000001</c:v>
                </c:pt>
                <c:pt idx="5">
                  <c:v>0.63500000000000001</c:v>
                </c:pt>
                <c:pt idx="6">
                  <c:v>0.61399999999999999</c:v>
                </c:pt>
                <c:pt idx="7">
                  <c:v>0.59899999999999998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8-4BEE-A2B6-A873B1354A59}"/>
            </c:ext>
          </c:extLst>
        </c:ser>
        <c:ser>
          <c:idx val="2"/>
          <c:order val="2"/>
          <c:tx>
            <c:strRef>
              <c:f>Sheet1!$DL$14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Sheet1!$DI$15:$DI$22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Sheet1!$DL$15:$DL$22</c:f>
              <c:numCache>
                <c:formatCode>General</c:formatCode>
                <c:ptCount val="8"/>
                <c:pt idx="0">
                  <c:v>0.19187500000000002</c:v>
                </c:pt>
                <c:pt idx="1">
                  <c:v>0.21962499999999999</c:v>
                </c:pt>
                <c:pt idx="2">
                  <c:v>0.268125</c:v>
                </c:pt>
                <c:pt idx="3">
                  <c:v>0.22075</c:v>
                </c:pt>
                <c:pt idx="4">
                  <c:v>0.21625</c:v>
                </c:pt>
                <c:pt idx="5">
                  <c:v>0.202125</c:v>
                </c:pt>
                <c:pt idx="6">
                  <c:v>0.23800000000000002</c:v>
                </c:pt>
                <c:pt idx="7">
                  <c:v>0.20174999999999998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8-4BEE-A2B6-A873B1354A59}"/>
            </c:ext>
          </c:extLst>
        </c:ser>
        <c:ser>
          <c:idx val="3"/>
          <c:order val="3"/>
          <c:tx>
            <c:strRef>
              <c:f>Sheet1!$DM$14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Sheet1!$DI$15:$DI$22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Sheet1!$DM$15:$DM$22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2.9000000000000001E-2</c:v>
                </c:pt>
                <c:pt idx="2">
                  <c:v>5.0999999999999997E-2</c:v>
                </c:pt>
                <c:pt idx="3">
                  <c:v>5.1999999999999998E-2</c:v>
                </c:pt>
                <c:pt idx="4">
                  <c:v>2.5000000000000001E-2</c:v>
                </c:pt>
                <c:pt idx="5">
                  <c:v>4.1000000000000002E-2</c:v>
                </c:pt>
                <c:pt idx="6">
                  <c:v>9.0999999999999998E-2</c:v>
                </c:pt>
                <c:pt idx="7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8-4BEE-A2B6-A873B135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378639"/>
        <c:axId val="1797608543"/>
      </c:barChart>
      <c:catAx>
        <c:axId val="17873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608543"/>
        <c:crosses val="autoZero"/>
        <c:auto val="1"/>
        <c:lblAlgn val="ctr"/>
        <c:lblOffset val="100"/>
        <c:noMultiLvlLbl val="0"/>
      </c:catAx>
      <c:valAx>
        <c:axId val="179760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7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Severity of Complications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Sheet1!$DJ$25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Sheet1!$DI$26:$DI$36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Sheet1!$DJ$26:$DJ$36</c:f>
              <c:numCache>
                <c:formatCode>General</c:formatCode>
                <c:ptCount val="11"/>
                <c:pt idx="0">
                  <c:v>-170392568799.745</c:v>
                </c:pt>
                <c:pt idx="1">
                  <c:v>-5.600000000000005E-2</c:v>
                </c:pt>
                <c:pt idx="2">
                  <c:v>-0.12999999999999989</c:v>
                </c:pt>
                <c:pt idx="3">
                  <c:v>-2.0000000000000018E-3</c:v>
                </c:pt>
                <c:pt idx="4">
                  <c:v>-0.12999999999999989</c:v>
                </c:pt>
                <c:pt idx="5">
                  <c:v>-1.9000000000000128E-2</c:v>
                </c:pt>
                <c:pt idx="6">
                  <c:v>-0.35099999999999998</c:v>
                </c:pt>
                <c:pt idx="7">
                  <c:v>-0.12400000000000011</c:v>
                </c:pt>
                <c:pt idx="8">
                  <c:v>-2.6000000000000023E-2</c:v>
                </c:pt>
                <c:pt idx="9">
                  <c:v>-1.4999999999999902E-2</c:v>
                </c:pt>
                <c:pt idx="10">
                  <c:v>-0.16800000000000015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C-484F-93C5-214D99CD4691}"/>
            </c:ext>
          </c:extLst>
        </c:ser>
        <c:ser>
          <c:idx val="1"/>
          <c:order val="1"/>
          <c:tx>
            <c:strRef>
              <c:f>Sheet1!$DK$25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Sheet1!$DI$26:$DI$36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Sheet1!$DK$26:$DK$36</c:f>
              <c:numCache>
                <c:formatCode>General</c:formatCode>
                <c:ptCount val="11"/>
                <c:pt idx="0">
                  <c:v>-1347353029202.156</c:v>
                </c:pt>
                <c:pt idx="1">
                  <c:v>-9.6999999999999975E-2</c:v>
                </c:pt>
                <c:pt idx="2">
                  <c:v>0.46900000000000008</c:v>
                </c:pt>
                <c:pt idx="3">
                  <c:v>-1.0999999999999899E-2</c:v>
                </c:pt>
                <c:pt idx="4">
                  <c:v>0.46900000000000008</c:v>
                </c:pt>
                <c:pt idx="5">
                  <c:v>-5.1999999999999824E-2</c:v>
                </c:pt>
                <c:pt idx="6">
                  <c:v>-0.40500000000000003</c:v>
                </c:pt>
                <c:pt idx="7">
                  <c:v>6.800000000000006E-2</c:v>
                </c:pt>
                <c:pt idx="8">
                  <c:v>2.0000000000000018E-3</c:v>
                </c:pt>
                <c:pt idx="9">
                  <c:v>-1.6000000000000014E-2</c:v>
                </c:pt>
                <c:pt idx="10">
                  <c:v>-0.24299999999999988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C-484F-93C5-214D99CD4691}"/>
            </c:ext>
          </c:extLst>
        </c:ser>
        <c:ser>
          <c:idx val="2"/>
          <c:order val="2"/>
          <c:tx>
            <c:strRef>
              <c:f>Sheet1!$DL$25</c:f>
              <c:strCache>
                <c:ptCount val="1"/>
                <c:pt idx="0">
                  <c:v>R,Squared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Sheet1!$DI$26:$DI$36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Sheet1!$DL$26:$DL$36</c:f>
              <c:numCache>
                <c:formatCode>General</c:formatCode>
                <c:ptCount val="11"/>
                <c:pt idx="0">
                  <c:v>2.8637876400015176E+24</c:v>
                </c:pt>
                <c:pt idx="1">
                  <c:v>0.09</c:v>
                </c:pt>
                <c:pt idx="2">
                  <c:v>-0.56299999999999994</c:v>
                </c:pt>
                <c:pt idx="3">
                  <c:v>7.9999999999999793E-3</c:v>
                </c:pt>
                <c:pt idx="4">
                  <c:v>-0.56299999999999994</c:v>
                </c:pt>
                <c:pt idx="5">
                  <c:v>5.1999999999999991E-2</c:v>
                </c:pt>
                <c:pt idx="6">
                  <c:v>0.501</c:v>
                </c:pt>
                <c:pt idx="7">
                  <c:v>-6.3E-2</c:v>
                </c:pt>
                <c:pt idx="8">
                  <c:v>-1.0000000000000009E-3</c:v>
                </c:pt>
                <c:pt idx="9">
                  <c:v>1.4999999999999986E-2</c:v>
                </c:pt>
                <c:pt idx="10">
                  <c:v>0.253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7C-484F-93C5-214D99CD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799551"/>
        <c:axId val="1592922911"/>
      </c:barChart>
      <c:catAx>
        <c:axId val="180279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22911"/>
        <c:crosses val="autoZero"/>
        <c:auto val="1"/>
        <c:lblAlgn val="ctr"/>
        <c:lblOffset val="100"/>
        <c:noMultiLvlLbl val="0"/>
      </c:catAx>
      <c:valAx>
        <c:axId val="1592922911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9955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Sheet1!$DN$25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Sheet1!$DM$26:$DM$36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Sheet1!$DN$26:$DN$36</c:f>
              <c:numCache>
                <c:formatCode>General</c:formatCode>
                <c:ptCount val="11"/>
                <c:pt idx="0">
                  <c:v>-2.0000000000000018E-2</c:v>
                </c:pt>
                <c:pt idx="1">
                  <c:v>-3.3999999999999975E-2</c:v>
                </c:pt>
                <c:pt idx="2">
                  <c:v>0.49200000000000005</c:v>
                </c:pt>
                <c:pt idx="3">
                  <c:v>-2.0000000000000018E-3</c:v>
                </c:pt>
                <c:pt idx="4">
                  <c:v>0.49200000000000005</c:v>
                </c:pt>
                <c:pt idx="5">
                  <c:v>2.0000000000000018E-3</c:v>
                </c:pt>
                <c:pt idx="6">
                  <c:v>8.6000000000000021E-2</c:v>
                </c:pt>
                <c:pt idx="7">
                  <c:v>0.14999999999999997</c:v>
                </c:pt>
                <c:pt idx="8">
                  <c:v>5.1000000000000045E-2</c:v>
                </c:pt>
                <c:pt idx="9">
                  <c:v>0</c:v>
                </c:pt>
                <c:pt idx="10">
                  <c:v>-2.5999999999999968E-2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F-4B1C-A859-C87D12E0968D}"/>
            </c:ext>
          </c:extLst>
        </c:ser>
        <c:ser>
          <c:idx val="1"/>
          <c:order val="1"/>
          <c:tx>
            <c:strRef>
              <c:f>Sheet1!$DO$25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Sheet1!$DM$26:$DM$36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Sheet1!$DO$26:$DO$36</c:f>
              <c:numCache>
                <c:formatCode>General</c:formatCode>
                <c:ptCount val="11"/>
                <c:pt idx="0">
                  <c:v>-5.6249999999999911E-3</c:v>
                </c:pt>
                <c:pt idx="1">
                  <c:v>-2.1250000000000019E-2</c:v>
                </c:pt>
                <c:pt idx="2">
                  <c:v>1.2499999999999997E-2</c:v>
                </c:pt>
                <c:pt idx="3">
                  <c:v>1.0124999999999995E-2</c:v>
                </c:pt>
                <c:pt idx="4">
                  <c:v>1.2499999999999997E-2</c:v>
                </c:pt>
                <c:pt idx="5">
                  <c:v>-7.7499999999999791E-3</c:v>
                </c:pt>
                <c:pt idx="6">
                  <c:v>-3.5000000000000309E-3</c:v>
                </c:pt>
                <c:pt idx="7">
                  <c:v>-3.7250000000000033E-2</c:v>
                </c:pt>
                <c:pt idx="8">
                  <c:v>6.7500000000000338E-3</c:v>
                </c:pt>
                <c:pt idx="9">
                  <c:v>5.0000000000000044E-4</c:v>
                </c:pt>
                <c:pt idx="10">
                  <c:v>-4.4874999999999998E-2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F-4B1C-A859-C87D12E0968D}"/>
            </c:ext>
          </c:extLst>
        </c:ser>
        <c:ser>
          <c:idx val="2"/>
          <c:order val="2"/>
          <c:tx>
            <c:strRef>
              <c:f>Sheet1!$DP$25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Sheet1!$DM$26:$DM$36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Sheet1!$DP$26:$DP$36</c:f>
              <c:numCache>
                <c:formatCode>General</c:formatCode>
                <c:ptCount val="11"/>
                <c:pt idx="0">
                  <c:v>-6.0000000000000053E-3</c:v>
                </c:pt>
                <c:pt idx="1">
                  <c:v>-8.9999999999999941E-3</c:v>
                </c:pt>
                <c:pt idx="2">
                  <c:v>0</c:v>
                </c:pt>
                <c:pt idx="3">
                  <c:v>7.0000000000000062E-3</c:v>
                </c:pt>
                <c:pt idx="4">
                  <c:v>0</c:v>
                </c:pt>
                <c:pt idx="5">
                  <c:v>3.599999999999999E-2</c:v>
                </c:pt>
                <c:pt idx="6">
                  <c:v>8.6000000000000007E-2</c:v>
                </c:pt>
                <c:pt idx="7">
                  <c:v>2.6999999999999982E-2</c:v>
                </c:pt>
                <c:pt idx="8">
                  <c:v>1.100000000000001E-2</c:v>
                </c:pt>
                <c:pt idx="9">
                  <c:v>8.0000000000000071E-3</c:v>
                </c:pt>
                <c:pt idx="10">
                  <c:v>7.9999999999999932E-3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DF-4B1C-A859-C87D12E0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6010735"/>
        <c:axId val="1839399439"/>
      </c:barChart>
      <c:catAx>
        <c:axId val="18060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99439"/>
        <c:crosses val="autoZero"/>
        <c:auto val="1"/>
        <c:lblAlgn val="ctr"/>
        <c:lblOffset val="100"/>
        <c:noMultiLvlLbl val="0"/>
      </c:catAx>
      <c:valAx>
        <c:axId val="183939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01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Sheet1!$B$14:$E$14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7.2999999999999995E-2</c:v>
                </c:pt>
                <c:pt idx="1">
                  <c:v>0.58699999999999997</c:v>
                </c:pt>
                <c:pt idx="2">
                  <c:v>0.19675000000000001</c:v>
                </c:pt>
                <c:pt idx="3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B-4581-BB7B-42856E3F6F5F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Sheet1!$B$14:$E$14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0.51900000000000002</c:v>
                </c:pt>
                <c:pt idx="1">
                  <c:v>0.58899999999999997</c:v>
                </c:pt>
                <c:pt idx="2">
                  <c:v>0.16674999999999998</c:v>
                </c:pt>
                <c:pt idx="3">
                  <c:v>0.122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B-4581-BB7B-42856E3F6F5F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Sheet1!$B$14:$E$14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0.40200000000000002</c:v>
                </c:pt>
                <c:pt idx="1">
                  <c:v>0.53</c:v>
                </c:pt>
                <c:pt idx="2">
                  <c:v>0.17787499999999998</c:v>
                </c:pt>
                <c:pt idx="3">
                  <c:v>9.4E-2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DB-4581-BB7B-42856E3F6F5F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Sheet1!$B$14:$E$14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0.53900000000000003</c:v>
                </c:pt>
                <c:pt idx="1">
                  <c:v>0.627</c:v>
                </c:pt>
                <c:pt idx="2">
                  <c:v>0.1585</c:v>
                </c:pt>
                <c:pt idx="3">
                  <c:v>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DB-4581-BB7B-42856E3F6F5F}"/>
            </c:ext>
          </c:extLst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Sheet1!$B$14:$E$14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0.53300000000000003</c:v>
                </c:pt>
                <c:pt idx="1">
                  <c:v>0.626</c:v>
                </c:pt>
                <c:pt idx="2">
                  <c:v>0.11177777777777778</c:v>
                </c:pt>
                <c:pt idx="3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DB-4581-BB7B-42856E3F6F5F}"/>
            </c:ext>
          </c:extLst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Sheet1!$B$14:$E$14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0.52100000000000002</c:v>
                </c:pt>
                <c:pt idx="1">
                  <c:v>0.64500000000000002</c:v>
                </c:pt>
                <c:pt idx="2">
                  <c:v>0.15422222222222218</c:v>
                </c:pt>
                <c:pt idx="3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DB-4581-BB7B-42856E3F6F5F}"/>
            </c:ext>
          </c:extLst>
        </c:ser>
        <c:ser>
          <c:idx val="6"/>
          <c:order val="6"/>
          <c:tx>
            <c:strRef>
              <c:f>Sheet1!$A$21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Sheet1!$B$14:$E$14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0.52300000000000002</c:v>
                </c:pt>
                <c:pt idx="1">
                  <c:v>0.63400000000000001</c:v>
                </c:pt>
                <c:pt idx="2">
                  <c:v>0.167625</c:v>
                </c:pt>
                <c:pt idx="3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DB-4581-BB7B-42856E3F6F5F}"/>
            </c:ext>
          </c:extLst>
        </c:ser>
        <c:ser>
          <c:idx val="7"/>
          <c:order val="7"/>
          <c:tx>
            <c:strRef>
              <c:f>Sheet1!$A$22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Sheet1!$B$14:$E$14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0.49199999999999999</c:v>
                </c:pt>
                <c:pt idx="1">
                  <c:v>0.622</c:v>
                </c:pt>
                <c:pt idx="2">
                  <c:v>0.17899999999999999</c:v>
                </c:pt>
                <c:pt idx="3">
                  <c:v>0.158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DB-4581-BB7B-42856E3F6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622031"/>
        <c:axId val="770307599"/>
      </c:barChart>
      <c:catAx>
        <c:axId val="82862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07599"/>
        <c:crosses val="autoZero"/>
        <c:auto val="1"/>
        <c:lblAlgn val="ctr"/>
        <c:lblOffset val="100"/>
        <c:noMultiLvlLbl val="0"/>
      </c:catAx>
      <c:valAx>
        <c:axId val="7703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2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Death Within 1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Sheet1!$DJ$39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Sheet1!$DI$40:$DI$47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Sheet1!$DJ$40:$DJ$47</c:f>
              <c:numCache>
                <c:formatCode>General</c:formatCode>
                <c:ptCount val="8"/>
                <c:pt idx="0">
                  <c:v>0</c:v>
                </c:pt>
                <c:pt idx="1">
                  <c:v>9.7000000000000031E-2</c:v>
                </c:pt>
                <c:pt idx="2">
                  <c:v>-2.7999999999999914E-2</c:v>
                </c:pt>
                <c:pt idx="3">
                  <c:v>-3.9000000000000035E-2</c:v>
                </c:pt>
                <c:pt idx="4">
                  <c:v>2.8999999999999915E-2</c:v>
                </c:pt>
                <c:pt idx="5">
                  <c:v>-1.4000000000000012E-2</c:v>
                </c:pt>
                <c:pt idx="6">
                  <c:v>-9.000000000000008E-3</c:v>
                </c:pt>
                <c:pt idx="7">
                  <c:v>-9.3999999999999972E-2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5-4770-9712-95DEE9E6C10A}"/>
            </c:ext>
          </c:extLst>
        </c:ser>
        <c:ser>
          <c:idx val="1"/>
          <c:order val="1"/>
          <c:tx>
            <c:strRef>
              <c:f>Sheet1!$DK$39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Sheet1!$DI$40:$DI$47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Sheet1!$DK$40:$DK$47</c:f>
              <c:numCache>
                <c:formatCode>General</c:formatCode>
                <c:ptCount val="8"/>
                <c:pt idx="0">
                  <c:v>0</c:v>
                </c:pt>
                <c:pt idx="1">
                  <c:v>-4.0000000000000036E-3</c:v>
                </c:pt>
                <c:pt idx="2">
                  <c:v>2.200000000000002E-2</c:v>
                </c:pt>
                <c:pt idx="3">
                  <c:v>2.0000000000000018E-3</c:v>
                </c:pt>
                <c:pt idx="4">
                  <c:v>3.0000000000000027E-3</c:v>
                </c:pt>
                <c:pt idx="5">
                  <c:v>2.300000000000002E-2</c:v>
                </c:pt>
                <c:pt idx="6">
                  <c:v>7.0000000000000062E-3</c:v>
                </c:pt>
                <c:pt idx="7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5-4770-9712-95DEE9E6C10A}"/>
            </c:ext>
          </c:extLst>
        </c:ser>
        <c:ser>
          <c:idx val="2"/>
          <c:order val="2"/>
          <c:tx>
            <c:strRef>
              <c:f>Sheet1!$DL$39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Sheet1!$DI$40:$DI$47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Sheet1!$DL$40:$DL$47</c:f>
              <c:numCache>
                <c:formatCode>General</c:formatCode>
                <c:ptCount val="8"/>
                <c:pt idx="0">
                  <c:v>0</c:v>
                </c:pt>
                <c:pt idx="1">
                  <c:v>4.0999999999999925E-2</c:v>
                </c:pt>
                <c:pt idx="2">
                  <c:v>2.2000000000000131E-2</c:v>
                </c:pt>
                <c:pt idx="3">
                  <c:v>1.9999999999999907E-2</c:v>
                </c:pt>
                <c:pt idx="4">
                  <c:v>3.0000000000000027E-3</c:v>
                </c:pt>
                <c:pt idx="5">
                  <c:v>2.1000000000000019E-2</c:v>
                </c:pt>
                <c:pt idx="6">
                  <c:v>7.0000000000000062E-3</c:v>
                </c:pt>
                <c:pt idx="7">
                  <c:v>-8.5000000000000631E-3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85-4770-9712-95DEE9E6C10A}"/>
            </c:ext>
          </c:extLst>
        </c:ser>
        <c:ser>
          <c:idx val="3"/>
          <c:order val="3"/>
          <c:tx>
            <c:strRef>
              <c:f>Sheet1!$DM$39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Sheet1!$DI$40:$DI$47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Sheet1!$DM$40:$DM$47</c:f>
              <c:numCache>
                <c:formatCode>General</c:formatCode>
                <c:ptCount val="8"/>
                <c:pt idx="0">
                  <c:v>0</c:v>
                </c:pt>
                <c:pt idx="1">
                  <c:v>0.06</c:v>
                </c:pt>
                <c:pt idx="2">
                  <c:v>2.0000000000000018E-3</c:v>
                </c:pt>
                <c:pt idx="3">
                  <c:v>-4.0000000000000036E-3</c:v>
                </c:pt>
                <c:pt idx="4">
                  <c:v>1.5000000000000013E-2</c:v>
                </c:pt>
                <c:pt idx="5">
                  <c:v>1.4999999999999986E-2</c:v>
                </c:pt>
                <c:pt idx="6">
                  <c:v>2.0000000000000018E-3</c:v>
                </c:pt>
                <c:pt idx="7">
                  <c:v>-4.8000000000000015E-2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85-4770-9712-95DEE9E6C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8867887"/>
        <c:axId val="1794431727"/>
      </c:barChart>
      <c:catAx>
        <c:axId val="20588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31727"/>
        <c:crosses val="autoZero"/>
        <c:auto val="1"/>
        <c:lblAlgn val="ctr"/>
        <c:lblOffset val="100"/>
        <c:noMultiLvlLbl val="0"/>
      </c:catAx>
      <c:valAx>
        <c:axId val="179443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6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Days in the ICU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Sheet1!$DJ$50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Sheet1!$DI$51:$DI$61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Sheet1!$DJ$51:$DJ$61</c:f>
              <c:numCache>
                <c:formatCode>General</c:formatCode>
                <c:ptCount val="11"/>
                <c:pt idx="0">
                  <c:v>-1.8000000000000016E-2</c:v>
                </c:pt>
                <c:pt idx="1">
                  <c:v>-0.11799999999999988</c:v>
                </c:pt>
                <c:pt idx="2">
                  <c:v>0</c:v>
                </c:pt>
                <c:pt idx="3">
                  <c:v>-5.0000000000000044E-3</c:v>
                </c:pt>
                <c:pt idx="4">
                  <c:v>-4.6000000000000041E-2</c:v>
                </c:pt>
                <c:pt idx="5">
                  <c:v>-5.0999999999999934E-2</c:v>
                </c:pt>
                <c:pt idx="6">
                  <c:v>-0.496</c:v>
                </c:pt>
                <c:pt idx="7">
                  <c:v>-0.16400000000000003</c:v>
                </c:pt>
                <c:pt idx="8">
                  <c:v>-0.10100000000000009</c:v>
                </c:pt>
                <c:pt idx="9">
                  <c:v>0</c:v>
                </c:pt>
                <c:pt idx="10">
                  <c:v>-0.19799999999999995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4-4FA9-B9DF-F468208B0076}"/>
            </c:ext>
          </c:extLst>
        </c:ser>
        <c:ser>
          <c:idx val="1"/>
          <c:order val="1"/>
          <c:tx>
            <c:strRef>
              <c:f>Sheet1!$DK$50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Sheet1!$DI$51:$DI$61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Sheet1!$DK$51:$DK$61</c:f>
              <c:numCache>
                <c:formatCode>General</c:formatCode>
                <c:ptCount val="11"/>
                <c:pt idx="0">
                  <c:v>-6.1999999999999833E-2</c:v>
                </c:pt>
                <c:pt idx="1">
                  <c:v>-0.12000000000000011</c:v>
                </c:pt>
                <c:pt idx="2">
                  <c:v>0</c:v>
                </c:pt>
                <c:pt idx="3">
                  <c:v>-1.4999999999999902E-2</c:v>
                </c:pt>
                <c:pt idx="4">
                  <c:v>-1.0999999999999899E-2</c:v>
                </c:pt>
                <c:pt idx="5">
                  <c:v>-9.6000000000000085E-2</c:v>
                </c:pt>
                <c:pt idx="6">
                  <c:v>-0.80400000000000005</c:v>
                </c:pt>
                <c:pt idx="7">
                  <c:v>-5.0000000000000044E-2</c:v>
                </c:pt>
                <c:pt idx="8">
                  <c:v>2.0000000000000018E-3</c:v>
                </c:pt>
                <c:pt idx="9">
                  <c:v>0</c:v>
                </c:pt>
                <c:pt idx="10">
                  <c:v>-0.20100000000000007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4-4FA9-B9DF-F468208B0076}"/>
            </c:ext>
          </c:extLst>
        </c:ser>
        <c:ser>
          <c:idx val="2"/>
          <c:order val="2"/>
          <c:tx>
            <c:strRef>
              <c:f>Sheet1!$DL$50</c:f>
              <c:strCache>
                <c:ptCount val="1"/>
                <c:pt idx="0">
                  <c:v>R,Squared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Sheet1!$DI$51:$DI$61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Sheet1!$DL$51:$DL$61</c:f>
              <c:numCache>
                <c:formatCode>General</c:formatCode>
                <c:ptCount val="11"/>
                <c:pt idx="0">
                  <c:v>0.127</c:v>
                </c:pt>
                <c:pt idx="1">
                  <c:v>0.17499999999999999</c:v>
                </c:pt>
                <c:pt idx="2">
                  <c:v>-1.7939999999999998</c:v>
                </c:pt>
                <c:pt idx="3">
                  <c:v>1.4000000000000002E-2</c:v>
                </c:pt>
                <c:pt idx="4">
                  <c:v>1.2999999999999999E-2</c:v>
                </c:pt>
                <c:pt idx="5">
                  <c:v>0.13899999999999998</c:v>
                </c:pt>
                <c:pt idx="6">
                  <c:v>1.3640000000000001</c:v>
                </c:pt>
                <c:pt idx="7">
                  <c:v>0.108</c:v>
                </c:pt>
                <c:pt idx="8">
                  <c:v>4.2999999999999997E-2</c:v>
                </c:pt>
                <c:pt idx="9">
                  <c:v>0</c:v>
                </c:pt>
                <c:pt idx="1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4-4FA9-B9DF-F468208B0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312255"/>
        <c:axId val="1801916767"/>
      </c:barChart>
      <c:catAx>
        <c:axId val="21143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916767"/>
        <c:crosses val="autoZero"/>
        <c:auto val="1"/>
        <c:lblAlgn val="ctr"/>
        <c:lblOffset val="100"/>
        <c:noMultiLvlLbl val="0"/>
      </c:catAx>
      <c:valAx>
        <c:axId val="180191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1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Days in the ICU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Sheet1!$EU$50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Sheet1!$ET$51:$ET$61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Sheet1!$EU$51:$EU$61</c:f>
              <c:numCache>
                <c:formatCode>General</c:formatCode>
                <c:ptCount val="11"/>
                <c:pt idx="0">
                  <c:v>85271797.662999988</c:v>
                </c:pt>
                <c:pt idx="1">
                  <c:v>6.9999999999998952E-3</c:v>
                </c:pt>
                <c:pt idx="2">
                  <c:v>0</c:v>
                </c:pt>
                <c:pt idx="3">
                  <c:v>-1.0000000000000009E-3</c:v>
                </c:pt>
                <c:pt idx="4">
                  <c:v>-7.0000000000001172E-3</c:v>
                </c:pt>
                <c:pt idx="5">
                  <c:v>-1.0000000000000009E-2</c:v>
                </c:pt>
                <c:pt idx="6">
                  <c:v>-1.5000000000000013E-2</c:v>
                </c:pt>
                <c:pt idx="7">
                  <c:v>2.0000000000000018E-3</c:v>
                </c:pt>
                <c:pt idx="8">
                  <c:v>-4.0000000000000036E-3</c:v>
                </c:pt>
                <c:pt idx="9">
                  <c:v>1.2000000000000011E-2</c:v>
                </c:pt>
                <c:pt idx="10">
                  <c:v>-1.0390000000000001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7-4EEA-B320-B83CBCA461EF}"/>
            </c:ext>
          </c:extLst>
        </c:ser>
        <c:ser>
          <c:idx val="1"/>
          <c:order val="1"/>
          <c:tx>
            <c:strRef>
              <c:f>Sheet1!$EV$50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Sheet1!$ET$51:$ET$61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Sheet1!$EV$51:$EV$61</c:f>
              <c:numCache>
                <c:formatCode>General</c:formatCode>
                <c:ptCount val="11"/>
                <c:pt idx="0">
                  <c:v>781528935.37699997</c:v>
                </c:pt>
                <c:pt idx="1">
                  <c:v>6.0000000000000053E-3</c:v>
                </c:pt>
                <c:pt idx="2">
                  <c:v>0</c:v>
                </c:pt>
                <c:pt idx="3">
                  <c:v>2.2999999999999909E-2</c:v>
                </c:pt>
                <c:pt idx="4">
                  <c:v>4.9999999999998934E-3</c:v>
                </c:pt>
                <c:pt idx="5">
                  <c:v>-8.0000000000000071E-3</c:v>
                </c:pt>
                <c:pt idx="6">
                  <c:v>-3.0999999999999917E-2</c:v>
                </c:pt>
                <c:pt idx="7">
                  <c:v>1.8000000000000016E-2</c:v>
                </c:pt>
                <c:pt idx="8">
                  <c:v>1.0000000000001119E-3</c:v>
                </c:pt>
                <c:pt idx="9">
                  <c:v>3.0000000000001137E-3</c:v>
                </c:pt>
                <c:pt idx="10">
                  <c:v>6.6000000000000059E-2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7-4EEA-B320-B83CBCA461EF}"/>
            </c:ext>
          </c:extLst>
        </c:ser>
        <c:ser>
          <c:idx val="2"/>
          <c:order val="2"/>
          <c:tx>
            <c:strRef>
              <c:f>Sheet1!$EW$50</c:f>
              <c:strCache>
                <c:ptCount val="1"/>
                <c:pt idx="0">
                  <c:v>R,Squared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Sheet1!$ET$51:$ET$61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Sheet1!$EW$51:$EW$61</c:f>
              <c:numCache>
                <c:formatCode>General</c:formatCode>
                <c:ptCount val="11"/>
                <c:pt idx="0">
                  <c:v>-2.28951403005789E+18</c:v>
                </c:pt>
                <c:pt idx="1">
                  <c:v>-1.2999999999999998E-2</c:v>
                </c:pt>
                <c:pt idx="2">
                  <c:v>0</c:v>
                </c:pt>
                <c:pt idx="3">
                  <c:v>-2.5000000000000001E-2</c:v>
                </c:pt>
                <c:pt idx="4">
                  <c:v>-5.0000000000000001E-3</c:v>
                </c:pt>
                <c:pt idx="5">
                  <c:v>1.0000000000000002E-2</c:v>
                </c:pt>
                <c:pt idx="6">
                  <c:v>3.8999999999999993E-2</c:v>
                </c:pt>
                <c:pt idx="7">
                  <c:v>-0.02</c:v>
                </c:pt>
                <c:pt idx="8">
                  <c:v>0</c:v>
                </c:pt>
                <c:pt idx="9">
                  <c:v>-8.9999999999999976E-3</c:v>
                </c:pt>
                <c:pt idx="10">
                  <c:v>-6.4000000000000001E-2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7-4EEA-B320-B83CBCA46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334607"/>
        <c:axId val="1592921247"/>
      </c:barChart>
      <c:catAx>
        <c:axId val="18423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21247"/>
        <c:crosses val="autoZero"/>
        <c:auto val="1"/>
        <c:lblAlgn val="ctr"/>
        <c:lblOffset val="100"/>
        <c:noMultiLvlLbl val="0"/>
      </c:catAx>
      <c:valAx>
        <c:axId val="1592921247"/>
        <c:scaling>
          <c:orientation val="minMax"/>
          <c:max val="0.70000000000000007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3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Death Within 1 Year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Sheet1!$EU$39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Sheet1!$ET$40:$ET$47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Sheet1!$EU$40:$EU$47</c:f>
              <c:numCache>
                <c:formatCode>General</c:formatCode>
                <c:ptCount val="8"/>
                <c:pt idx="0">
                  <c:v>6.0999999999999943E-2</c:v>
                </c:pt>
                <c:pt idx="1">
                  <c:v>9.7999999999999976E-2</c:v>
                </c:pt>
                <c:pt idx="2">
                  <c:v>-4.9000000000000044E-2</c:v>
                </c:pt>
                <c:pt idx="3">
                  <c:v>-3.0999999999999917E-2</c:v>
                </c:pt>
                <c:pt idx="4">
                  <c:v>-9.8999999999999977E-2</c:v>
                </c:pt>
                <c:pt idx="5">
                  <c:v>-2.0000000000000018E-3</c:v>
                </c:pt>
                <c:pt idx="6">
                  <c:v>-1.6000000000000014E-2</c:v>
                </c:pt>
                <c:pt idx="7">
                  <c:v>-1.4000000000000012E-2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0-4A43-89A0-BD1B735586ED}"/>
            </c:ext>
          </c:extLst>
        </c:ser>
        <c:ser>
          <c:idx val="1"/>
          <c:order val="1"/>
          <c:tx>
            <c:strRef>
              <c:f>Sheet1!$EV$39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Sheet1!$ET$40:$ET$47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Sheet1!$EV$40:$EV$47</c:f>
              <c:numCache>
                <c:formatCode>General</c:formatCode>
                <c:ptCount val="8"/>
                <c:pt idx="0">
                  <c:v>4.8999999999999932E-2</c:v>
                </c:pt>
                <c:pt idx="1">
                  <c:v>3.8999999999999924E-2</c:v>
                </c:pt>
                <c:pt idx="2">
                  <c:v>1.3000000000000012E-2</c:v>
                </c:pt>
                <c:pt idx="3">
                  <c:v>1.0000000000000009E-2</c:v>
                </c:pt>
                <c:pt idx="4">
                  <c:v>8.0000000000000071E-3</c:v>
                </c:pt>
                <c:pt idx="5">
                  <c:v>0</c:v>
                </c:pt>
                <c:pt idx="6">
                  <c:v>-1.5000000000000013E-2</c:v>
                </c:pt>
                <c:pt idx="7">
                  <c:v>6.0000000000000053E-3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0-4A43-89A0-BD1B735586ED}"/>
            </c:ext>
          </c:extLst>
        </c:ser>
        <c:ser>
          <c:idx val="2"/>
          <c:order val="2"/>
          <c:tx>
            <c:strRef>
              <c:f>Sheet1!$EW$39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Sheet1!$ET$40:$ET$47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Sheet1!$EW$40:$EW$47</c:f>
              <c:numCache>
                <c:formatCode>General</c:formatCode>
                <c:ptCount val="8"/>
                <c:pt idx="0">
                  <c:v>3.7000000000000033E-2</c:v>
                </c:pt>
                <c:pt idx="1">
                  <c:v>2.7000000000000024E-2</c:v>
                </c:pt>
                <c:pt idx="2">
                  <c:v>-4.6500000000000097E-2</c:v>
                </c:pt>
                <c:pt idx="3">
                  <c:v>1.0000000000000009E-2</c:v>
                </c:pt>
                <c:pt idx="4">
                  <c:v>8.0000000000001181E-3</c:v>
                </c:pt>
                <c:pt idx="5">
                  <c:v>2.399999999999991E-2</c:v>
                </c:pt>
                <c:pt idx="6">
                  <c:v>1.0999999999999899E-2</c:v>
                </c:pt>
                <c:pt idx="7">
                  <c:v>1.2000000000000122E-2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0-4A43-89A0-BD1B735586ED}"/>
            </c:ext>
          </c:extLst>
        </c:ser>
        <c:ser>
          <c:idx val="3"/>
          <c:order val="3"/>
          <c:tx>
            <c:strRef>
              <c:f>Sheet1!$EX$39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Sheet1!$ET$40:$ET$47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Sheet1!$EX$40:$EX$47</c:f>
              <c:numCache>
                <c:formatCode>General</c:formatCode>
                <c:ptCount val="8"/>
                <c:pt idx="0">
                  <c:v>5.8999999999999997E-2</c:v>
                </c:pt>
                <c:pt idx="1">
                  <c:v>6.7000000000000004E-2</c:v>
                </c:pt>
                <c:pt idx="2">
                  <c:v>-6.7000000000000004E-2</c:v>
                </c:pt>
                <c:pt idx="3">
                  <c:v>-6.0000000000000053E-3</c:v>
                </c:pt>
                <c:pt idx="4">
                  <c:v>-4.0000000000000008E-2</c:v>
                </c:pt>
                <c:pt idx="5">
                  <c:v>2.3999999999999994E-2</c:v>
                </c:pt>
                <c:pt idx="6">
                  <c:v>0</c:v>
                </c:pt>
                <c:pt idx="7">
                  <c:v>-1.0000000000000009E-3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00-4A43-89A0-BD1B73558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0179903"/>
        <c:axId val="1688592479"/>
      </c:barChart>
      <c:catAx>
        <c:axId val="206017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92479"/>
        <c:crosses val="autoZero"/>
        <c:auto val="1"/>
        <c:lblAlgn val="ctr"/>
        <c:lblOffset val="100"/>
        <c:noMultiLvlLbl val="0"/>
      </c:catAx>
      <c:valAx>
        <c:axId val="16885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Severity of Complications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Sheet1!$EU$25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Sheet1!$ET$26:$ET$36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Sheet1!$EU$26:$EU$36</c:f>
              <c:numCache>
                <c:formatCode>General</c:formatCode>
                <c:ptCount val="11"/>
                <c:pt idx="0">
                  <c:v>-1060499439.069</c:v>
                </c:pt>
                <c:pt idx="1">
                  <c:v>-1.4999999999999902E-2</c:v>
                </c:pt>
                <c:pt idx="2">
                  <c:v>0</c:v>
                </c:pt>
                <c:pt idx="3">
                  <c:v>-2.0000000000000018E-2</c:v>
                </c:pt>
                <c:pt idx="4">
                  <c:v>-4.8000000000000043E-2</c:v>
                </c:pt>
                <c:pt idx="5">
                  <c:v>-6.9999999999998952E-3</c:v>
                </c:pt>
                <c:pt idx="6">
                  <c:v>-1.4000000000000012E-2</c:v>
                </c:pt>
                <c:pt idx="7">
                  <c:v>-4.0000000000000036E-3</c:v>
                </c:pt>
                <c:pt idx="8">
                  <c:v>5.0000000000001155E-3</c:v>
                </c:pt>
                <c:pt idx="9">
                  <c:v>-6.0000000000000053E-3</c:v>
                </c:pt>
                <c:pt idx="10">
                  <c:v>-3.400000000000003E-2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6-4CA5-98C3-E216273D20A0}"/>
            </c:ext>
          </c:extLst>
        </c:ser>
        <c:ser>
          <c:idx val="1"/>
          <c:order val="1"/>
          <c:tx>
            <c:strRef>
              <c:f>Sheet1!$EV$25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Sheet1!$ET$26:$ET$36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Sheet1!$EV$26:$EV$36</c:f>
              <c:numCache>
                <c:formatCode>General</c:formatCode>
                <c:ptCount val="11"/>
                <c:pt idx="0">
                  <c:v>-9316319365.5709991</c:v>
                </c:pt>
                <c:pt idx="1">
                  <c:v>-8.0000000000000071E-3</c:v>
                </c:pt>
                <c:pt idx="2">
                  <c:v>0</c:v>
                </c:pt>
                <c:pt idx="3">
                  <c:v>3.6000000000000032E-2</c:v>
                </c:pt>
                <c:pt idx="4">
                  <c:v>-0.61500000000000021</c:v>
                </c:pt>
                <c:pt idx="5">
                  <c:v>-3.0000000000000027E-2</c:v>
                </c:pt>
                <c:pt idx="6">
                  <c:v>-2.4999999999999911E-2</c:v>
                </c:pt>
                <c:pt idx="7">
                  <c:v>5.8999999999999941E-2</c:v>
                </c:pt>
                <c:pt idx="8">
                  <c:v>7.6000000000000068E-2</c:v>
                </c:pt>
                <c:pt idx="9">
                  <c:v>4.0000000000000036E-3</c:v>
                </c:pt>
                <c:pt idx="10">
                  <c:v>-3.400000000000003E-2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6-4CA5-98C3-E216273D20A0}"/>
            </c:ext>
          </c:extLst>
        </c:ser>
        <c:ser>
          <c:idx val="2"/>
          <c:order val="2"/>
          <c:tx>
            <c:strRef>
              <c:f>Sheet1!$EW$25</c:f>
              <c:strCache>
                <c:ptCount val="1"/>
                <c:pt idx="0">
                  <c:v>R,Squared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Sheet1!$ET$26:$ET$36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Sheet1!$EW$26:$EW$36</c:f>
              <c:numCache>
                <c:formatCode>General</c:formatCode>
                <c:ptCount val="11"/>
                <c:pt idx="0">
                  <c:v>2.5623807886219602E+20</c:v>
                </c:pt>
                <c:pt idx="1">
                  <c:v>5.0000000000000044E-3</c:v>
                </c:pt>
                <c:pt idx="2">
                  <c:v>0</c:v>
                </c:pt>
                <c:pt idx="3">
                  <c:v>-3.2000000000000001E-2</c:v>
                </c:pt>
                <c:pt idx="4">
                  <c:v>0.71399999999999997</c:v>
                </c:pt>
                <c:pt idx="5">
                  <c:v>0.03</c:v>
                </c:pt>
                <c:pt idx="6">
                  <c:v>2.2000000000000002E-2</c:v>
                </c:pt>
                <c:pt idx="7">
                  <c:v>-5.7000000000000009E-2</c:v>
                </c:pt>
                <c:pt idx="8">
                  <c:v>-7.4999999999999997E-2</c:v>
                </c:pt>
                <c:pt idx="9">
                  <c:v>-4.0000000000000036E-3</c:v>
                </c:pt>
                <c:pt idx="10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6-4CA5-98C3-E216273D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3193871"/>
        <c:axId val="1795945023"/>
      </c:barChart>
      <c:catAx>
        <c:axId val="15431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945023"/>
        <c:crosses val="autoZero"/>
        <c:auto val="1"/>
        <c:lblAlgn val="ctr"/>
        <c:lblOffset val="100"/>
        <c:noMultiLvlLbl val="0"/>
      </c:catAx>
      <c:valAx>
        <c:axId val="179594502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9387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Severity of Complications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Sheet1!$EY$25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Sheet1!$EX$26:$EX$36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Sheet1!$EY$26:$EY$36</c:f>
              <c:numCache>
                <c:formatCode>General</c:formatCode>
                <c:ptCount val="11"/>
                <c:pt idx="0">
                  <c:v>2.899999999999997E-2</c:v>
                </c:pt>
                <c:pt idx="1">
                  <c:v>1.8000000000000016E-2</c:v>
                </c:pt>
                <c:pt idx="2">
                  <c:v>0</c:v>
                </c:pt>
                <c:pt idx="3">
                  <c:v>2.0000000000000018E-3</c:v>
                </c:pt>
                <c:pt idx="4">
                  <c:v>-0.28400000000000003</c:v>
                </c:pt>
                <c:pt idx="5">
                  <c:v>-2.5000000000000022E-2</c:v>
                </c:pt>
                <c:pt idx="6">
                  <c:v>-1.5000000000000013E-2</c:v>
                </c:pt>
                <c:pt idx="7">
                  <c:v>9.000000000000008E-3</c:v>
                </c:pt>
                <c:pt idx="8">
                  <c:v>1.5999999999999959E-2</c:v>
                </c:pt>
                <c:pt idx="9">
                  <c:v>1.4999999999999958E-2</c:v>
                </c:pt>
                <c:pt idx="10">
                  <c:v>1.3999999999999957E-2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C-4D71-9605-907ACF29D33B}"/>
            </c:ext>
          </c:extLst>
        </c:ser>
        <c:ser>
          <c:idx val="1"/>
          <c:order val="1"/>
          <c:tx>
            <c:strRef>
              <c:f>Sheet1!$EZ$25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Sheet1!$EX$26:$EX$36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Sheet1!$EZ$26:$EZ$36</c:f>
              <c:numCache>
                <c:formatCode>General</c:formatCode>
                <c:ptCount val="11"/>
                <c:pt idx="0">
                  <c:v>-3.5000000000000031E-3</c:v>
                </c:pt>
                <c:pt idx="1">
                  <c:v>-6.7500000000000338E-3</c:v>
                </c:pt>
                <c:pt idx="2">
                  <c:v>0</c:v>
                </c:pt>
                <c:pt idx="3">
                  <c:v>1.6375000000000028E-2</c:v>
                </c:pt>
                <c:pt idx="4">
                  <c:v>-1.1874999999999997E-2</c:v>
                </c:pt>
                <c:pt idx="5">
                  <c:v>-8.8750000000000218E-3</c:v>
                </c:pt>
                <c:pt idx="6">
                  <c:v>3.3875000000000016E-2</c:v>
                </c:pt>
                <c:pt idx="7">
                  <c:v>1.7375000000000029E-2</c:v>
                </c:pt>
                <c:pt idx="8">
                  <c:v>-3.7625000000000047E-2</c:v>
                </c:pt>
                <c:pt idx="9">
                  <c:v>-1.7000000000000015E-2</c:v>
                </c:pt>
                <c:pt idx="10">
                  <c:v>8.2500000000000351E-3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C-4D71-9605-907ACF29D33B}"/>
            </c:ext>
          </c:extLst>
        </c:ser>
        <c:ser>
          <c:idx val="2"/>
          <c:order val="2"/>
          <c:tx>
            <c:strRef>
              <c:f>Sheet1!$FA$25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Sheet1!$EX$26:$EX$36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Sheet1!$FA$26:$FA$36</c:f>
              <c:numCache>
                <c:formatCode>General</c:formatCode>
                <c:ptCount val="11"/>
                <c:pt idx="0">
                  <c:v>3.2000000000000001E-2</c:v>
                </c:pt>
                <c:pt idx="1">
                  <c:v>5.9999999999999915E-3</c:v>
                </c:pt>
                <c:pt idx="2">
                  <c:v>0</c:v>
                </c:pt>
                <c:pt idx="3">
                  <c:v>-2.0999999999999991E-2</c:v>
                </c:pt>
                <c:pt idx="4">
                  <c:v>0.06</c:v>
                </c:pt>
                <c:pt idx="5">
                  <c:v>-3.9999999999999897E-3</c:v>
                </c:pt>
                <c:pt idx="6">
                  <c:v>6.0000000000000053E-3</c:v>
                </c:pt>
                <c:pt idx="7">
                  <c:v>-2.0999999999999991E-2</c:v>
                </c:pt>
                <c:pt idx="8">
                  <c:v>-8.0000000000000071E-3</c:v>
                </c:pt>
                <c:pt idx="9">
                  <c:v>-7.0000000000000062E-3</c:v>
                </c:pt>
                <c:pt idx="10">
                  <c:v>-1.4999999999999999E-2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0C-4D71-9605-907ACF29D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2047007"/>
        <c:axId val="1592922079"/>
      </c:barChart>
      <c:catAx>
        <c:axId val="130204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22079"/>
        <c:crosses val="autoZero"/>
        <c:auto val="1"/>
        <c:lblAlgn val="ctr"/>
        <c:lblOffset val="100"/>
        <c:noMultiLvlLbl val="0"/>
      </c:catAx>
      <c:valAx>
        <c:axId val="159292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4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Severity of Complications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Sheet1!$EU$14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Sheet1!$ET$15:$ET$22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Sheet1!$EU$15:$EU$22</c:f>
              <c:numCache>
                <c:formatCode>General</c:formatCode>
                <c:ptCount val="8"/>
                <c:pt idx="0">
                  <c:v>9.099999999999997E-2</c:v>
                </c:pt>
                <c:pt idx="1">
                  <c:v>2.0000000000000004E-2</c:v>
                </c:pt>
                <c:pt idx="2">
                  <c:v>-3.9999999999999994E-2</c:v>
                </c:pt>
                <c:pt idx="3">
                  <c:v>-8.299999999999999E-2</c:v>
                </c:pt>
                <c:pt idx="4">
                  <c:v>4.4000000000000011E-2</c:v>
                </c:pt>
                <c:pt idx="5">
                  <c:v>-3.9000000000000007E-2</c:v>
                </c:pt>
                <c:pt idx="6">
                  <c:v>-0.155</c:v>
                </c:pt>
                <c:pt idx="7">
                  <c:v>-9.6000000000000002E-2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D-4937-AA30-F1FF03B0A1E0}"/>
            </c:ext>
          </c:extLst>
        </c:ser>
        <c:ser>
          <c:idx val="1"/>
          <c:order val="1"/>
          <c:tx>
            <c:strRef>
              <c:f>Sheet1!$EV$14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Sheet1!$ET$15:$ET$22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Sheet1!$EV$15:$EV$22</c:f>
              <c:numCache>
                <c:formatCode>General</c:formatCode>
                <c:ptCount val="8"/>
                <c:pt idx="0">
                  <c:v>4.500000000000004E-2</c:v>
                </c:pt>
                <c:pt idx="1">
                  <c:v>-1.9000000000000017E-2</c:v>
                </c:pt>
                <c:pt idx="2">
                  <c:v>5.0000000000000044E-3</c:v>
                </c:pt>
                <c:pt idx="3">
                  <c:v>6.0000000000000053E-3</c:v>
                </c:pt>
                <c:pt idx="4">
                  <c:v>-2.5000000000000022E-2</c:v>
                </c:pt>
                <c:pt idx="5">
                  <c:v>2.6000000000000023E-2</c:v>
                </c:pt>
                <c:pt idx="6">
                  <c:v>4.3000000000000038E-2</c:v>
                </c:pt>
                <c:pt idx="7">
                  <c:v>3.7000000000000033E-2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D-4937-AA30-F1FF03B0A1E0}"/>
            </c:ext>
          </c:extLst>
        </c:ser>
        <c:ser>
          <c:idx val="2"/>
          <c:order val="2"/>
          <c:tx>
            <c:strRef>
              <c:f>Sheet1!$EW$14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Sheet1!$ET$15:$ET$22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Sheet1!$EW$15:$EW$22</c:f>
              <c:numCache>
                <c:formatCode>General</c:formatCode>
                <c:ptCount val="8"/>
                <c:pt idx="0">
                  <c:v>-1.4750000000000013E-2</c:v>
                </c:pt>
                <c:pt idx="1">
                  <c:v>-1.362499999999997E-2</c:v>
                </c:pt>
                <c:pt idx="2">
                  <c:v>-2.1624999999999978E-2</c:v>
                </c:pt>
                <c:pt idx="3">
                  <c:v>-2.0000000000000018E-3</c:v>
                </c:pt>
                <c:pt idx="4">
                  <c:v>2.2749999999999992E-2</c:v>
                </c:pt>
                <c:pt idx="5">
                  <c:v>4.5750000000000013E-2</c:v>
                </c:pt>
                <c:pt idx="6">
                  <c:v>2.3999999999999994E-2</c:v>
                </c:pt>
                <c:pt idx="7">
                  <c:v>-1.4999999999999736E-3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D-4937-AA30-F1FF03B0A1E0}"/>
            </c:ext>
          </c:extLst>
        </c:ser>
        <c:ser>
          <c:idx val="3"/>
          <c:order val="3"/>
          <c:tx>
            <c:strRef>
              <c:f>Sheet1!$EX$14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Sheet1!$ET$15:$ET$22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Sheet1!$EX$15:$EX$22</c:f>
              <c:numCache>
                <c:formatCode>General</c:formatCode>
                <c:ptCount val="8"/>
                <c:pt idx="0">
                  <c:v>2.4000000000000007E-2</c:v>
                </c:pt>
                <c:pt idx="1">
                  <c:v>5.000000000000001E-3</c:v>
                </c:pt>
                <c:pt idx="2">
                  <c:v>-1.2999999999999998E-2</c:v>
                </c:pt>
                <c:pt idx="3">
                  <c:v>-2.2999999999999996E-2</c:v>
                </c:pt>
                <c:pt idx="4">
                  <c:v>2.5000000000000001E-2</c:v>
                </c:pt>
                <c:pt idx="5">
                  <c:v>-1.0000000000000009E-3</c:v>
                </c:pt>
                <c:pt idx="6">
                  <c:v>-5.0999999999999997E-2</c:v>
                </c:pt>
                <c:pt idx="7">
                  <c:v>-3.1E-2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ED-4937-AA30-F1FF03B0A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6556703"/>
        <c:axId val="1794432559"/>
      </c:barChart>
      <c:catAx>
        <c:axId val="18065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32559"/>
        <c:crosses val="autoZero"/>
        <c:auto val="1"/>
        <c:lblAlgn val="ctr"/>
        <c:lblOffset val="100"/>
        <c:noMultiLvlLbl val="0"/>
      </c:catAx>
      <c:valAx>
        <c:axId val="179443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5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Existence of Complications</a:t>
            </a:r>
            <a:r>
              <a:rPr lang="en-US" sz="1400" b="0" i="0" baseline="0">
                <a:effectLst/>
              </a:rPr>
              <a:t>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Sheet1!$EU$3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Sheet1!$ET$4:$ET$11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Sheet1!$EU$4:$EU$11</c:f>
              <c:numCache>
                <c:formatCode>General</c:formatCode>
                <c:ptCount val="8"/>
                <c:pt idx="0">
                  <c:v>7.0000000000000062E-3</c:v>
                </c:pt>
                <c:pt idx="1">
                  <c:v>2.200000000000002E-2</c:v>
                </c:pt>
                <c:pt idx="2">
                  <c:v>-8.0000000000000071E-3</c:v>
                </c:pt>
                <c:pt idx="3">
                  <c:v>-2.0000000000000018E-3</c:v>
                </c:pt>
                <c:pt idx="4">
                  <c:v>7.9999999999998961E-3</c:v>
                </c:pt>
                <c:pt idx="5">
                  <c:v>1.7000000000000015E-2</c:v>
                </c:pt>
                <c:pt idx="6">
                  <c:v>1.7000000000000015E-2</c:v>
                </c:pt>
                <c:pt idx="7">
                  <c:v>1.7000000000000015E-2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AB9-BEBC-741CC9F05703}"/>
            </c:ext>
          </c:extLst>
        </c:ser>
        <c:ser>
          <c:idx val="1"/>
          <c:order val="1"/>
          <c:tx>
            <c:strRef>
              <c:f>Sheet1!$EV$3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Sheet1!$ET$4:$ET$11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Sheet1!$EV$4:$EV$11</c:f>
              <c:numCache>
                <c:formatCode>General</c:formatCode>
                <c:ptCount val="8"/>
                <c:pt idx="0">
                  <c:v>3.0000000000000027E-3</c:v>
                </c:pt>
                <c:pt idx="1">
                  <c:v>1.5999999999999903E-2</c:v>
                </c:pt>
                <c:pt idx="2">
                  <c:v>8.0000000000000071E-3</c:v>
                </c:pt>
                <c:pt idx="3">
                  <c:v>1.8000000000000016E-2</c:v>
                </c:pt>
                <c:pt idx="4">
                  <c:v>1.6000000000000014E-2</c:v>
                </c:pt>
                <c:pt idx="5">
                  <c:v>7.0000000000000062E-3</c:v>
                </c:pt>
                <c:pt idx="6">
                  <c:v>7.0000000000000062E-3</c:v>
                </c:pt>
                <c:pt idx="7">
                  <c:v>-1.100000000000001E-2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AB9-BEBC-741CC9F05703}"/>
            </c:ext>
          </c:extLst>
        </c:ser>
        <c:ser>
          <c:idx val="2"/>
          <c:order val="2"/>
          <c:tx>
            <c:strRef>
              <c:f>Sheet1!$EW$3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Sheet1!$ET$4:$ET$11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Sheet1!$EW$4:$EW$11</c:f>
              <c:numCache>
                <c:formatCode>General</c:formatCode>
                <c:ptCount val="8"/>
                <c:pt idx="0">
                  <c:v>6.0000000000000053E-3</c:v>
                </c:pt>
                <c:pt idx="1">
                  <c:v>4.4999999999999485E-3</c:v>
                </c:pt>
                <c:pt idx="2">
                  <c:v>-1.2499999999999956E-2</c:v>
                </c:pt>
                <c:pt idx="3">
                  <c:v>-6.4999999999999503E-3</c:v>
                </c:pt>
                <c:pt idx="4">
                  <c:v>4.9999999999998934E-3</c:v>
                </c:pt>
                <c:pt idx="5">
                  <c:v>1.4499999999999957E-2</c:v>
                </c:pt>
                <c:pt idx="6">
                  <c:v>1.2000000000000011E-2</c:v>
                </c:pt>
                <c:pt idx="7">
                  <c:v>1.0000000000000009E-2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AB9-BEBC-741CC9F05703}"/>
            </c:ext>
          </c:extLst>
        </c:ser>
        <c:ser>
          <c:idx val="3"/>
          <c:order val="3"/>
          <c:tx>
            <c:strRef>
              <c:f>Sheet1!$EX$3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Sheet1!$ET$4:$ET$11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Sheet1!$EX$4:$EX$11</c:f>
              <c:numCache>
                <c:formatCode>General</c:formatCode>
                <c:ptCount val="8"/>
                <c:pt idx="0">
                  <c:v>1.3000000000000012E-2</c:v>
                </c:pt>
                <c:pt idx="1">
                  <c:v>1.9000000000000017E-2</c:v>
                </c:pt>
                <c:pt idx="2">
                  <c:v>-2.4000000000000021E-2</c:v>
                </c:pt>
                <c:pt idx="3">
                  <c:v>-1.100000000000001E-2</c:v>
                </c:pt>
                <c:pt idx="4">
                  <c:v>1.2000000000000011E-2</c:v>
                </c:pt>
                <c:pt idx="5">
                  <c:v>2.9999999999999971E-2</c:v>
                </c:pt>
                <c:pt idx="6">
                  <c:v>2.8000000000000025E-2</c:v>
                </c:pt>
                <c:pt idx="7">
                  <c:v>2.4999999999999967E-2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AB9-BEBC-741CC9F0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588287"/>
        <c:axId val="1302765935"/>
      </c:barChart>
      <c:catAx>
        <c:axId val="16935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65935"/>
        <c:crosses val="autoZero"/>
        <c:auto val="1"/>
        <c:lblAlgn val="ctr"/>
        <c:lblOffset val="100"/>
        <c:noMultiLvlLbl val="0"/>
      </c:catAx>
      <c:valAx>
        <c:axId val="130276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8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Existence of Complications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Sheet1!$GF$3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Sheet1!$GE$4:$GE$11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Sheet1!$GF$4:$GF$11</c:f>
              <c:numCache>
                <c:formatCode>General</c:formatCode>
                <c:ptCount val="8"/>
                <c:pt idx="0">
                  <c:v>7.0000000000000062E-3</c:v>
                </c:pt>
                <c:pt idx="1">
                  <c:v>-2.0000000000000018E-2</c:v>
                </c:pt>
                <c:pt idx="2">
                  <c:v>5.0000000000000044E-3</c:v>
                </c:pt>
                <c:pt idx="3">
                  <c:v>-6.0000000000000053E-3</c:v>
                </c:pt>
                <c:pt idx="4">
                  <c:v>-2.6999999999999913E-2</c:v>
                </c:pt>
                <c:pt idx="5">
                  <c:v>-3.1000000000000028E-2</c:v>
                </c:pt>
                <c:pt idx="6">
                  <c:v>-2.300000000000002E-2</c:v>
                </c:pt>
                <c:pt idx="7">
                  <c:v>-3.2000000000000028E-2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BFA-BD90-A6507C955A71}"/>
            </c:ext>
          </c:extLst>
        </c:ser>
        <c:ser>
          <c:idx val="1"/>
          <c:order val="1"/>
          <c:tx>
            <c:strRef>
              <c:f>Sheet1!$GG$3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Sheet1!$GE$4:$GE$11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Sheet1!$GG$4:$GG$11</c:f>
              <c:numCache>
                <c:formatCode>General</c:formatCode>
                <c:ptCount val="8"/>
                <c:pt idx="0">
                  <c:v>-7.0000000000000062E-3</c:v>
                </c:pt>
                <c:pt idx="1">
                  <c:v>-8.0000000000000071E-3</c:v>
                </c:pt>
                <c:pt idx="2">
                  <c:v>0</c:v>
                </c:pt>
                <c:pt idx="3">
                  <c:v>-1.7000000000000015E-2</c:v>
                </c:pt>
                <c:pt idx="4">
                  <c:v>-3.0000000000000027E-2</c:v>
                </c:pt>
                <c:pt idx="5">
                  <c:v>-2.4000000000000021E-2</c:v>
                </c:pt>
                <c:pt idx="6">
                  <c:v>-1.6000000000000014E-2</c:v>
                </c:pt>
                <c:pt idx="7">
                  <c:v>-2.0000000000000018E-3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B-4BFA-BD90-A6507C955A71}"/>
            </c:ext>
          </c:extLst>
        </c:ser>
        <c:ser>
          <c:idx val="2"/>
          <c:order val="2"/>
          <c:tx>
            <c:strRef>
              <c:f>Sheet1!$GH$3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Sheet1!$GE$4:$GE$11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Sheet1!$GH$4:$GH$11</c:f>
              <c:numCache>
                <c:formatCode>General</c:formatCode>
                <c:ptCount val="8"/>
                <c:pt idx="0">
                  <c:v>2.3499999999999965E-2</c:v>
                </c:pt>
                <c:pt idx="1">
                  <c:v>-1.100000000000001E-2</c:v>
                </c:pt>
                <c:pt idx="2">
                  <c:v>1.2000000000000011E-2</c:v>
                </c:pt>
                <c:pt idx="3">
                  <c:v>-3.5000000000000586E-3</c:v>
                </c:pt>
                <c:pt idx="4">
                  <c:v>-2.8000000000000025E-2</c:v>
                </c:pt>
                <c:pt idx="5">
                  <c:v>-2.8000000000000025E-2</c:v>
                </c:pt>
                <c:pt idx="6">
                  <c:v>-2.3500000000000076E-2</c:v>
                </c:pt>
                <c:pt idx="7">
                  <c:v>-2.3499999999999965E-2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B-4BFA-BD90-A6507C955A71}"/>
            </c:ext>
          </c:extLst>
        </c:ser>
        <c:ser>
          <c:idx val="3"/>
          <c:order val="3"/>
          <c:tx>
            <c:strRef>
              <c:f>Sheet1!$GI$3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Sheet1!$GE$4:$GE$11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Sheet1!$GI$4:$GI$11</c:f>
              <c:numCache>
                <c:formatCode>General</c:formatCode>
                <c:ptCount val="8"/>
                <c:pt idx="0">
                  <c:v>3.8999999999999979E-2</c:v>
                </c:pt>
                <c:pt idx="1">
                  <c:v>-2.6999999999999968E-2</c:v>
                </c:pt>
                <c:pt idx="2">
                  <c:v>2.1000000000000019E-2</c:v>
                </c:pt>
                <c:pt idx="3">
                  <c:v>-8.0000000000000071E-3</c:v>
                </c:pt>
                <c:pt idx="4">
                  <c:v>-5.5999999999999994E-2</c:v>
                </c:pt>
                <c:pt idx="5">
                  <c:v>-5.7999999999999996E-2</c:v>
                </c:pt>
                <c:pt idx="6">
                  <c:v>-4.8000000000000043E-2</c:v>
                </c:pt>
                <c:pt idx="7">
                  <c:v>-5.099999999999999E-2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FB-4BFA-BD90-A6507C955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4786319"/>
        <c:axId val="1795947103"/>
      </c:barChart>
      <c:catAx>
        <c:axId val="20647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947103"/>
        <c:crosses val="autoZero"/>
        <c:auto val="1"/>
        <c:lblAlgn val="ctr"/>
        <c:lblOffset val="100"/>
        <c:noMultiLvlLbl val="0"/>
      </c:catAx>
      <c:valAx>
        <c:axId val="179594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78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Sheet1!$GF$14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Sheet1!$GE$15:$GE$22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Sheet1!$GF$15:$GF$22</c:f>
              <c:numCache>
                <c:formatCode>General</c:formatCode>
                <c:ptCount val="8"/>
                <c:pt idx="0">
                  <c:v>-1.1999999999999955E-2</c:v>
                </c:pt>
                <c:pt idx="1">
                  <c:v>1.7000000000000001E-2</c:v>
                </c:pt>
                <c:pt idx="2">
                  <c:v>-3.7000000000000005E-2</c:v>
                </c:pt>
                <c:pt idx="3">
                  <c:v>-1.3000000000000005E-2</c:v>
                </c:pt>
                <c:pt idx="4">
                  <c:v>-4.0000000000000008E-2</c:v>
                </c:pt>
                <c:pt idx="5">
                  <c:v>4.9999999999999989E-2</c:v>
                </c:pt>
                <c:pt idx="6">
                  <c:v>0.122</c:v>
                </c:pt>
                <c:pt idx="7">
                  <c:v>4.5000000000000012E-2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7-4B9B-83BF-EC8F07F67E87}"/>
            </c:ext>
          </c:extLst>
        </c:ser>
        <c:ser>
          <c:idx val="1"/>
          <c:order val="1"/>
          <c:tx>
            <c:strRef>
              <c:f>Sheet1!$GG$14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Sheet1!$GE$15:$GE$22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Sheet1!$GG$15:$GG$22</c:f>
              <c:numCache>
                <c:formatCode>General</c:formatCode>
                <c:ptCount val="8"/>
                <c:pt idx="0">
                  <c:v>2.0000000000000018E-2</c:v>
                </c:pt>
                <c:pt idx="1">
                  <c:v>1.100000000000001E-2</c:v>
                </c:pt>
                <c:pt idx="2">
                  <c:v>-3.400000000000003E-2</c:v>
                </c:pt>
                <c:pt idx="3">
                  <c:v>-1.2000000000000011E-2</c:v>
                </c:pt>
                <c:pt idx="4">
                  <c:v>-7.0000000000000062E-3</c:v>
                </c:pt>
                <c:pt idx="5">
                  <c:v>-4.9000000000000044E-2</c:v>
                </c:pt>
                <c:pt idx="6">
                  <c:v>-4.2000000000000037E-2</c:v>
                </c:pt>
                <c:pt idx="7">
                  <c:v>-3.2000000000000028E-2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7-4B9B-83BF-EC8F07F67E87}"/>
            </c:ext>
          </c:extLst>
        </c:ser>
        <c:ser>
          <c:idx val="2"/>
          <c:order val="2"/>
          <c:tx>
            <c:strRef>
              <c:f>Sheet1!$GH$14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Sheet1!$GE$15:$GE$22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Sheet1!$GH$15:$GH$22</c:f>
              <c:numCache>
                <c:formatCode>General</c:formatCode>
                <c:ptCount val="8"/>
                <c:pt idx="0">
                  <c:v>5.4749999999999993E-2</c:v>
                </c:pt>
                <c:pt idx="1">
                  <c:v>2.4249999999999994E-2</c:v>
                </c:pt>
                <c:pt idx="2">
                  <c:v>-8.6000000000000021E-2</c:v>
                </c:pt>
                <c:pt idx="3">
                  <c:v>-3.5375000000000018E-2</c:v>
                </c:pt>
                <c:pt idx="4">
                  <c:v>-1.2499999999999734E-3</c:v>
                </c:pt>
                <c:pt idx="5">
                  <c:v>-2.8125000000000011E-2</c:v>
                </c:pt>
                <c:pt idx="6">
                  <c:v>-2.9875000000000013E-2</c:v>
                </c:pt>
                <c:pt idx="7">
                  <c:v>-1.1124999999999996E-2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7-4B9B-83BF-EC8F07F67E87}"/>
            </c:ext>
          </c:extLst>
        </c:ser>
        <c:ser>
          <c:idx val="3"/>
          <c:order val="3"/>
          <c:tx>
            <c:strRef>
              <c:f>Sheet1!$GI$14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Sheet1!$GE$15:$GE$22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Sheet1!$GI$15:$GI$22</c:f>
              <c:numCache>
                <c:formatCode>General</c:formatCode>
                <c:ptCount val="8"/>
                <c:pt idx="0">
                  <c:v>3.599999999999999E-2</c:v>
                </c:pt>
                <c:pt idx="1">
                  <c:v>1.0999999999999996E-2</c:v>
                </c:pt>
                <c:pt idx="2">
                  <c:v>-2.7999999999999997E-2</c:v>
                </c:pt>
                <c:pt idx="3">
                  <c:v>-1.4000000000000002E-2</c:v>
                </c:pt>
                <c:pt idx="4">
                  <c:v>-1.0000000000000002E-2</c:v>
                </c:pt>
                <c:pt idx="5">
                  <c:v>1.1999999999999997E-2</c:v>
                </c:pt>
                <c:pt idx="6">
                  <c:v>4.2000000000000003E-2</c:v>
                </c:pt>
                <c:pt idx="7">
                  <c:v>5.9999999999999984E-3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7-4B9B-83BF-EC8F07F67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702783"/>
        <c:axId val="1801914687"/>
      </c:barChart>
      <c:catAx>
        <c:axId val="21097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914687"/>
        <c:crosses val="autoZero"/>
        <c:auto val="1"/>
        <c:lblAlgn val="ctr"/>
        <c:lblOffset val="100"/>
        <c:noMultiLvlLbl val="0"/>
      </c:catAx>
      <c:valAx>
        <c:axId val="180191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0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Death Within</a:t>
            </a:r>
            <a:r>
              <a:rPr lang="en-US" b="1" baseline="0"/>
              <a:t> 1 Year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Sheet1!$B$39:$E$39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Sheet1!$B$40:$E$40</c:f>
              <c:numCache>
                <c:formatCode>General</c:formatCode>
                <c:ptCount val="4"/>
                <c:pt idx="0">
                  <c:v>0.255</c:v>
                </c:pt>
                <c:pt idx="1">
                  <c:v>0.51500000000000001</c:v>
                </c:pt>
                <c:pt idx="2">
                  <c:v>0.4965</c:v>
                </c:pt>
                <c:pt idx="3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4-48D5-9440-2E8F749C5D80}"/>
            </c:ext>
          </c:extLst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Sheet1!$B$39:$E$39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Sheet1!$B$41:$E$41</c:f>
              <c:numCache>
                <c:formatCode>General</c:formatCode>
                <c:ptCount val="4"/>
                <c:pt idx="0">
                  <c:v>0.80700000000000005</c:v>
                </c:pt>
                <c:pt idx="1">
                  <c:v>0.68100000000000005</c:v>
                </c:pt>
                <c:pt idx="2">
                  <c:v>0.55349999999999999</c:v>
                </c:pt>
                <c:pt idx="3">
                  <c:v>0.13800000000000001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4-48D5-9440-2E8F749C5D80}"/>
            </c:ext>
          </c:extLst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Sheet1!$B$39:$E$39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Sheet1!$B$42:$E$42</c:f>
              <c:numCache>
                <c:formatCode>General</c:formatCode>
                <c:ptCount val="4"/>
                <c:pt idx="0">
                  <c:v>0.748</c:v>
                </c:pt>
                <c:pt idx="1">
                  <c:v>0.58699999999999997</c:v>
                </c:pt>
                <c:pt idx="2">
                  <c:v>0.58750000000000002</c:v>
                </c:pt>
                <c:pt idx="3">
                  <c:v>0.17299999999999999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F4-48D5-9440-2E8F749C5D80}"/>
            </c:ext>
          </c:extLst>
        </c:ser>
        <c:ser>
          <c:idx val="3"/>
          <c:order val="3"/>
          <c:tx>
            <c:strRef>
              <c:f>Sheet1!$A$43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Sheet1!$B$39:$E$39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0.83099999999999996</c:v>
                </c:pt>
                <c:pt idx="1">
                  <c:v>0.77</c:v>
                </c:pt>
                <c:pt idx="2">
                  <c:v>0.56099999999999994</c:v>
                </c:pt>
                <c:pt idx="3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F4-48D5-9440-2E8F749C5D80}"/>
            </c:ext>
          </c:extLst>
        </c:ser>
        <c:ser>
          <c:idx val="4"/>
          <c:order val="4"/>
          <c:tx>
            <c:strRef>
              <c:f>Sheet1!$A$44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Sheet1!$B$39:$E$39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0.70599999999999996</c:v>
                </c:pt>
                <c:pt idx="2">
                  <c:v>0.5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F4-48D5-9440-2E8F749C5D80}"/>
            </c:ext>
          </c:extLst>
        </c:ser>
        <c:ser>
          <c:idx val="5"/>
          <c:order val="5"/>
          <c:tx>
            <c:strRef>
              <c:f>Sheet1!$A$45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Sheet1!$B$39:$E$39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Sheet1!$B$45:$E$45</c:f>
              <c:numCache>
                <c:formatCode>General</c:formatCode>
                <c:ptCount val="4"/>
                <c:pt idx="0">
                  <c:v>0.80900000000000005</c:v>
                </c:pt>
                <c:pt idx="1">
                  <c:v>0.73399999999999999</c:v>
                </c:pt>
                <c:pt idx="2">
                  <c:v>0.59550000000000003</c:v>
                </c:pt>
                <c:pt idx="3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F4-48D5-9440-2E8F749C5D80}"/>
            </c:ext>
          </c:extLst>
        </c:ser>
        <c:ser>
          <c:idx val="6"/>
          <c:order val="6"/>
          <c:tx>
            <c:strRef>
              <c:f>Sheet1!$A$46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Sheet1!$B$39:$E$39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Sheet1!$B$46:$E$46</c:f>
              <c:numCache>
                <c:formatCode>General</c:formatCode>
                <c:ptCount val="4"/>
                <c:pt idx="0">
                  <c:v>0.83</c:v>
                </c:pt>
                <c:pt idx="1">
                  <c:v>0.72899999999999998</c:v>
                </c:pt>
                <c:pt idx="2">
                  <c:v>0.59150000000000003</c:v>
                </c:pt>
                <c:pt idx="3">
                  <c:v>0.24199999999999999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F4-48D5-9440-2E8F749C5D80}"/>
            </c:ext>
          </c:extLst>
        </c:ser>
        <c:ser>
          <c:idx val="7"/>
          <c:order val="7"/>
          <c:tx>
            <c:strRef>
              <c:f>Sheet1!$A$47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Sheet1!$B$39:$E$39</c:f>
              <c:strCache>
                <c:ptCount val="4"/>
                <c:pt idx="0">
                  <c:v>Accuracy</c:v>
                </c:pt>
                <c:pt idx="1">
                  <c:v>AUC</c:v>
                </c:pt>
                <c:pt idx="2">
                  <c:v>Recall</c:v>
                </c:pt>
                <c:pt idx="3">
                  <c:v>Kappa</c:v>
                </c:pt>
              </c:strCache>
            </c:strRef>
          </c:cat>
          <c:val>
            <c:numRef>
              <c:f>Sheet1!$B$47:$E$47</c:f>
              <c:numCache>
                <c:formatCode>General</c:formatCode>
                <c:ptCount val="4"/>
                <c:pt idx="0">
                  <c:v>0.79200000000000004</c:v>
                </c:pt>
                <c:pt idx="1">
                  <c:v>0.71899999999999997</c:v>
                </c:pt>
                <c:pt idx="2">
                  <c:v>0.59050000000000002</c:v>
                </c:pt>
                <c:pt idx="3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F4-48D5-9440-2E8F749C5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954511"/>
        <c:axId val="679256607"/>
      </c:barChart>
      <c:catAx>
        <c:axId val="67395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56607"/>
        <c:crosses val="autoZero"/>
        <c:auto val="1"/>
        <c:lblAlgn val="ctr"/>
        <c:lblOffset val="100"/>
        <c:noMultiLvlLbl val="0"/>
      </c:catAx>
      <c:valAx>
        <c:axId val="67925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5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Sheet1!$GF$25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Sheet1!$GE$26:$GE$36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Sheet1!$GF$26:$GF$36</c:f>
              <c:numCache>
                <c:formatCode>General</c:formatCode>
                <c:ptCount val="11"/>
                <c:pt idx="0">
                  <c:v>-6.9999999999998952E-3</c:v>
                </c:pt>
                <c:pt idx="1">
                  <c:v>1.6000000000000014E-2</c:v>
                </c:pt>
                <c:pt idx="2">
                  <c:v>0</c:v>
                </c:pt>
                <c:pt idx="3">
                  <c:v>2.9000000000000137E-2</c:v>
                </c:pt>
                <c:pt idx="4">
                  <c:v>-4.0000000000000036E-2</c:v>
                </c:pt>
                <c:pt idx="5">
                  <c:v>4.9999999999998934E-3</c:v>
                </c:pt>
                <c:pt idx="6">
                  <c:v>1.1000000000000121E-2</c:v>
                </c:pt>
                <c:pt idx="7">
                  <c:v>2.8000000000000025E-2</c:v>
                </c:pt>
                <c:pt idx="8">
                  <c:v>1.6000000000000014E-2</c:v>
                </c:pt>
                <c:pt idx="9">
                  <c:v>1.2999999999999901E-2</c:v>
                </c:pt>
                <c:pt idx="10">
                  <c:v>2.3000000000000131E-2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1-4D02-8425-B1A1042CF9B8}"/>
            </c:ext>
          </c:extLst>
        </c:ser>
        <c:ser>
          <c:idx val="1"/>
          <c:order val="1"/>
          <c:tx>
            <c:strRef>
              <c:f>Sheet1!$GG$25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Sheet1!$GE$26:$GE$36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Sheet1!$GG$26:$GG$36</c:f>
              <c:numCache>
                <c:formatCode>General</c:formatCode>
                <c:ptCount val="11"/>
                <c:pt idx="0">
                  <c:v>-1.1000000000000121E-2</c:v>
                </c:pt>
                <c:pt idx="1">
                  <c:v>2.2999999999999909E-2</c:v>
                </c:pt>
                <c:pt idx="2">
                  <c:v>0</c:v>
                </c:pt>
                <c:pt idx="3">
                  <c:v>4.0000000000000036E-2</c:v>
                </c:pt>
                <c:pt idx="4">
                  <c:v>4.0000000000000036E-2</c:v>
                </c:pt>
                <c:pt idx="5">
                  <c:v>-2.0000000000000018E-3</c:v>
                </c:pt>
                <c:pt idx="6">
                  <c:v>4.9999999999998934E-3</c:v>
                </c:pt>
                <c:pt idx="7">
                  <c:v>4.2999999999999927E-2</c:v>
                </c:pt>
                <c:pt idx="8">
                  <c:v>-2.100000000000013E-2</c:v>
                </c:pt>
                <c:pt idx="9">
                  <c:v>1.2000000000000011E-2</c:v>
                </c:pt>
                <c:pt idx="10">
                  <c:v>2.8000000000000025E-2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1-4D02-8425-B1A1042CF9B8}"/>
            </c:ext>
          </c:extLst>
        </c:ser>
        <c:ser>
          <c:idx val="2"/>
          <c:order val="2"/>
          <c:tx>
            <c:strRef>
              <c:f>Sheet1!$GH$25</c:f>
              <c:strCache>
                <c:ptCount val="1"/>
                <c:pt idx="0">
                  <c:v>R,Squared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Sheet1!$GE$26:$GE$36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Sheet1!$GH$26:$GH$36</c:f>
              <c:numCache>
                <c:formatCode>General</c:formatCode>
                <c:ptCount val="11"/>
                <c:pt idx="0">
                  <c:v>1.0000000000000009E-2</c:v>
                </c:pt>
                <c:pt idx="1">
                  <c:v>-1.8999999999999989E-2</c:v>
                </c:pt>
                <c:pt idx="2">
                  <c:v>0</c:v>
                </c:pt>
                <c:pt idx="3">
                  <c:v>-3.4999999999999976E-2</c:v>
                </c:pt>
                <c:pt idx="4">
                  <c:v>-3.9000000000000007E-2</c:v>
                </c:pt>
                <c:pt idx="5">
                  <c:v>1.0000000000000009E-3</c:v>
                </c:pt>
                <c:pt idx="6">
                  <c:v>-7.000000000000001E-3</c:v>
                </c:pt>
                <c:pt idx="7">
                  <c:v>-4.3000000000000003E-2</c:v>
                </c:pt>
                <c:pt idx="8">
                  <c:v>2.1000000000000005E-2</c:v>
                </c:pt>
                <c:pt idx="9">
                  <c:v>-9.000000000000008E-3</c:v>
                </c:pt>
                <c:pt idx="10">
                  <c:v>-2.3999999999999994E-2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1-4D02-8425-B1A1042CF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7291023"/>
        <c:axId val="1302766351"/>
      </c:barChart>
      <c:catAx>
        <c:axId val="16972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66351"/>
        <c:crosses val="autoZero"/>
        <c:auto val="1"/>
        <c:lblAlgn val="ctr"/>
        <c:lblOffset val="100"/>
        <c:noMultiLvlLbl val="0"/>
      </c:catAx>
      <c:valAx>
        <c:axId val="130276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Sheet1!$GJ$25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Sheet1!$GI$26:$GI$36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Sheet1!$GJ$26:$GJ$36</c:f>
              <c:numCache>
                <c:formatCode>General</c:formatCode>
                <c:ptCount val="11"/>
                <c:pt idx="0">
                  <c:v>1.0000000000000009E-3</c:v>
                </c:pt>
                <c:pt idx="1">
                  <c:v>-1.8000000000000016E-2</c:v>
                </c:pt>
                <c:pt idx="2">
                  <c:v>0</c:v>
                </c:pt>
                <c:pt idx="3">
                  <c:v>-4.0000000000000036E-3</c:v>
                </c:pt>
                <c:pt idx="4">
                  <c:v>0.16099999999999998</c:v>
                </c:pt>
                <c:pt idx="5">
                  <c:v>1.9000000000000017E-2</c:v>
                </c:pt>
                <c:pt idx="6">
                  <c:v>1.6000000000000014E-2</c:v>
                </c:pt>
                <c:pt idx="7">
                  <c:v>2.7000000000000024E-2</c:v>
                </c:pt>
                <c:pt idx="8">
                  <c:v>-8.0000000000000071E-3</c:v>
                </c:pt>
                <c:pt idx="9">
                  <c:v>-2.6999999999999968E-2</c:v>
                </c:pt>
                <c:pt idx="10">
                  <c:v>-2.0000000000000018E-3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9-48C1-BFB5-7E7A756DCAD1}"/>
            </c:ext>
          </c:extLst>
        </c:ser>
        <c:ser>
          <c:idx val="1"/>
          <c:order val="1"/>
          <c:tx>
            <c:strRef>
              <c:f>Sheet1!$GK$25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Sheet1!$GI$26:$GI$36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Sheet1!$GK$26:$GK$36</c:f>
              <c:numCache>
                <c:formatCode>General</c:formatCode>
                <c:ptCount val="11"/>
                <c:pt idx="0">
                  <c:v>2.5000000000000022E-3</c:v>
                </c:pt>
                <c:pt idx="1">
                  <c:v>-2.3499999999999965E-2</c:v>
                </c:pt>
                <c:pt idx="2">
                  <c:v>0</c:v>
                </c:pt>
                <c:pt idx="3">
                  <c:v>-1.4250000000000013E-2</c:v>
                </c:pt>
                <c:pt idx="4">
                  <c:v>1.6999999999999987E-2</c:v>
                </c:pt>
                <c:pt idx="5">
                  <c:v>2.5374999999999981E-2</c:v>
                </c:pt>
                <c:pt idx="6">
                  <c:v>-4.937500000000003E-2</c:v>
                </c:pt>
                <c:pt idx="7">
                  <c:v>-1.0000000000000009E-2</c:v>
                </c:pt>
                <c:pt idx="8">
                  <c:v>1.3625000000000026E-2</c:v>
                </c:pt>
                <c:pt idx="9">
                  <c:v>-7.2499999999999787E-3</c:v>
                </c:pt>
                <c:pt idx="10">
                  <c:v>2.9749999999999971E-2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9-48C1-BFB5-7E7A756DCAD1}"/>
            </c:ext>
          </c:extLst>
        </c:ser>
        <c:ser>
          <c:idx val="2"/>
          <c:order val="2"/>
          <c:tx>
            <c:strRef>
              <c:f>Sheet1!$GL$25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Sheet1!$GI$26:$GI$36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Sheet1!$GL$26:$GL$36</c:f>
              <c:numCache>
                <c:formatCode>General</c:formatCode>
                <c:ptCount val="11"/>
                <c:pt idx="0">
                  <c:v>-2.9999999999999888E-3</c:v>
                </c:pt>
                <c:pt idx="1">
                  <c:v>-1.999999999999999E-2</c:v>
                </c:pt>
                <c:pt idx="2">
                  <c:v>0</c:v>
                </c:pt>
                <c:pt idx="3">
                  <c:v>-1.0000000000000009E-3</c:v>
                </c:pt>
                <c:pt idx="4">
                  <c:v>5.3000000000000005E-2</c:v>
                </c:pt>
                <c:pt idx="5">
                  <c:v>2.3999999999999994E-2</c:v>
                </c:pt>
                <c:pt idx="6">
                  <c:v>-1.9000000000000017E-2</c:v>
                </c:pt>
                <c:pt idx="7">
                  <c:v>5.0000000000000044E-3</c:v>
                </c:pt>
                <c:pt idx="8">
                  <c:v>-8.9999999999999941E-3</c:v>
                </c:pt>
                <c:pt idx="9">
                  <c:v>-1.0999999999999996E-2</c:v>
                </c:pt>
                <c:pt idx="10">
                  <c:v>7.0000000000000062E-3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9-48C1-BFB5-7E7A756D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1884143"/>
        <c:axId val="1688593311"/>
      </c:barChart>
      <c:catAx>
        <c:axId val="18018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93311"/>
        <c:crosses val="autoZero"/>
        <c:auto val="1"/>
        <c:lblAlgn val="ctr"/>
        <c:lblOffset val="100"/>
        <c:noMultiLvlLbl val="0"/>
      </c:catAx>
      <c:valAx>
        <c:axId val="16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8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Death Within 1 Year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Sheet1!$GF$39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Sheet1!$GE$40:$GE$47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Sheet1!$GF$40:$GF$47</c:f>
              <c:numCache>
                <c:formatCode>General</c:formatCode>
                <c:ptCount val="8"/>
                <c:pt idx="0">
                  <c:v>-1.0000000000000009E-3</c:v>
                </c:pt>
                <c:pt idx="1">
                  <c:v>-2.9000000000000026E-2</c:v>
                </c:pt>
                <c:pt idx="2">
                  <c:v>3.400000000000003E-2</c:v>
                </c:pt>
                <c:pt idx="3">
                  <c:v>-3.9000000000000035E-2</c:v>
                </c:pt>
                <c:pt idx="4">
                  <c:v>-2.5000000000000022E-2</c:v>
                </c:pt>
                <c:pt idx="5">
                  <c:v>-4.1000000000000036E-2</c:v>
                </c:pt>
                <c:pt idx="6">
                  <c:v>-2.200000000000002E-2</c:v>
                </c:pt>
                <c:pt idx="7">
                  <c:v>-1.8000000000000016E-2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7-4D0B-B72A-F58719658645}"/>
            </c:ext>
          </c:extLst>
        </c:ser>
        <c:ser>
          <c:idx val="1"/>
          <c:order val="1"/>
          <c:tx>
            <c:strRef>
              <c:f>Sheet1!$GG$39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Sheet1!$GE$40:$GE$47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Sheet1!$GG$40:$GG$47</c:f>
              <c:numCache>
                <c:formatCode>General</c:formatCode>
                <c:ptCount val="8"/>
                <c:pt idx="0">
                  <c:v>8.0000000000000071E-3</c:v>
                </c:pt>
                <c:pt idx="1">
                  <c:v>-3.499999999999992E-2</c:v>
                </c:pt>
                <c:pt idx="2">
                  <c:v>1.8999999999999906E-2</c:v>
                </c:pt>
                <c:pt idx="3">
                  <c:v>-4.1000000000000036E-2</c:v>
                </c:pt>
                <c:pt idx="4">
                  <c:v>-3.1000000000000028E-2</c:v>
                </c:pt>
                <c:pt idx="5">
                  <c:v>-3.400000000000003E-2</c:v>
                </c:pt>
                <c:pt idx="6">
                  <c:v>-4.4000000000000039E-2</c:v>
                </c:pt>
                <c:pt idx="7">
                  <c:v>-2.1000000000000019E-2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7-4D0B-B72A-F58719658645}"/>
            </c:ext>
          </c:extLst>
        </c:ser>
        <c:ser>
          <c:idx val="2"/>
          <c:order val="2"/>
          <c:tx>
            <c:strRef>
              <c:f>Sheet1!$GH$39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Sheet1!$GE$40:$GE$47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Sheet1!$GH$40:$GH$47</c:f>
              <c:numCache>
                <c:formatCode>General</c:formatCode>
                <c:ptCount val="8"/>
                <c:pt idx="0">
                  <c:v>0.10150000000000003</c:v>
                </c:pt>
                <c:pt idx="1">
                  <c:v>-2.0499999999999963E-2</c:v>
                </c:pt>
                <c:pt idx="2">
                  <c:v>5.9500000000000108E-2</c:v>
                </c:pt>
                <c:pt idx="3">
                  <c:v>-2.9499999999999971E-2</c:v>
                </c:pt>
                <c:pt idx="4">
                  <c:v>-2.0000000000000018E-2</c:v>
                </c:pt>
                <c:pt idx="5">
                  <c:v>-4.7499999999999987E-2</c:v>
                </c:pt>
                <c:pt idx="6">
                  <c:v>-5.4999999999999494E-3</c:v>
                </c:pt>
                <c:pt idx="7">
                  <c:v>-9.000000000000119E-3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B7-4D0B-B72A-F58719658645}"/>
            </c:ext>
          </c:extLst>
        </c:ser>
        <c:ser>
          <c:idx val="3"/>
          <c:order val="3"/>
          <c:tx>
            <c:strRef>
              <c:f>Sheet1!$GI$39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Sheet1!$GE$40:$GE$47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Sheet1!$GI$40:$GI$47</c:f>
              <c:numCache>
                <c:formatCode>General</c:formatCode>
                <c:ptCount val="8"/>
                <c:pt idx="0">
                  <c:v>0.152</c:v>
                </c:pt>
                <c:pt idx="1">
                  <c:v>0.5</c:v>
                </c:pt>
                <c:pt idx="2">
                  <c:v>7.6999999999999985E-2</c:v>
                </c:pt>
                <c:pt idx="3">
                  <c:v>-5.2000000000000018E-2</c:v>
                </c:pt>
                <c:pt idx="4">
                  <c:v>-2.5999999999999995E-2</c:v>
                </c:pt>
                <c:pt idx="5">
                  <c:v>-6.2E-2</c:v>
                </c:pt>
                <c:pt idx="6">
                  <c:v>-2.300000000000002E-2</c:v>
                </c:pt>
                <c:pt idx="7">
                  <c:v>-1.2000000000000011E-2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B7-4D0B-B72A-F58719658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4928911"/>
        <c:axId val="1842436223"/>
      </c:barChart>
      <c:catAx>
        <c:axId val="180492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36223"/>
        <c:crosses val="autoZero"/>
        <c:auto val="1"/>
        <c:lblAlgn val="ctr"/>
        <c:lblOffset val="100"/>
        <c:noMultiLvlLbl val="0"/>
      </c:catAx>
      <c:valAx>
        <c:axId val="184243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2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Days in the ICU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Sheet1!$GF$50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Sheet1!$GE$51:$GE$61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Sheet1!$GF$51:$GF$61</c:f>
              <c:numCache>
                <c:formatCode>General</c:formatCode>
                <c:ptCount val="11"/>
                <c:pt idx="0">
                  <c:v>2033311975.8369999</c:v>
                </c:pt>
                <c:pt idx="1">
                  <c:v>0</c:v>
                </c:pt>
                <c:pt idx="2">
                  <c:v>0</c:v>
                </c:pt>
                <c:pt idx="3">
                  <c:v>1.0000000000000009E-3</c:v>
                </c:pt>
                <c:pt idx="4">
                  <c:v>-2.6999999999999913E-2</c:v>
                </c:pt>
                <c:pt idx="5">
                  <c:v>1.0999999999999899E-2</c:v>
                </c:pt>
                <c:pt idx="6">
                  <c:v>1.100000000000001E-2</c:v>
                </c:pt>
                <c:pt idx="7">
                  <c:v>1.7999999999999905E-2</c:v>
                </c:pt>
                <c:pt idx="8">
                  <c:v>0</c:v>
                </c:pt>
                <c:pt idx="9">
                  <c:v>-1.2000000000000011E-2</c:v>
                </c:pt>
                <c:pt idx="10">
                  <c:v>1.032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2CD-A227-5710F4F19D5E}"/>
            </c:ext>
          </c:extLst>
        </c:ser>
        <c:ser>
          <c:idx val="1"/>
          <c:order val="1"/>
          <c:tx>
            <c:strRef>
              <c:f>Sheet1!$GG$50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Sheet1!$GE$51:$GE$61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Sheet1!$GG$51:$GG$61</c:f>
              <c:numCache>
                <c:formatCode>General</c:formatCode>
                <c:ptCount val="11"/>
                <c:pt idx="0">
                  <c:v>18750848352.025002</c:v>
                </c:pt>
                <c:pt idx="1">
                  <c:v>-1.0000000000000009E-2</c:v>
                </c:pt>
                <c:pt idx="2">
                  <c:v>0</c:v>
                </c:pt>
                <c:pt idx="3">
                  <c:v>-1.8000000000000016E-2</c:v>
                </c:pt>
                <c:pt idx="4">
                  <c:v>1.8000000000000016E-2</c:v>
                </c:pt>
                <c:pt idx="5">
                  <c:v>-8.0000000000000071E-3</c:v>
                </c:pt>
                <c:pt idx="6">
                  <c:v>2.0000000000000018E-3</c:v>
                </c:pt>
                <c:pt idx="7">
                  <c:v>-8.0000000000000071E-3</c:v>
                </c:pt>
                <c:pt idx="8">
                  <c:v>-1.7000000000000126E-2</c:v>
                </c:pt>
                <c:pt idx="9">
                  <c:v>-1.5000000000000124E-2</c:v>
                </c:pt>
                <c:pt idx="10">
                  <c:v>-8.2000000000000073E-2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2CD-A227-5710F4F19D5E}"/>
            </c:ext>
          </c:extLst>
        </c:ser>
        <c:ser>
          <c:idx val="2"/>
          <c:order val="2"/>
          <c:tx>
            <c:strRef>
              <c:f>Sheet1!$GH$50</c:f>
              <c:strCache>
                <c:ptCount val="1"/>
                <c:pt idx="0">
                  <c:v>R,Squared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Sheet1!$GE$51:$GE$61</c:f>
              <c:strCache>
                <c:ptCount val="11"/>
                <c:pt idx="0">
                  <c:v>Linear</c:v>
                </c:pt>
                <c:pt idx="1">
                  <c:v>Ridge</c:v>
                </c:pt>
                <c:pt idx="2">
                  <c:v>LASSO</c:v>
                </c:pt>
                <c:pt idx="3">
                  <c:v>SVR</c:v>
                </c:pt>
                <c:pt idx="4">
                  <c:v>Elastic</c:v>
                </c:pt>
                <c:pt idx="5">
                  <c:v>KNN</c:v>
                </c:pt>
                <c:pt idx="6">
                  <c:v>DT</c:v>
                </c:pt>
                <c:pt idx="7">
                  <c:v>RF</c:v>
                </c:pt>
                <c:pt idx="8">
                  <c:v>XGB</c:v>
                </c:pt>
                <c:pt idx="9">
                  <c:v>PLS</c:v>
                </c:pt>
                <c:pt idx="10">
                  <c:v>MLPR</c:v>
                </c:pt>
              </c:strCache>
            </c:strRef>
          </c:cat>
          <c:val>
            <c:numRef>
              <c:f>Sheet1!$GH$51:$GH$61</c:f>
              <c:numCache>
                <c:formatCode>General</c:formatCode>
                <c:ptCount val="11"/>
                <c:pt idx="0">
                  <c:v>-1.020010750677562E+21</c:v>
                </c:pt>
                <c:pt idx="1">
                  <c:v>1.1000000000000003E-2</c:v>
                </c:pt>
                <c:pt idx="2">
                  <c:v>0</c:v>
                </c:pt>
                <c:pt idx="3">
                  <c:v>2.5000000000000001E-2</c:v>
                </c:pt>
                <c:pt idx="4">
                  <c:v>-2.1999999999999999E-2</c:v>
                </c:pt>
                <c:pt idx="5">
                  <c:v>1.0000000000000002E-2</c:v>
                </c:pt>
                <c:pt idx="6">
                  <c:v>-9.9999999999999915E-4</c:v>
                </c:pt>
                <c:pt idx="7">
                  <c:v>6.0000000000000001E-3</c:v>
                </c:pt>
                <c:pt idx="8">
                  <c:v>0.02</c:v>
                </c:pt>
                <c:pt idx="9">
                  <c:v>1.8999999999999996E-2</c:v>
                </c:pt>
                <c:pt idx="10">
                  <c:v>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2CD-A227-5710F4F19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329983"/>
        <c:axId val="1974107631"/>
      </c:barChart>
      <c:catAx>
        <c:axId val="21123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07631"/>
        <c:crosses val="autoZero"/>
        <c:auto val="1"/>
        <c:lblAlgn val="ctr"/>
        <c:lblOffset val="100"/>
        <c:noMultiLvlLbl val="0"/>
      </c:catAx>
      <c:valAx>
        <c:axId val="1974107631"/>
        <c:scaling>
          <c:orientation val="minMax"/>
          <c:max val="1.2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2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 - Existence of Complications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Sheet1!$HH$4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Sheet1!$HI$4:$HN$4</c:f>
              <c:numCache>
                <c:formatCode>General</c:formatCode>
                <c:ptCount val="6"/>
                <c:pt idx="0">
                  <c:v>0.64300000000000002</c:v>
                </c:pt>
                <c:pt idx="1">
                  <c:v>0.66400000000000003</c:v>
                </c:pt>
                <c:pt idx="2">
                  <c:v>0.64800000000000002</c:v>
                </c:pt>
                <c:pt idx="3">
                  <c:v>0.64800000000000002</c:v>
                </c:pt>
                <c:pt idx="4">
                  <c:v>0.65500000000000003</c:v>
                </c:pt>
                <c:pt idx="5">
                  <c:v>0.66200000000000003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B-4F1D-8FE8-DE0FE376090D}"/>
            </c:ext>
          </c:extLst>
        </c:ser>
        <c:ser>
          <c:idx val="1"/>
          <c:order val="1"/>
          <c:tx>
            <c:strRef>
              <c:f>Sheet1!$HH$5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Sheet1!$HI$5:$HN$5</c:f>
              <c:numCache>
                <c:formatCode>General</c:formatCode>
                <c:ptCount val="6"/>
                <c:pt idx="0">
                  <c:v>0.60499999999999998</c:v>
                </c:pt>
                <c:pt idx="1">
                  <c:v>0.60099999999999998</c:v>
                </c:pt>
                <c:pt idx="2">
                  <c:v>0.628</c:v>
                </c:pt>
                <c:pt idx="3">
                  <c:v>0.64400000000000002</c:v>
                </c:pt>
                <c:pt idx="4">
                  <c:v>0.66600000000000004</c:v>
                </c:pt>
                <c:pt idx="5">
                  <c:v>0.64600000000000002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B-4F1D-8FE8-DE0FE376090D}"/>
            </c:ext>
          </c:extLst>
        </c:ser>
        <c:ser>
          <c:idx val="2"/>
          <c:order val="2"/>
          <c:tx>
            <c:strRef>
              <c:f>Sheet1!$HH$6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Sheet1!$HI$6:$HN$6</c:f>
              <c:numCache>
                <c:formatCode>General</c:formatCode>
                <c:ptCount val="6"/>
                <c:pt idx="0">
                  <c:v>0.60899999999999999</c:v>
                </c:pt>
                <c:pt idx="1">
                  <c:v>0.62</c:v>
                </c:pt>
                <c:pt idx="2">
                  <c:v>0.625</c:v>
                </c:pt>
                <c:pt idx="3">
                  <c:v>0.65700000000000003</c:v>
                </c:pt>
                <c:pt idx="4">
                  <c:v>0.64900000000000002</c:v>
                </c:pt>
                <c:pt idx="5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B-4F1D-8FE8-DE0FE376090D}"/>
            </c:ext>
          </c:extLst>
        </c:ser>
        <c:ser>
          <c:idx val="3"/>
          <c:order val="3"/>
          <c:tx>
            <c:strRef>
              <c:f>Sheet1!$HH$7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Sheet1!$HI$7:$HN$7</c:f>
              <c:numCache>
                <c:formatCode>General</c:formatCode>
                <c:ptCount val="6"/>
                <c:pt idx="0">
                  <c:v>0.65900000000000003</c:v>
                </c:pt>
                <c:pt idx="1">
                  <c:v>0.64600000000000002</c:v>
                </c:pt>
                <c:pt idx="2">
                  <c:v>0.63800000000000001</c:v>
                </c:pt>
                <c:pt idx="3">
                  <c:v>0.65</c:v>
                </c:pt>
                <c:pt idx="4">
                  <c:v>0.64800000000000002</c:v>
                </c:pt>
                <c:pt idx="5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AB-4F1D-8FE8-DE0FE376090D}"/>
            </c:ext>
          </c:extLst>
        </c:ser>
        <c:ser>
          <c:idx val="4"/>
          <c:order val="4"/>
          <c:tx>
            <c:strRef>
              <c:f>Sheet1!$HH$8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Sheet1!$HI$8:$HN$8</c:f>
              <c:numCache>
                <c:formatCode>General</c:formatCode>
                <c:ptCount val="6"/>
                <c:pt idx="0">
                  <c:v>0.65700000000000003</c:v>
                </c:pt>
                <c:pt idx="1">
                  <c:v>0.64600000000000002</c:v>
                </c:pt>
                <c:pt idx="2">
                  <c:v>0.66200000000000003</c:v>
                </c:pt>
                <c:pt idx="3">
                  <c:v>0.68</c:v>
                </c:pt>
                <c:pt idx="4">
                  <c:v>0.68799999999999994</c:v>
                </c:pt>
                <c:pt idx="5">
                  <c:v>0.66100000000000003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AB-4F1D-8FE8-DE0FE376090D}"/>
            </c:ext>
          </c:extLst>
        </c:ser>
        <c:ser>
          <c:idx val="5"/>
          <c:order val="5"/>
          <c:tx>
            <c:strRef>
              <c:f>Sheet1!$HH$9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Sheet1!$HI$9:$HN$9</c:f>
              <c:numCache>
                <c:formatCode>General</c:formatCode>
                <c:ptCount val="6"/>
                <c:pt idx="0">
                  <c:v>0.67600000000000005</c:v>
                </c:pt>
                <c:pt idx="1">
                  <c:v>0.65200000000000002</c:v>
                </c:pt>
                <c:pt idx="2">
                  <c:v>0.65500000000000003</c:v>
                </c:pt>
                <c:pt idx="3">
                  <c:v>0.67</c:v>
                </c:pt>
                <c:pt idx="4">
                  <c:v>0.68700000000000006</c:v>
                </c:pt>
                <c:pt idx="5">
                  <c:v>0.65600000000000003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AB-4F1D-8FE8-DE0FE376090D}"/>
            </c:ext>
          </c:extLst>
        </c:ser>
        <c:ser>
          <c:idx val="6"/>
          <c:order val="6"/>
          <c:tx>
            <c:strRef>
              <c:f>Sheet1!$HH$10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Sheet1!$HI$10:$HN$10</c:f>
              <c:numCache>
                <c:formatCode>General</c:formatCode>
                <c:ptCount val="6"/>
                <c:pt idx="0">
                  <c:v>0.65600000000000003</c:v>
                </c:pt>
                <c:pt idx="1">
                  <c:v>0.64500000000000002</c:v>
                </c:pt>
                <c:pt idx="2">
                  <c:v>0.64500000000000002</c:v>
                </c:pt>
                <c:pt idx="3">
                  <c:v>0.65100000000000002</c:v>
                </c:pt>
                <c:pt idx="4">
                  <c:v>0.66800000000000004</c:v>
                </c:pt>
                <c:pt idx="5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AB-4F1D-8FE8-DE0FE376090D}"/>
            </c:ext>
          </c:extLst>
        </c:ser>
        <c:ser>
          <c:idx val="7"/>
          <c:order val="7"/>
          <c:tx>
            <c:strRef>
              <c:f>Sheet1!$HH$11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Sheet1!$HI$11:$HN$11</c:f>
              <c:numCache>
                <c:formatCode>General</c:formatCode>
                <c:ptCount val="6"/>
                <c:pt idx="0">
                  <c:v>0.61599999999999999</c:v>
                </c:pt>
                <c:pt idx="1">
                  <c:v>0.64600000000000002</c:v>
                </c:pt>
                <c:pt idx="2">
                  <c:v>0.66</c:v>
                </c:pt>
                <c:pt idx="3">
                  <c:v>0.66</c:v>
                </c:pt>
                <c:pt idx="4">
                  <c:v>0.67700000000000005</c:v>
                </c:pt>
                <c:pt idx="5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AB-4F1D-8FE8-DE0FE3760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506112"/>
        <c:axId val="1984643248"/>
      </c:lineChart>
      <c:catAx>
        <c:axId val="19745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43248"/>
        <c:crosses val="autoZero"/>
        <c:auto val="1"/>
        <c:lblAlgn val="ctr"/>
        <c:lblOffset val="100"/>
        <c:noMultiLvlLbl val="0"/>
      </c:catAx>
      <c:valAx>
        <c:axId val="1984643248"/>
        <c:scaling>
          <c:orientation val="minMax"/>
          <c:min val="0.5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- Existence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Sheet1!$HW$4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Sheet1!$HX$4:$IC$4</c:f>
              <c:numCache>
                <c:formatCode>General</c:formatCode>
                <c:ptCount val="6"/>
                <c:pt idx="0">
                  <c:v>0.71</c:v>
                </c:pt>
                <c:pt idx="1">
                  <c:v>0.71099999999999997</c:v>
                </c:pt>
                <c:pt idx="2">
                  <c:v>0.70699999999999996</c:v>
                </c:pt>
                <c:pt idx="3">
                  <c:v>0.70699999999999996</c:v>
                </c:pt>
                <c:pt idx="4">
                  <c:v>0.71</c:v>
                </c:pt>
                <c:pt idx="5">
                  <c:v>0.70299999999999996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3-4A94-8760-476D09706FEA}"/>
            </c:ext>
          </c:extLst>
        </c:ser>
        <c:ser>
          <c:idx val="1"/>
          <c:order val="1"/>
          <c:tx>
            <c:strRef>
              <c:f>Sheet1!$HW$5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Sheet1!$HX$5:$IC$5</c:f>
              <c:numCache>
                <c:formatCode>General</c:formatCode>
                <c:ptCount val="6"/>
                <c:pt idx="0">
                  <c:v>0.63600000000000001</c:v>
                </c:pt>
                <c:pt idx="1">
                  <c:v>0.64700000000000002</c:v>
                </c:pt>
                <c:pt idx="2">
                  <c:v>0.68799999999999994</c:v>
                </c:pt>
                <c:pt idx="3">
                  <c:v>0.68600000000000005</c:v>
                </c:pt>
                <c:pt idx="4">
                  <c:v>0.70199999999999996</c:v>
                </c:pt>
                <c:pt idx="5">
                  <c:v>0.69399999999999995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3-4A94-8760-476D09706FEA}"/>
            </c:ext>
          </c:extLst>
        </c:ser>
        <c:ser>
          <c:idx val="2"/>
          <c:order val="2"/>
          <c:tx>
            <c:strRef>
              <c:f>Sheet1!$HW$6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Sheet1!$HX$6:$IC$6</c:f>
              <c:numCache>
                <c:formatCode>General</c:formatCode>
                <c:ptCount val="6"/>
                <c:pt idx="0">
                  <c:v>0.60499999999999998</c:v>
                </c:pt>
                <c:pt idx="1">
                  <c:v>0.62</c:v>
                </c:pt>
                <c:pt idx="2">
                  <c:v>0.626</c:v>
                </c:pt>
                <c:pt idx="3">
                  <c:v>0.68799999999999994</c:v>
                </c:pt>
                <c:pt idx="4">
                  <c:v>0.69599999999999995</c:v>
                </c:pt>
                <c:pt idx="5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23-4A94-8760-476D09706FEA}"/>
            </c:ext>
          </c:extLst>
        </c:ser>
        <c:ser>
          <c:idx val="3"/>
          <c:order val="3"/>
          <c:tx>
            <c:strRef>
              <c:f>Sheet1!$HW$7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Sheet1!$HX$7:$IC$7</c:f>
              <c:numCache>
                <c:formatCode>General</c:formatCode>
                <c:ptCount val="6"/>
                <c:pt idx="0">
                  <c:v>0.73</c:v>
                </c:pt>
                <c:pt idx="1">
                  <c:v>0.70799999999999996</c:v>
                </c:pt>
                <c:pt idx="2">
                  <c:v>0.71099999999999997</c:v>
                </c:pt>
                <c:pt idx="3">
                  <c:v>0.69599999999999995</c:v>
                </c:pt>
                <c:pt idx="4">
                  <c:v>0.71399999999999997</c:v>
                </c:pt>
                <c:pt idx="5">
                  <c:v>0.69699999999999995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23-4A94-8760-476D09706FEA}"/>
            </c:ext>
          </c:extLst>
        </c:ser>
        <c:ser>
          <c:idx val="4"/>
          <c:order val="4"/>
          <c:tx>
            <c:strRef>
              <c:f>Sheet1!$HW$8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Sheet1!$HX$8:$IC$8</c:f>
              <c:numCache>
                <c:formatCode>General</c:formatCode>
                <c:ptCount val="6"/>
                <c:pt idx="0">
                  <c:v>0.70699999999999996</c:v>
                </c:pt>
                <c:pt idx="1">
                  <c:v>0.69499999999999995</c:v>
                </c:pt>
                <c:pt idx="2">
                  <c:v>0.72</c:v>
                </c:pt>
                <c:pt idx="3">
                  <c:v>0.71599999999999997</c:v>
                </c:pt>
                <c:pt idx="4">
                  <c:v>0.73199999999999998</c:v>
                </c:pt>
                <c:pt idx="5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23-4A94-8760-476D09706FEA}"/>
            </c:ext>
          </c:extLst>
        </c:ser>
        <c:ser>
          <c:idx val="5"/>
          <c:order val="5"/>
          <c:tx>
            <c:strRef>
              <c:f>Sheet1!$HW$9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Sheet1!$HX$9:$IC$9</c:f>
              <c:numCache>
                <c:formatCode>General</c:formatCode>
                <c:ptCount val="6"/>
                <c:pt idx="0">
                  <c:v>0.70499999999999996</c:v>
                </c:pt>
                <c:pt idx="1">
                  <c:v>0.68500000000000005</c:v>
                </c:pt>
                <c:pt idx="2">
                  <c:v>0.70799999999999996</c:v>
                </c:pt>
                <c:pt idx="3">
                  <c:v>0.72199999999999998</c:v>
                </c:pt>
                <c:pt idx="4">
                  <c:v>0.72899999999999998</c:v>
                </c:pt>
                <c:pt idx="5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23-4A94-8760-476D09706FEA}"/>
            </c:ext>
          </c:extLst>
        </c:ser>
        <c:ser>
          <c:idx val="6"/>
          <c:order val="6"/>
          <c:tx>
            <c:strRef>
              <c:f>Sheet1!$HW$10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Sheet1!$HX$10:$IC$10</c:f>
              <c:numCache>
                <c:formatCode>General</c:formatCode>
                <c:ptCount val="6"/>
                <c:pt idx="0">
                  <c:v>0.70799999999999996</c:v>
                </c:pt>
                <c:pt idx="1">
                  <c:v>0.70499999999999996</c:v>
                </c:pt>
                <c:pt idx="2">
                  <c:v>0.70499999999999996</c:v>
                </c:pt>
                <c:pt idx="3">
                  <c:v>0.70399999999999996</c:v>
                </c:pt>
                <c:pt idx="4">
                  <c:v>0.71099999999999997</c:v>
                </c:pt>
                <c:pt idx="5">
                  <c:v>0.69499999999999995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23-4A94-8760-476D09706FEA}"/>
            </c:ext>
          </c:extLst>
        </c:ser>
        <c:ser>
          <c:idx val="7"/>
          <c:order val="7"/>
          <c:tx>
            <c:strRef>
              <c:f>Sheet1!$HW$11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Sheet1!$HX$11:$IC$11</c:f>
              <c:numCache>
                <c:formatCode>General</c:formatCode>
                <c:ptCount val="6"/>
                <c:pt idx="0">
                  <c:v>0.67200000000000004</c:v>
                </c:pt>
                <c:pt idx="1">
                  <c:v>0.69799999999999995</c:v>
                </c:pt>
                <c:pt idx="2">
                  <c:v>0.70699999999999996</c:v>
                </c:pt>
                <c:pt idx="3">
                  <c:v>0.71499999999999997</c:v>
                </c:pt>
                <c:pt idx="4">
                  <c:v>0.70399999999999996</c:v>
                </c:pt>
                <c:pt idx="5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23-4A94-8760-476D09706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10768"/>
        <c:axId val="2012582992"/>
      </c:lineChart>
      <c:catAx>
        <c:axId val="17741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82992"/>
        <c:crosses val="autoZero"/>
        <c:auto val="1"/>
        <c:lblAlgn val="ctr"/>
        <c:lblOffset val="100"/>
        <c:noMultiLvlLbl val="0"/>
      </c:catAx>
      <c:valAx>
        <c:axId val="201258299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- Existence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Sheet1!$IL$4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Sheet1!$IM$4:$IR$4</c:f>
              <c:numCache>
                <c:formatCode>General</c:formatCode>
                <c:ptCount val="6"/>
                <c:pt idx="0">
                  <c:v>0.61499999999999999</c:v>
                </c:pt>
                <c:pt idx="1">
                  <c:v>0.64100000000000001</c:v>
                </c:pt>
                <c:pt idx="2">
                  <c:v>0.62150000000000005</c:v>
                </c:pt>
                <c:pt idx="3">
                  <c:v>0.62150000000000005</c:v>
                </c:pt>
                <c:pt idx="4">
                  <c:v>0.62750000000000006</c:v>
                </c:pt>
                <c:pt idx="5">
                  <c:v>0.65100000000000002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0-44C7-AC4D-86A4532CD952}"/>
            </c:ext>
          </c:extLst>
        </c:ser>
        <c:ser>
          <c:idx val="1"/>
          <c:order val="1"/>
          <c:tx>
            <c:strRef>
              <c:f>Sheet1!$IL$5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Sheet1!$IM$5:$IR$5</c:f>
              <c:numCache>
                <c:formatCode>General</c:formatCode>
                <c:ptCount val="6"/>
                <c:pt idx="0">
                  <c:v>0.59750000000000003</c:v>
                </c:pt>
                <c:pt idx="1">
                  <c:v>0.60349999999999993</c:v>
                </c:pt>
                <c:pt idx="2">
                  <c:v>0.63549999999999995</c:v>
                </c:pt>
                <c:pt idx="3">
                  <c:v>0.64450000000000007</c:v>
                </c:pt>
                <c:pt idx="4">
                  <c:v>0.64900000000000002</c:v>
                </c:pt>
                <c:pt idx="5">
                  <c:v>0.63800000000000001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0-44C7-AC4D-86A4532CD952}"/>
            </c:ext>
          </c:extLst>
        </c:ser>
        <c:ser>
          <c:idx val="2"/>
          <c:order val="2"/>
          <c:tx>
            <c:strRef>
              <c:f>Sheet1!$IL$6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Sheet1!$IM$6:$IR$6</c:f>
              <c:numCache>
                <c:formatCode>General</c:formatCode>
                <c:ptCount val="6"/>
                <c:pt idx="0">
                  <c:v>0.60499999999999998</c:v>
                </c:pt>
                <c:pt idx="1">
                  <c:v>0.61949999999999994</c:v>
                </c:pt>
                <c:pt idx="2">
                  <c:v>0.626</c:v>
                </c:pt>
                <c:pt idx="3">
                  <c:v>0.65749999999999997</c:v>
                </c:pt>
                <c:pt idx="4">
                  <c:v>0.64500000000000002</c:v>
                </c:pt>
                <c:pt idx="5">
                  <c:v>0.65700000000000003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0-44C7-AC4D-86A4532CD952}"/>
            </c:ext>
          </c:extLst>
        </c:ser>
        <c:ser>
          <c:idx val="3"/>
          <c:order val="3"/>
          <c:tx>
            <c:strRef>
              <c:f>Sheet1!$IL$7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Sheet1!$IM$7:$IR$7</c:f>
              <c:numCache>
                <c:formatCode>General</c:formatCode>
                <c:ptCount val="6"/>
                <c:pt idx="0">
                  <c:v>0.64900000000000002</c:v>
                </c:pt>
                <c:pt idx="1">
                  <c:v>0.64800000000000002</c:v>
                </c:pt>
                <c:pt idx="2">
                  <c:v>0.63949999999999996</c:v>
                </c:pt>
                <c:pt idx="3">
                  <c:v>0.65349999999999997</c:v>
                </c:pt>
                <c:pt idx="4">
                  <c:v>0.64700000000000002</c:v>
                </c:pt>
                <c:pt idx="5">
                  <c:v>0.64349999999999996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0-44C7-AC4D-86A4532CD952}"/>
            </c:ext>
          </c:extLst>
        </c:ser>
        <c:ser>
          <c:idx val="4"/>
          <c:order val="4"/>
          <c:tx>
            <c:strRef>
              <c:f>Sheet1!$IL$8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Sheet1!$IM$8:$IR$8</c:f>
              <c:numCache>
                <c:formatCode>General</c:formatCode>
                <c:ptCount val="6"/>
                <c:pt idx="0">
                  <c:v>0.63700000000000001</c:v>
                </c:pt>
                <c:pt idx="1">
                  <c:v>0.64100000000000001</c:v>
                </c:pt>
                <c:pt idx="2">
                  <c:v>0.65900000000000003</c:v>
                </c:pt>
                <c:pt idx="3">
                  <c:v>0.67700000000000005</c:v>
                </c:pt>
                <c:pt idx="4">
                  <c:v>0.68199999999999994</c:v>
                </c:pt>
                <c:pt idx="5">
                  <c:v>0.65399999999999991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0-44C7-AC4D-86A4532CD952}"/>
            </c:ext>
          </c:extLst>
        </c:ser>
        <c:ser>
          <c:idx val="5"/>
          <c:order val="5"/>
          <c:tx>
            <c:strRef>
              <c:f>Sheet1!$IL$9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Sheet1!$IM$9:$IR$9</c:f>
              <c:numCache>
                <c:formatCode>General</c:formatCode>
                <c:ptCount val="6"/>
                <c:pt idx="0">
                  <c:v>0.66599999999999993</c:v>
                </c:pt>
                <c:pt idx="1">
                  <c:v>0.65050000000000008</c:v>
                </c:pt>
                <c:pt idx="2">
                  <c:v>0.65200000000000002</c:v>
                </c:pt>
                <c:pt idx="3">
                  <c:v>0.66700000000000004</c:v>
                </c:pt>
                <c:pt idx="4">
                  <c:v>0.68149999999999999</c:v>
                </c:pt>
                <c:pt idx="5">
                  <c:v>0.65349999999999997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D0-44C7-AC4D-86A4532CD952}"/>
            </c:ext>
          </c:extLst>
        </c:ser>
        <c:ser>
          <c:idx val="6"/>
          <c:order val="6"/>
          <c:tx>
            <c:strRef>
              <c:f>Sheet1!$IL$10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Sheet1!$IM$10:$IR$10</c:f>
              <c:numCache>
                <c:formatCode>General</c:formatCode>
                <c:ptCount val="6"/>
                <c:pt idx="0">
                  <c:v>0.64849999999999997</c:v>
                </c:pt>
                <c:pt idx="1">
                  <c:v>0.64600000000000002</c:v>
                </c:pt>
                <c:pt idx="2">
                  <c:v>0.64600000000000002</c:v>
                </c:pt>
                <c:pt idx="3">
                  <c:v>0.65300000000000002</c:v>
                </c:pt>
                <c:pt idx="4">
                  <c:v>0.66500000000000004</c:v>
                </c:pt>
                <c:pt idx="5">
                  <c:v>0.64149999999999996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D0-44C7-AC4D-86A4532CD952}"/>
            </c:ext>
          </c:extLst>
        </c:ser>
        <c:ser>
          <c:idx val="7"/>
          <c:order val="7"/>
          <c:tx>
            <c:strRef>
              <c:f>Sheet1!$IL$11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Sheet1!$IM$11:$IR$11</c:f>
              <c:numCache>
                <c:formatCode>General</c:formatCode>
                <c:ptCount val="6"/>
                <c:pt idx="0">
                  <c:v>0.60950000000000004</c:v>
                </c:pt>
                <c:pt idx="1">
                  <c:v>0.64549999999999996</c:v>
                </c:pt>
                <c:pt idx="2">
                  <c:v>0.65850000000000009</c:v>
                </c:pt>
                <c:pt idx="3">
                  <c:v>0.66399999999999992</c:v>
                </c:pt>
                <c:pt idx="4">
                  <c:v>0.67399999999999993</c:v>
                </c:pt>
                <c:pt idx="5">
                  <c:v>0.65049999999999997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D0-44C7-AC4D-86A4532CD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24144"/>
        <c:axId val="2012638320"/>
      </c:lineChart>
      <c:catAx>
        <c:axId val="853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38320"/>
        <c:crosses val="autoZero"/>
        <c:auto val="1"/>
        <c:lblAlgn val="ctr"/>
        <c:lblOffset val="100"/>
        <c:noMultiLvlLbl val="0"/>
      </c:catAx>
      <c:valAx>
        <c:axId val="2012638320"/>
        <c:scaling>
          <c:orientation val="minMax"/>
          <c:min val="0.5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Kappa</a:t>
            </a:r>
            <a:r>
              <a:rPr lang="en-US" baseline="0"/>
              <a:t> - Existence of Complications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Sheet1!$JA$4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Sheet1!$JB$4:$JG$4</c:f>
              <c:numCache>
                <c:formatCode>General</c:formatCode>
                <c:ptCount val="6"/>
                <c:pt idx="0">
                  <c:v>0.24</c:v>
                </c:pt>
                <c:pt idx="1">
                  <c:v>0.29299999999999998</c:v>
                </c:pt>
                <c:pt idx="2">
                  <c:v>0.254</c:v>
                </c:pt>
                <c:pt idx="3">
                  <c:v>0.254</c:v>
                </c:pt>
                <c:pt idx="4">
                  <c:v>0.26700000000000002</c:v>
                </c:pt>
                <c:pt idx="5">
                  <c:v>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7-41A1-B288-55D1F73795AC}"/>
            </c:ext>
          </c:extLst>
        </c:ser>
        <c:ser>
          <c:idx val="1"/>
          <c:order val="1"/>
          <c:tx>
            <c:strRef>
              <c:f>Sheet1!$JA$5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Sheet1!$JB$5:$JG$5</c:f>
              <c:numCache>
                <c:formatCode>General</c:formatCode>
                <c:ptCount val="6"/>
                <c:pt idx="0">
                  <c:v>0.19700000000000001</c:v>
                </c:pt>
                <c:pt idx="1">
                  <c:v>0.20499999999999999</c:v>
                </c:pt>
                <c:pt idx="2">
                  <c:v>0.26500000000000001</c:v>
                </c:pt>
                <c:pt idx="3">
                  <c:v>0.28699999999999998</c:v>
                </c:pt>
                <c:pt idx="4">
                  <c:v>0.30599999999999999</c:v>
                </c:pt>
                <c:pt idx="5">
                  <c:v>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7-41A1-B288-55D1F73795AC}"/>
            </c:ext>
          </c:extLst>
        </c:ser>
        <c:ser>
          <c:idx val="2"/>
          <c:order val="2"/>
          <c:tx>
            <c:strRef>
              <c:f>Sheet1!$JA$6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Sheet1!$JB$6:$JG$6</c:f>
              <c:numCache>
                <c:formatCode>General</c:formatCode>
                <c:ptCount val="6"/>
                <c:pt idx="0">
                  <c:v>0.21</c:v>
                </c:pt>
                <c:pt idx="1">
                  <c:v>0.23799999999999999</c:v>
                </c:pt>
                <c:pt idx="2">
                  <c:v>0.249</c:v>
                </c:pt>
                <c:pt idx="3">
                  <c:v>0.313</c:v>
                </c:pt>
                <c:pt idx="4">
                  <c:v>0.28899999999999998</c:v>
                </c:pt>
                <c:pt idx="5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D7-41A1-B288-55D1F73795AC}"/>
            </c:ext>
          </c:extLst>
        </c:ser>
        <c:ser>
          <c:idx val="3"/>
          <c:order val="3"/>
          <c:tx>
            <c:strRef>
              <c:f>Sheet1!$JA$7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Sheet1!$JB$7:$JG$7</c:f>
              <c:numCache>
                <c:formatCode>General</c:formatCode>
                <c:ptCount val="6"/>
                <c:pt idx="0">
                  <c:v>0.30099999999999999</c:v>
                </c:pt>
                <c:pt idx="1">
                  <c:v>0.29299999999999998</c:v>
                </c:pt>
                <c:pt idx="2">
                  <c:v>0.27600000000000002</c:v>
                </c:pt>
                <c:pt idx="3">
                  <c:v>0.30199999999999999</c:v>
                </c:pt>
                <c:pt idx="4">
                  <c:v>0.29099999999999998</c:v>
                </c:pt>
                <c:pt idx="5">
                  <c:v>0.28299999999999997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D7-41A1-B288-55D1F73795AC}"/>
            </c:ext>
          </c:extLst>
        </c:ser>
        <c:ser>
          <c:idx val="4"/>
          <c:order val="4"/>
          <c:tx>
            <c:strRef>
              <c:f>Sheet1!$JA$8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Sheet1!$JB$8:$JG$8</c:f>
              <c:numCache>
                <c:formatCode>General</c:formatCode>
                <c:ptCount val="6"/>
                <c:pt idx="0">
                  <c:v>0.28399999999999997</c:v>
                </c:pt>
                <c:pt idx="1">
                  <c:v>0.28299999999999997</c:v>
                </c:pt>
                <c:pt idx="2">
                  <c:v>0.318</c:v>
                </c:pt>
                <c:pt idx="3">
                  <c:v>0.35399999999999998</c:v>
                </c:pt>
                <c:pt idx="4">
                  <c:v>0.36599999999999999</c:v>
                </c:pt>
                <c:pt idx="5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D7-41A1-B288-55D1F73795AC}"/>
            </c:ext>
          </c:extLst>
        </c:ser>
        <c:ser>
          <c:idx val="5"/>
          <c:order val="5"/>
          <c:tx>
            <c:strRef>
              <c:f>Sheet1!$JA$9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Sheet1!$JB$9:$JG$9</c:f>
              <c:numCache>
                <c:formatCode>General</c:formatCode>
                <c:ptCount val="6"/>
                <c:pt idx="0">
                  <c:v>0.33600000000000002</c:v>
                </c:pt>
                <c:pt idx="1">
                  <c:v>0.3</c:v>
                </c:pt>
                <c:pt idx="2">
                  <c:v>0.30399999999999999</c:v>
                </c:pt>
                <c:pt idx="3">
                  <c:v>0.33400000000000002</c:v>
                </c:pt>
                <c:pt idx="4">
                  <c:v>0.36399999999999999</c:v>
                </c:pt>
                <c:pt idx="5">
                  <c:v>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D7-41A1-B288-55D1F73795AC}"/>
            </c:ext>
          </c:extLst>
        </c:ser>
        <c:ser>
          <c:idx val="6"/>
          <c:order val="6"/>
          <c:tx>
            <c:strRef>
              <c:f>Sheet1!$JA$10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Sheet1!$JB$10:$JG$10</c:f>
              <c:numCache>
                <c:formatCode>General</c:formatCode>
                <c:ptCount val="6"/>
                <c:pt idx="0">
                  <c:v>0.29899999999999999</c:v>
                </c:pt>
                <c:pt idx="1">
                  <c:v>0.28899999999999998</c:v>
                </c:pt>
                <c:pt idx="2">
                  <c:v>0.28899999999999998</c:v>
                </c:pt>
                <c:pt idx="3">
                  <c:v>0.30199999999999999</c:v>
                </c:pt>
                <c:pt idx="4">
                  <c:v>0.33</c:v>
                </c:pt>
                <c:pt idx="5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D7-41A1-B288-55D1F73795AC}"/>
            </c:ext>
          </c:extLst>
        </c:ser>
        <c:ser>
          <c:idx val="7"/>
          <c:order val="7"/>
          <c:tx>
            <c:strRef>
              <c:f>Sheet1!$JA$11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Sheet1!$JB$11:$JG$11</c:f>
              <c:numCache>
                <c:formatCode>General</c:formatCode>
                <c:ptCount val="6"/>
                <c:pt idx="0">
                  <c:v>0.221</c:v>
                </c:pt>
                <c:pt idx="1">
                  <c:v>0.28999999999999998</c:v>
                </c:pt>
                <c:pt idx="2">
                  <c:v>0.316</c:v>
                </c:pt>
                <c:pt idx="3">
                  <c:v>0.32300000000000001</c:v>
                </c:pt>
                <c:pt idx="4">
                  <c:v>0.34799999999999998</c:v>
                </c:pt>
                <c:pt idx="5">
                  <c:v>0.29699999999999999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D7-41A1-B288-55D1F7379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825264"/>
        <c:axId val="2008857088"/>
      </c:lineChart>
      <c:catAx>
        <c:axId val="2258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57088"/>
        <c:crosses val="autoZero"/>
        <c:auto val="1"/>
        <c:lblAlgn val="ctr"/>
        <c:lblOffset val="100"/>
        <c:noMultiLvlLbl val="0"/>
      </c:catAx>
      <c:valAx>
        <c:axId val="2008857088"/>
        <c:scaling>
          <c:orientation val="minMax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  <a:r>
              <a:rPr lang="en-US" baseline="0"/>
              <a:t> - Days in the ICU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Sheet1!$HH$51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Sheet1!$HI$51:$HM$51</c:f>
              <c:numCache>
                <c:formatCode>General</c:formatCode>
                <c:ptCount val="5"/>
                <c:pt idx="0">
                  <c:v>1.2789999999999999</c:v>
                </c:pt>
                <c:pt idx="1">
                  <c:v>1.2789999999999999</c:v>
                </c:pt>
                <c:pt idx="2">
                  <c:v>1.2609999999999999</c:v>
                </c:pt>
                <c:pt idx="3">
                  <c:v>85271798.923999995</c:v>
                </c:pt>
                <c:pt idx="4">
                  <c:v>2118583774.7609999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F-421D-A6D9-6FB654E33E18}"/>
            </c:ext>
          </c:extLst>
        </c:ser>
        <c:ser>
          <c:idx val="1"/>
          <c:order val="1"/>
          <c:tx>
            <c:strRef>
              <c:f>Sheet1!$HH$52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Sheet1!$HI$52:$HM$52</c:f>
              <c:numCache>
                <c:formatCode>General</c:formatCode>
                <c:ptCount val="5"/>
                <c:pt idx="0">
                  <c:v>1.1539999999999999</c:v>
                </c:pt>
                <c:pt idx="1">
                  <c:v>1.1539999999999999</c:v>
                </c:pt>
                <c:pt idx="2">
                  <c:v>1.036</c:v>
                </c:pt>
                <c:pt idx="3">
                  <c:v>1.0429999999999999</c:v>
                </c:pt>
                <c:pt idx="4">
                  <c:v>1.0429999999999999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F-421D-A6D9-6FB654E33E18}"/>
            </c:ext>
          </c:extLst>
        </c:ser>
        <c:ser>
          <c:idx val="2"/>
          <c:order val="2"/>
          <c:tx>
            <c:strRef>
              <c:f>Sheet1!$HH$53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Sheet1!$HI$53:$HM$53</c:f>
              <c:numCache>
                <c:formatCode>General</c:formatCode>
                <c:ptCount val="5"/>
                <c:pt idx="0">
                  <c:v>1.0920000000000001</c:v>
                </c:pt>
                <c:pt idx="1">
                  <c:v>1.0920000000000001</c:v>
                </c:pt>
                <c:pt idx="2">
                  <c:v>1.0920000000000001</c:v>
                </c:pt>
                <c:pt idx="3">
                  <c:v>1.0920000000000001</c:v>
                </c:pt>
                <c:pt idx="4">
                  <c:v>1.0920000000000001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F-421D-A6D9-6FB654E33E18}"/>
            </c:ext>
          </c:extLst>
        </c:ser>
        <c:ser>
          <c:idx val="3"/>
          <c:order val="3"/>
          <c:tx>
            <c:strRef>
              <c:f>Sheet1!$HH$54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Sheet1!$HI$54:$HM$54</c:f>
              <c:numCache>
                <c:formatCode>General</c:formatCode>
                <c:ptCount val="5"/>
                <c:pt idx="0">
                  <c:v>0.94699999999999995</c:v>
                </c:pt>
                <c:pt idx="1">
                  <c:v>0.94699999999999995</c:v>
                </c:pt>
                <c:pt idx="2">
                  <c:v>0.94199999999999995</c:v>
                </c:pt>
                <c:pt idx="3">
                  <c:v>0.94099999999999995</c:v>
                </c:pt>
                <c:pt idx="4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F-421D-A6D9-6FB654E33E18}"/>
            </c:ext>
          </c:extLst>
        </c:ser>
        <c:ser>
          <c:idx val="4"/>
          <c:order val="4"/>
          <c:tx>
            <c:strRef>
              <c:f>Sheet1!$HH$55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Sheet1!$HI$55:$HM$55</c:f>
              <c:numCache>
                <c:formatCode>General</c:formatCode>
                <c:ptCount val="5"/>
                <c:pt idx="0">
                  <c:v>1.0920000000000001</c:v>
                </c:pt>
                <c:pt idx="1">
                  <c:v>1.0920000000000001</c:v>
                </c:pt>
                <c:pt idx="2">
                  <c:v>1.046</c:v>
                </c:pt>
                <c:pt idx="3">
                  <c:v>1.0389999999999999</c:v>
                </c:pt>
                <c:pt idx="4">
                  <c:v>1.012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1F-421D-A6D9-6FB654E33E18}"/>
            </c:ext>
          </c:extLst>
        </c:ser>
        <c:ser>
          <c:idx val="5"/>
          <c:order val="5"/>
          <c:tx>
            <c:strRef>
              <c:f>Sheet1!$HH$56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Sheet1!$HI$56:$HM$56</c:f>
              <c:numCache>
                <c:formatCode>General</c:formatCode>
                <c:ptCount val="5"/>
                <c:pt idx="0">
                  <c:v>1.0629999999999999</c:v>
                </c:pt>
                <c:pt idx="1">
                  <c:v>1.0629999999999999</c:v>
                </c:pt>
                <c:pt idx="2">
                  <c:v>1.012</c:v>
                </c:pt>
                <c:pt idx="3">
                  <c:v>1.002</c:v>
                </c:pt>
                <c:pt idx="4">
                  <c:v>1.0129999999999999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1F-421D-A6D9-6FB654E33E18}"/>
            </c:ext>
          </c:extLst>
        </c:ser>
        <c:ser>
          <c:idx val="6"/>
          <c:order val="6"/>
          <c:tx>
            <c:strRef>
              <c:f>Sheet1!$HH$57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Sheet1!$HI$57:$HM$57</c:f>
              <c:numCache>
                <c:formatCode>General</c:formatCode>
                <c:ptCount val="5"/>
                <c:pt idx="0">
                  <c:v>1.409</c:v>
                </c:pt>
                <c:pt idx="1">
                  <c:v>1.409</c:v>
                </c:pt>
                <c:pt idx="2">
                  <c:v>0.91300000000000003</c:v>
                </c:pt>
                <c:pt idx="3">
                  <c:v>0.89800000000000002</c:v>
                </c:pt>
                <c:pt idx="4">
                  <c:v>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1F-421D-A6D9-6FB654E33E18}"/>
            </c:ext>
          </c:extLst>
        </c:ser>
        <c:ser>
          <c:idx val="7"/>
          <c:order val="7"/>
          <c:tx>
            <c:strRef>
              <c:f>Sheet1!$HH$58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Sheet1!$HI$58:$HM$58</c:f>
              <c:numCache>
                <c:formatCode>General</c:formatCode>
                <c:ptCount val="5"/>
                <c:pt idx="0">
                  <c:v>1.0900000000000001</c:v>
                </c:pt>
                <c:pt idx="1">
                  <c:v>1.0900000000000001</c:v>
                </c:pt>
                <c:pt idx="2">
                  <c:v>0.92600000000000005</c:v>
                </c:pt>
                <c:pt idx="3">
                  <c:v>0.92800000000000005</c:v>
                </c:pt>
                <c:pt idx="4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1F-421D-A6D9-6FB654E33E18}"/>
            </c:ext>
          </c:extLst>
        </c:ser>
        <c:ser>
          <c:idx val="8"/>
          <c:order val="8"/>
          <c:tx>
            <c:strRef>
              <c:f>Sheet1!$HH$59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Sheet1!$HI$59:$HM$59</c:f>
              <c:numCache>
                <c:formatCode>General</c:formatCode>
                <c:ptCount val="5"/>
                <c:pt idx="0">
                  <c:v>1.0780000000000001</c:v>
                </c:pt>
                <c:pt idx="1">
                  <c:v>1.0780000000000001</c:v>
                </c:pt>
                <c:pt idx="2">
                  <c:v>0.97699999999999998</c:v>
                </c:pt>
                <c:pt idx="3">
                  <c:v>0.97299999999999998</c:v>
                </c:pt>
                <c:pt idx="4">
                  <c:v>0.97299999999999998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1F-421D-A6D9-6FB654E33E18}"/>
            </c:ext>
          </c:extLst>
        </c:ser>
        <c:ser>
          <c:idx val="9"/>
          <c:order val="9"/>
          <c:tx>
            <c:strRef>
              <c:f>Sheet1!$HH$60</c:f>
              <c:strCache>
                <c:ptCount val="1"/>
                <c:pt idx="0">
                  <c:v>PLS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Sheet1!$HI$60:$HM$60</c:f>
              <c:numCache>
                <c:formatCode>General</c:formatCode>
                <c:ptCount val="5"/>
                <c:pt idx="0">
                  <c:v>1.056</c:v>
                </c:pt>
                <c:pt idx="1">
                  <c:v>1.056</c:v>
                </c:pt>
                <c:pt idx="2">
                  <c:v>1.056</c:v>
                </c:pt>
                <c:pt idx="3">
                  <c:v>1.0680000000000001</c:v>
                </c:pt>
                <c:pt idx="4">
                  <c:v>1.056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1F-421D-A6D9-6FB654E33E18}"/>
            </c:ext>
          </c:extLst>
        </c:ser>
        <c:ser>
          <c:idx val="10"/>
          <c:order val="10"/>
          <c:tx>
            <c:strRef>
              <c:f>Sheet1!$HH$61</c:f>
              <c:strCache>
                <c:ptCount val="1"/>
                <c:pt idx="0">
                  <c:v>MLPR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Sheet1!$HI$61:$HM$61</c:f>
              <c:numCache>
                <c:formatCode>General</c:formatCode>
                <c:ptCount val="5"/>
                <c:pt idx="0">
                  <c:v>1.2589999999999999</c:v>
                </c:pt>
                <c:pt idx="1">
                  <c:v>1.254</c:v>
                </c:pt>
                <c:pt idx="2">
                  <c:v>1.056</c:v>
                </c:pt>
                <c:pt idx="3">
                  <c:v>1.7000000000000001E-2</c:v>
                </c:pt>
                <c:pt idx="4">
                  <c:v>1.0489999999999999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31F-421D-A6D9-6FB654E3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144112"/>
        <c:axId val="2008821728"/>
      </c:lineChart>
      <c:catAx>
        <c:axId val="19861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21728"/>
        <c:crosses val="autoZero"/>
        <c:auto val="1"/>
        <c:lblAlgn val="ctr"/>
        <c:lblOffset val="100"/>
        <c:noMultiLvlLbl val="0"/>
      </c:catAx>
      <c:valAx>
        <c:axId val="2008821728"/>
        <c:scaling>
          <c:orientation val="minMax"/>
          <c:max val="1.1000000000000001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  <a:r>
              <a:rPr lang="en-US" baseline="0"/>
              <a:t> - Days in the ICU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Sheet1!$HV$51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Sheet1!$HW$51:$IA$51</c:f>
              <c:numCache>
                <c:formatCode>General</c:formatCode>
                <c:ptCount val="5"/>
                <c:pt idx="0">
                  <c:v>2.101</c:v>
                </c:pt>
                <c:pt idx="1">
                  <c:v>2.101</c:v>
                </c:pt>
                <c:pt idx="2">
                  <c:v>2.0390000000000001</c:v>
                </c:pt>
                <c:pt idx="3">
                  <c:v>781528937.41600001</c:v>
                </c:pt>
                <c:pt idx="4">
                  <c:v>19532377289.441002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D-4C9D-B0C2-FB467825CFB5}"/>
            </c:ext>
          </c:extLst>
        </c:ser>
        <c:ser>
          <c:idx val="1"/>
          <c:order val="1"/>
          <c:tx>
            <c:strRef>
              <c:f>Sheet1!$HV$52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Sheet1!$HW$52:$IA$52</c:f>
              <c:numCache>
                <c:formatCode>General</c:formatCode>
                <c:ptCount val="5"/>
                <c:pt idx="0">
                  <c:v>1.8360000000000001</c:v>
                </c:pt>
                <c:pt idx="1">
                  <c:v>1.8360000000000001</c:v>
                </c:pt>
                <c:pt idx="2">
                  <c:v>1.716</c:v>
                </c:pt>
                <c:pt idx="3">
                  <c:v>1.722</c:v>
                </c:pt>
                <c:pt idx="4">
                  <c:v>1.712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D-4C9D-B0C2-FB467825CFB5}"/>
            </c:ext>
          </c:extLst>
        </c:ser>
        <c:ser>
          <c:idx val="2"/>
          <c:order val="2"/>
          <c:tx>
            <c:strRef>
              <c:f>Sheet1!$HV$53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Sheet1!$HW$53:$IA$53</c:f>
              <c:numCache>
                <c:formatCode>General</c:formatCode>
                <c:ptCount val="5"/>
                <c:pt idx="0">
                  <c:v>1.7849999999999999</c:v>
                </c:pt>
                <c:pt idx="1">
                  <c:v>1.7849999999999999</c:v>
                </c:pt>
                <c:pt idx="2">
                  <c:v>1.7849999999999999</c:v>
                </c:pt>
                <c:pt idx="3">
                  <c:v>1.7849999999999999</c:v>
                </c:pt>
                <c:pt idx="4">
                  <c:v>1.7849999999999999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D-4C9D-B0C2-FB467825CFB5}"/>
            </c:ext>
          </c:extLst>
        </c:ser>
        <c:ser>
          <c:idx val="3"/>
          <c:order val="3"/>
          <c:tx>
            <c:strRef>
              <c:f>Sheet1!$HV$54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Sheet1!$HW$54:$IA$54</c:f>
              <c:numCache>
                <c:formatCode>General</c:formatCode>
                <c:ptCount val="5"/>
                <c:pt idx="0">
                  <c:v>1.76</c:v>
                </c:pt>
                <c:pt idx="1">
                  <c:v>1.76</c:v>
                </c:pt>
                <c:pt idx="2">
                  <c:v>1.7450000000000001</c:v>
                </c:pt>
                <c:pt idx="3">
                  <c:v>1.768</c:v>
                </c:pt>
                <c:pt idx="4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0D-4C9D-B0C2-FB467825CFB5}"/>
            </c:ext>
          </c:extLst>
        </c:ser>
        <c:ser>
          <c:idx val="4"/>
          <c:order val="4"/>
          <c:tx>
            <c:strRef>
              <c:f>Sheet1!$HV$55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Sheet1!$HW$55:$IA$55</c:f>
              <c:numCache>
                <c:formatCode>General</c:formatCode>
                <c:ptCount val="5"/>
                <c:pt idx="0">
                  <c:v>1.7849999999999999</c:v>
                </c:pt>
                <c:pt idx="1">
                  <c:v>1.7849999999999999</c:v>
                </c:pt>
                <c:pt idx="2">
                  <c:v>1.774</c:v>
                </c:pt>
                <c:pt idx="3">
                  <c:v>1.7789999999999999</c:v>
                </c:pt>
                <c:pt idx="4">
                  <c:v>1.7969999999999999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0D-4C9D-B0C2-FB467825CFB5}"/>
            </c:ext>
          </c:extLst>
        </c:ser>
        <c:ser>
          <c:idx val="5"/>
          <c:order val="5"/>
          <c:tx>
            <c:strRef>
              <c:f>Sheet1!$HV$56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Sheet1!$HW$56:$IA$56</c:f>
              <c:numCache>
                <c:formatCode>General</c:formatCode>
                <c:ptCount val="5"/>
                <c:pt idx="0">
                  <c:v>1.8340000000000001</c:v>
                </c:pt>
                <c:pt idx="1">
                  <c:v>1.8340000000000001</c:v>
                </c:pt>
                <c:pt idx="2">
                  <c:v>1.738</c:v>
                </c:pt>
                <c:pt idx="3">
                  <c:v>1.73</c:v>
                </c:pt>
                <c:pt idx="4">
                  <c:v>1.722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0D-4C9D-B0C2-FB467825CFB5}"/>
            </c:ext>
          </c:extLst>
        </c:ser>
        <c:ser>
          <c:idx val="6"/>
          <c:order val="6"/>
          <c:tx>
            <c:strRef>
              <c:f>Sheet1!$HV$57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Sheet1!$HW$57:$IA$57</c:f>
              <c:numCache>
                <c:formatCode>General</c:formatCode>
                <c:ptCount val="5"/>
                <c:pt idx="0">
                  <c:v>2.617</c:v>
                </c:pt>
                <c:pt idx="1">
                  <c:v>2.617</c:v>
                </c:pt>
                <c:pt idx="2">
                  <c:v>1.8129999999999999</c:v>
                </c:pt>
                <c:pt idx="3">
                  <c:v>1.782</c:v>
                </c:pt>
                <c:pt idx="4">
                  <c:v>1.784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0D-4C9D-B0C2-FB467825CFB5}"/>
            </c:ext>
          </c:extLst>
        </c:ser>
        <c:ser>
          <c:idx val="7"/>
          <c:order val="7"/>
          <c:tx>
            <c:strRef>
              <c:f>Sheet1!$HV$58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Sheet1!$HW$58:$IA$58</c:f>
              <c:numCache>
                <c:formatCode>General</c:formatCode>
                <c:ptCount val="5"/>
                <c:pt idx="0">
                  <c:v>1.81</c:v>
                </c:pt>
                <c:pt idx="1">
                  <c:v>1.81</c:v>
                </c:pt>
                <c:pt idx="2">
                  <c:v>1.76</c:v>
                </c:pt>
                <c:pt idx="3">
                  <c:v>1.778</c:v>
                </c:pt>
                <c:pt idx="4">
                  <c:v>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0D-4C9D-B0C2-FB467825CFB5}"/>
            </c:ext>
          </c:extLst>
        </c:ser>
        <c:ser>
          <c:idx val="8"/>
          <c:order val="8"/>
          <c:tx>
            <c:strRef>
              <c:f>Sheet1!$HV$59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Sheet1!$HW$59:$IA$59</c:f>
              <c:numCache>
                <c:formatCode>General</c:formatCode>
                <c:ptCount val="5"/>
                <c:pt idx="0">
                  <c:v>1.8009999999999999</c:v>
                </c:pt>
                <c:pt idx="1">
                  <c:v>1.8009999999999999</c:v>
                </c:pt>
                <c:pt idx="2">
                  <c:v>1.8029999999999999</c:v>
                </c:pt>
                <c:pt idx="3">
                  <c:v>1.804</c:v>
                </c:pt>
                <c:pt idx="4">
                  <c:v>1.7869999999999999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0D-4C9D-B0C2-FB467825CFB5}"/>
            </c:ext>
          </c:extLst>
        </c:ser>
        <c:ser>
          <c:idx val="9"/>
          <c:order val="9"/>
          <c:tx>
            <c:strRef>
              <c:f>Sheet1!$HV$60</c:f>
              <c:strCache>
                <c:ptCount val="1"/>
                <c:pt idx="0">
                  <c:v>PLS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Sheet1!$HW$60:$IA$60</c:f>
              <c:numCache>
                <c:formatCode>General</c:formatCode>
                <c:ptCount val="5"/>
                <c:pt idx="0">
                  <c:v>1.742</c:v>
                </c:pt>
                <c:pt idx="1">
                  <c:v>1.742</c:v>
                </c:pt>
                <c:pt idx="2">
                  <c:v>1.742</c:v>
                </c:pt>
                <c:pt idx="3">
                  <c:v>1.7450000000000001</c:v>
                </c:pt>
                <c:pt idx="4">
                  <c:v>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0D-4C9D-B0C2-FB467825CFB5}"/>
            </c:ext>
          </c:extLst>
        </c:ser>
        <c:ser>
          <c:idx val="10"/>
          <c:order val="10"/>
          <c:tx>
            <c:strRef>
              <c:f>Sheet1!$HV$61</c:f>
              <c:strCache>
                <c:ptCount val="1"/>
                <c:pt idx="0">
                  <c:v>MLPR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Sheet1!$HW$61:$IA$61</c:f>
              <c:numCache>
                <c:formatCode>General</c:formatCode>
                <c:ptCount val="5"/>
                <c:pt idx="0">
                  <c:v>1.97</c:v>
                </c:pt>
                <c:pt idx="1">
                  <c:v>1.9450000000000001</c:v>
                </c:pt>
                <c:pt idx="2">
                  <c:v>1.744</c:v>
                </c:pt>
                <c:pt idx="3">
                  <c:v>1.81</c:v>
                </c:pt>
                <c:pt idx="4">
                  <c:v>1.728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0D-4C9D-B0C2-FB467825C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869472"/>
        <c:axId val="2008816320"/>
      </c:lineChart>
      <c:catAx>
        <c:axId val="16468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16320"/>
        <c:crosses val="autoZero"/>
        <c:auto val="1"/>
        <c:lblAlgn val="ctr"/>
        <c:lblOffset val="100"/>
        <c:noMultiLvlLbl val="0"/>
      </c:catAx>
      <c:valAx>
        <c:axId val="2008816320"/>
        <c:scaling>
          <c:orientation val="minMax"/>
          <c:max val="1.8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Days in the ICU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Sheet1!$B$50:$D$50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Sheet1!$B$51:$D$51</c:f>
              <c:numCache>
                <c:formatCode>General</c:formatCode>
                <c:ptCount val="3"/>
                <c:pt idx="0">
                  <c:v>1.2789999999999999</c:v>
                </c:pt>
                <c:pt idx="1">
                  <c:v>2.101</c:v>
                </c:pt>
                <c:pt idx="2">
                  <c:v>-0.61099999999999999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4-4C99-8F3F-4ACBF42E058E}"/>
            </c:ext>
          </c:extLst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Sheet1!$B$50:$D$50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Sheet1!$B$52:$D$52</c:f>
              <c:numCache>
                <c:formatCode>General</c:formatCode>
                <c:ptCount val="3"/>
                <c:pt idx="0">
                  <c:v>1.1539999999999999</c:v>
                </c:pt>
                <c:pt idx="1">
                  <c:v>1.8360000000000001</c:v>
                </c:pt>
                <c:pt idx="2">
                  <c:v>-0.115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4-4C99-8F3F-4ACBF42E058E}"/>
            </c:ext>
          </c:extLst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LASSO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Sheet1!$B$50:$D$50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Sheet1!$B$53:$D$53</c:f>
              <c:numCache>
                <c:formatCode>General</c:formatCode>
                <c:ptCount val="3"/>
                <c:pt idx="0">
                  <c:v>1.0920000000000001</c:v>
                </c:pt>
                <c:pt idx="1">
                  <c:v>1.7849999999999999</c:v>
                </c:pt>
                <c:pt idx="2">
                  <c:v>-8.9999999999999993E-3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4-4C99-8F3F-4ACBF42E058E}"/>
            </c:ext>
          </c:extLst>
        </c:ser>
        <c:ser>
          <c:idx val="3"/>
          <c:order val="3"/>
          <c:tx>
            <c:strRef>
              <c:f>Sheet1!$A$54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Sheet1!$B$50:$D$50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Sheet1!$B$54:$D$54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1.76</c:v>
                </c:pt>
                <c:pt idx="2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B4-4C99-8F3F-4ACBF42E058E}"/>
            </c:ext>
          </c:extLst>
        </c:ser>
        <c:ser>
          <c:idx val="4"/>
          <c:order val="4"/>
          <c:tx>
            <c:strRef>
              <c:f>Sheet1!$A$55</c:f>
              <c:strCache>
                <c:ptCount val="1"/>
                <c:pt idx="0">
                  <c:v>Elastic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Sheet1!$B$50:$D$50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Sheet1!$B$55:$D$55</c:f>
              <c:numCache>
                <c:formatCode>General</c:formatCode>
                <c:ptCount val="3"/>
                <c:pt idx="0">
                  <c:v>1.0920000000000001</c:v>
                </c:pt>
                <c:pt idx="1">
                  <c:v>1.7849999999999999</c:v>
                </c:pt>
                <c:pt idx="2">
                  <c:v>-8.9999999999999993E-3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B4-4C99-8F3F-4ACBF42E058E}"/>
            </c:ext>
          </c:extLst>
        </c:ser>
        <c:ser>
          <c:idx val="5"/>
          <c:order val="5"/>
          <c:tx>
            <c:strRef>
              <c:f>Sheet1!$A$56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Sheet1!$B$50:$D$50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Sheet1!$B$56:$D$56</c:f>
              <c:numCache>
                <c:formatCode>General</c:formatCode>
                <c:ptCount val="3"/>
                <c:pt idx="0">
                  <c:v>1.0629999999999999</c:v>
                </c:pt>
                <c:pt idx="1">
                  <c:v>1.8340000000000001</c:v>
                </c:pt>
                <c:pt idx="2">
                  <c:v>-0.10299999999999999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B4-4C99-8F3F-4ACBF42E058E}"/>
            </c:ext>
          </c:extLst>
        </c:ser>
        <c:ser>
          <c:idx val="6"/>
          <c:order val="6"/>
          <c:tx>
            <c:strRef>
              <c:f>Sheet1!$A$57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Sheet1!$B$50:$D$50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Sheet1!$B$57:$D$57</c:f>
              <c:numCache>
                <c:formatCode>General</c:formatCode>
                <c:ptCount val="3"/>
                <c:pt idx="0">
                  <c:v>1.409</c:v>
                </c:pt>
                <c:pt idx="1">
                  <c:v>2.617</c:v>
                </c:pt>
                <c:pt idx="2">
                  <c:v>-1.415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B4-4C99-8F3F-4ACBF42E058E}"/>
            </c:ext>
          </c:extLst>
        </c:ser>
        <c:ser>
          <c:idx val="7"/>
          <c:order val="7"/>
          <c:tx>
            <c:strRef>
              <c:f>Sheet1!$A$58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Sheet1!$B$50:$D$50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Sheet1!$B$58:$D$58</c:f>
              <c:numCache>
                <c:formatCode>General</c:formatCode>
                <c:ptCount val="3"/>
                <c:pt idx="0">
                  <c:v>1.0900000000000001</c:v>
                </c:pt>
                <c:pt idx="1">
                  <c:v>1.81</c:v>
                </c:pt>
                <c:pt idx="2">
                  <c:v>-8.7999999999999995E-2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B4-4C99-8F3F-4ACBF42E058E}"/>
            </c:ext>
          </c:extLst>
        </c:ser>
        <c:ser>
          <c:idx val="8"/>
          <c:order val="8"/>
          <c:tx>
            <c:strRef>
              <c:f>Sheet1!$A$59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Sheet1!$B$50:$D$50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Sheet1!$B$59:$D$59</c:f>
              <c:numCache>
                <c:formatCode>General</c:formatCode>
                <c:ptCount val="3"/>
                <c:pt idx="0">
                  <c:v>1.0780000000000001</c:v>
                </c:pt>
                <c:pt idx="1">
                  <c:v>1.8009999999999999</c:v>
                </c:pt>
                <c:pt idx="2">
                  <c:v>-7.4999999999999997E-2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B4-4C99-8F3F-4ACBF42E058E}"/>
            </c:ext>
          </c:extLst>
        </c:ser>
        <c:ser>
          <c:idx val="9"/>
          <c:order val="9"/>
          <c:tx>
            <c:strRef>
              <c:f>Sheet1!$A$60</c:f>
              <c:strCache>
                <c:ptCount val="1"/>
                <c:pt idx="0">
                  <c:v>PLS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Sheet1!$B$50:$D$50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Sheet1!$B$60:$D$60</c:f>
              <c:numCache>
                <c:formatCode>General</c:formatCode>
                <c:ptCount val="3"/>
                <c:pt idx="0">
                  <c:v>1.056</c:v>
                </c:pt>
                <c:pt idx="1">
                  <c:v>1.742</c:v>
                </c:pt>
                <c:pt idx="2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B4-4C99-8F3F-4ACBF42E058E}"/>
            </c:ext>
          </c:extLst>
        </c:ser>
        <c:ser>
          <c:idx val="10"/>
          <c:order val="10"/>
          <c:tx>
            <c:strRef>
              <c:f>Sheet1!$A$61</c:f>
              <c:strCache>
                <c:ptCount val="1"/>
                <c:pt idx="0">
                  <c:v>MLPR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Sheet1!$B$50:$D$50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Sheet1!$B$61:$D$61</c:f>
              <c:numCache>
                <c:formatCode>General</c:formatCode>
                <c:ptCount val="3"/>
                <c:pt idx="0">
                  <c:v>1.2589999999999999</c:v>
                </c:pt>
                <c:pt idx="1">
                  <c:v>1.97</c:v>
                </c:pt>
                <c:pt idx="2">
                  <c:v>-0.32200000000000001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B4-4C99-8F3F-4ACBF42E0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886415"/>
        <c:axId val="523321247"/>
      </c:barChart>
      <c:catAx>
        <c:axId val="97588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21247"/>
        <c:crosses val="autoZero"/>
        <c:auto val="1"/>
        <c:lblAlgn val="ctr"/>
        <c:lblOffset val="100"/>
        <c:noMultiLvlLbl val="0"/>
      </c:catAx>
      <c:valAx>
        <c:axId val="5233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8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30000"/>
              <a:t>2</a:t>
            </a:r>
            <a:r>
              <a:rPr lang="en-US" baseline="0"/>
              <a:t> - Days in the ICU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Sheet1!$IJ$51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Sheet1!$IK$51:$IO$51</c:f>
              <c:numCache>
                <c:formatCode>General</c:formatCode>
                <c:ptCount val="5"/>
                <c:pt idx="0">
                  <c:v>-0.61099999999999999</c:v>
                </c:pt>
                <c:pt idx="1">
                  <c:v>-0.61099999999999999</c:v>
                </c:pt>
                <c:pt idx="2">
                  <c:v>-0.48399999999999999</c:v>
                </c:pt>
                <c:pt idx="3">
                  <c:v>-2.28951403005789E+18</c:v>
                </c:pt>
                <c:pt idx="4">
                  <c:v>-1.0223002647076199E+21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5-49FD-9C51-33E10C05D798}"/>
            </c:ext>
          </c:extLst>
        </c:ser>
        <c:ser>
          <c:idx val="1"/>
          <c:order val="1"/>
          <c:tx>
            <c:strRef>
              <c:f>Sheet1!$IJ$52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Sheet1!$IK$52:$IO$52</c:f>
              <c:numCache>
                <c:formatCode>General</c:formatCode>
                <c:ptCount val="5"/>
                <c:pt idx="0">
                  <c:v>-0.115</c:v>
                </c:pt>
                <c:pt idx="1">
                  <c:v>-0.115</c:v>
                </c:pt>
                <c:pt idx="2">
                  <c:v>0.06</c:v>
                </c:pt>
                <c:pt idx="3">
                  <c:v>4.7E-2</c:v>
                </c:pt>
                <c:pt idx="4">
                  <c:v>5.8000000000000003E-2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5-49FD-9C51-33E10C05D798}"/>
            </c:ext>
          </c:extLst>
        </c:ser>
        <c:ser>
          <c:idx val="2"/>
          <c:order val="2"/>
          <c:tx>
            <c:strRef>
              <c:f>Sheet1!$IJ$53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Sheet1!$IK$53:$IO$53</c:f>
              <c:numCache>
                <c:formatCode>General</c:formatCode>
                <c:ptCount val="5"/>
                <c:pt idx="0">
                  <c:v>-8.9999999999999993E-3</c:v>
                </c:pt>
                <c:pt idx="1">
                  <c:v>1.7849999999999999</c:v>
                </c:pt>
                <c:pt idx="2">
                  <c:v>-8.9999999999999993E-3</c:v>
                </c:pt>
                <c:pt idx="3">
                  <c:v>-8.9999999999999993E-3</c:v>
                </c:pt>
                <c:pt idx="4">
                  <c:v>-8.9999999999999993E-3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5-49FD-9C51-33E10C05D798}"/>
            </c:ext>
          </c:extLst>
        </c:ser>
        <c:ser>
          <c:idx val="3"/>
          <c:order val="3"/>
          <c:tx>
            <c:strRef>
              <c:f>Sheet1!$IJ$54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Sheet1!$IK$54:$IO$54</c:f>
              <c:numCache>
                <c:formatCode>General</c:formatCode>
                <c:ptCount val="5"/>
                <c:pt idx="0">
                  <c:v>1.7999999999999999E-2</c:v>
                </c:pt>
                <c:pt idx="1">
                  <c:v>1.7999999999999999E-2</c:v>
                </c:pt>
                <c:pt idx="2">
                  <c:v>3.2000000000000001E-2</c:v>
                </c:pt>
                <c:pt idx="3">
                  <c:v>7.0000000000000001E-3</c:v>
                </c:pt>
                <c:pt idx="4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D5-49FD-9C51-33E10C05D798}"/>
            </c:ext>
          </c:extLst>
        </c:ser>
        <c:ser>
          <c:idx val="4"/>
          <c:order val="4"/>
          <c:tx>
            <c:strRef>
              <c:f>Sheet1!$IJ$55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Sheet1!$IK$55:$IO$55</c:f>
              <c:numCache>
                <c:formatCode>General</c:formatCode>
                <c:ptCount val="5"/>
                <c:pt idx="0">
                  <c:v>-8.9999999999999993E-3</c:v>
                </c:pt>
                <c:pt idx="1">
                  <c:v>-8.9999999999999993E-3</c:v>
                </c:pt>
                <c:pt idx="2">
                  <c:v>4.0000000000000001E-3</c:v>
                </c:pt>
                <c:pt idx="3">
                  <c:v>-1E-3</c:v>
                </c:pt>
                <c:pt idx="4">
                  <c:v>-2.3E-2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D5-49FD-9C51-33E10C05D798}"/>
            </c:ext>
          </c:extLst>
        </c:ser>
        <c:ser>
          <c:idx val="5"/>
          <c:order val="5"/>
          <c:tx>
            <c:strRef>
              <c:f>Sheet1!$IJ$56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Sheet1!$IK$56:$IO$56</c:f>
              <c:numCache>
                <c:formatCode>General</c:formatCode>
                <c:ptCount val="5"/>
                <c:pt idx="0">
                  <c:v>-0.10299999999999999</c:v>
                </c:pt>
                <c:pt idx="1">
                  <c:v>-0.10299999999999999</c:v>
                </c:pt>
                <c:pt idx="2">
                  <c:v>3.5999999999999997E-2</c:v>
                </c:pt>
                <c:pt idx="3">
                  <c:v>4.5999999999999999E-2</c:v>
                </c:pt>
                <c:pt idx="4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D5-49FD-9C51-33E10C05D798}"/>
            </c:ext>
          </c:extLst>
        </c:ser>
        <c:ser>
          <c:idx val="6"/>
          <c:order val="6"/>
          <c:tx>
            <c:strRef>
              <c:f>Sheet1!$IJ$57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Sheet1!$IK$57:$IO$57</c:f>
              <c:numCache>
                <c:formatCode>General</c:formatCode>
                <c:ptCount val="5"/>
                <c:pt idx="0">
                  <c:v>-1.415</c:v>
                </c:pt>
                <c:pt idx="1">
                  <c:v>-1.415</c:v>
                </c:pt>
                <c:pt idx="2">
                  <c:v>-5.0999999999999997E-2</c:v>
                </c:pt>
                <c:pt idx="3">
                  <c:v>-1.2E-2</c:v>
                </c:pt>
                <c:pt idx="4">
                  <c:v>-1.2999999999999999E-2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D5-49FD-9C51-33E10C05D798}"/>
            </c:ext>
          </c:extLst>
        </c:ser>
        <c:ser>
          <c:idx val="7"/>
          <c:order val="7"/>
          <c:tx>
            <c:strRef>
              <c:f>Sheet1!$IJ$58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Sheet1!$IK$58:$IO$58</c:f>
              <c:numCache>
                <c:formatCode>General</c:formatCode>
                <c:ptCount val="5"/>
                <c:pt idx="0">
                  <c:v>-8.7999999999999995E-2</c:v>
                </c:pt>
                <c:pt idx="1">
                  <c:v>-8.7999999999999995E-2</c:v>
                </c:pt>
                <c:pt idx="2">
                  <c:v>0.02</c:v>
                </c:pt>
                <c:pt idx="3">
                  <c:v>0</c:v>
                </c:pt>
                <c:pt idx="4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D5-49FD-9C51-33E10C05D798}"/>
            </c:ext>
          </c:extLst>
        </c:ser>
        <c:ser>
          <c:idx val="8"/>
          <c:order val="8"/>
          <c:tx>
            <c:strRef>
              <c:f>Sheet1!$IJ$59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Sheet1!$IK$59:$IO$59</c:f>
              <c:numCache>
                <c:formatCode>General</c:formatCode>
                <c:ptCount val="5"/>
                <c:pt idx="0">
                  <c:v>-7.4999999999999997E-2</c:v>
                </c:pt>
                <c:pt idx="1">
                  <c:v>-7.4999999999999997E-2</c:v>
                </c:pt>
                <c:pt idx="2">
                  <c:v>-3.2000000000000001E-2</c:v>
                </c:pt>
                <c:pt idx="3">
                  <c:v>-3.2000000000000001E-2</c:v>
                </c:pt>
                <c:pt idx="4">
                  <c:v>-1.2E-2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D5-49FD-9C51-33E10C05D798}"/>
            </c:ext>
          </c:extLst>
        </c:ser>
        <c:ser>
          <c:idx val="9"/>
          <c:order val="9"/>
          <c:tx>
            <c:strRef>
              <c:f>Sheet1!$IJ$60</c:f>
              <c:strCache>
                <c:ptCount val="1"/>
                <c:pt idx="0">
                  <c:v>PLS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Sheet1!$IK$60:$IO$60</c:f>
              <c:numCache>
                <c:formatCode>General</c:formatCode>
                <c:ptCount val="5"/>
                <c:pt idx="0">
                  <c:v>2.5999999999999999E-2</c:v>
                </c:pt>
                <c:pt idx="1">
                  <c:v>2.5999999999999999E-2</c:v>
                </c:pt>
                <c:pt idx="2">
                  <c:v>2.5999999999999999E-2</c:v>
                </c:pt>
                <c:pt idx="3">
                  <c:v>1.7000000000000001E-2</c:v>
                </c:pt>
                <c:pt idx="4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D5-49FD-9C51-33E10C05D798}"/>
            </c:ext>
          </c:extLst>
        </c:ser>
        <c:ser>
          <c:idx val="10"/>
          <c:order val="10"/>
          <c:tx>
            <c:strRef>
              <c:f>Sheet1!$IJ$61</c:f>
              <c:strCache>
                <c:ptCount val="1"/>
                <c:pt idx="0">
                  <c:v>MLPR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Sheet1!$IK$61:$IO$61</c:f>
              <c:numCache>
                <c:formatCode>General</c:formatCode>
                <c:ptCount val="5"/>
                <c:pt idx="0">
                  <c:v>-0.32200000000000001</c:v>
                </c:pt>
                <c:pt idx="1">
                  <c:v>-0.30599999999999999</c:v>
                </c:pt>
                <c:pt idx="2">
                  <c:v>1.7000000000000001E-2</c:v>
                </c:pt>
                <c:pt idx="3">
                  <c:v>-4.7E-2</c:v>
                </c:pt>
                <c:pt idx="4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D5-49FD-9C51-33E10C05D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434960"/>
        <c:axId val="2008833376"/>
      </c:lineChart>
      <c:catAx>
        <c:axId val="2834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33376"/>
        <c:crosses val="autoZero"/>
        <c:auto val="1"/>
        <c:lblAlgn val="ctr"/>
        <c:lblOffset val="100"/>
        <c:noMultiLvlLbl val="0"/>
      </c:catAx>
      <c:valAx>
        <c:axId val="2008833376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3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- Death Within 1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Sheet1!$HH$40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Sheet1!$HI$40:$HN$40</c:f>
              <c:numCache>
                <c:formatCode>General</c:formatCode>
                <c:ptCount val="6"/>
                <c:pt idx="0">
                  <c:v>0.255</c:v>
                </c:pt>
                <c:pt idx="1">
                  <c:v>0.70899999999999996</c:v>
                </c:pt>
                <c:pt idx="2">
                  <c:v>0.66800000000000004</c:v>
                </c:pt>
                <c:pt idx="3">
                  <c:v>0.66800000000000004</c:v>
                </c:pt>
                <c:pt idx="4">
                  <c:v>0.72899999999999998</c:v>
                </c:pt>
                <c:pt idx="5">
                  <c:v>0.72799999999999998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A-4AAF-9821-720282D586F9}"/>
            </c:ext>
          </c:extLst>
        </c:ser>
        <c:ser>
          <c:idx val="1"/>
          <c:order val="1"/>
          <c:tx>
            <c:strRef>
              <c:f>Sheet1!$HH$41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Sheet1!$HI$41:$HN$41</c:f>
              <c:numCache>
                <c:formatCode>General</c:formatCode>
                <c:ptCount val="6"/>
                <c:pt idx="0">
                  <c:v>0.80700000000000005</c:v>
                </c:pt>
                <c:pt idx="1">
                  <c:v>0.52600000000000002</c:v>
                </c:pt>
                <c:pt idx="2">
                  <c:v>0.46200000000000002</c:v>
                </c:pt>
                <c:pt idx="3">
                  <c:v>0.55900000000000005</c:v>
                </c:pt>
                <c:pt idx="4">
                  <c:v>0.65700000000000003</c:v>
                </c:pt>
                <c:pt idx="5">
                  <c:v>0.628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A-4AAF-9821-720282D586F9}"/>
            </c:ext>
          </c:extLst>
        </c:ser>
        <c:ser>
          <c:idx val="2"/>
          <c:order val="2"/>
          <c:tx>
            <c:strRef>
              <c:f>Sheet1!$HH$42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Sheet1!$HI$42:$HN$42</c:f>
              <c:numCache>
                <c:formatCode>General</c:formatCode>
                <c:ptCount val="6"/>
                <c:pt idx="0">
                  <c:v>0.748</c:v>
                </c:pt>
                <c:pt idx="1">
                  <c:v>0.68300000000000005</c:v>
                </c:pt>
                <c:pt idx="2">
                  <c:v>0.69599999999999995</c:v>
                </c:pt>
                <c:pt idx="3">
                  <c:v>0.66800000000000004</c:v>
                </c:pt>
                <c:pt idx="4">
                  <c:v>0.61899999999999999</c:v>
                </c:pt>
                <c:pt idx="5">
                  <c:v>0.65300000000000002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A-4AAF-9821-720282D586F9}"/>
            </c:ext>
          </c:extLst>
        </c:ser>
        <c:ser>
          <c:idx val="3"/>
          <c:order val="3"/>
          <c:tx>
            <c:strRef>
              <c:f>Sheet1!$HH$43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Sheet1!$HI$43:$HN$43</c:f>
              <c:numCache>
                <c:formatCode>General</c:formatCode>
                <c:ptCount val="6"/>
                <c:pt idx="0">
                  <c:v>0.83099999999999996</c:v>
                </c:pt>
                <c:pt idx="1">
                  <c:v>0.74199999999999999</c:v>
                </c:pt>
                <c:pt idx="2">
                  <c:v>0.73899999999999999</c:v>
                </c:pt>
                <c:pt idx="3">
                  <c:v>0.7</c:v>
                </c:pt>
                <c:pt idx="4">
                  <c:v>0.66900000000000004</c:v>
                </c:pt>
                <c:pt idx="5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A-4AAF-9821-720282D586F9}"/>
            </c:ext>
          </c:extLst>
        </c:ser>
        <c:ser>
          <c:idx val="4"/>
          <c:order val="4"/>
          <c:tx>
            <c:strRef>
              <c:f>Sheet1!$HH$44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Sheet1!$HI$44:$HN$44</c:f>
              <c:numCache>
                <c:formatCode>General</c:formatCode>
                <c:ptCount val="6"/>
                <c:pt idx="0">
                  <c:v>0.81899999999999995</c:v>
                </c:pt>
                <c:pt idx="1">
                  <c:v>0.45700000000000002</c:v>
                </c:pt>
                <c:pt idx="2">
                  <c:v>0.66900000000000004</c:v>
                </c:pt>
                <c:pt idx="3">
                  <c:v>0.69799999999999995</c:v>
                </c:pt>
                <c:pt idx="4">
                  <c:v>0.59899999999999998</c:v>
                </c:pt>
                <c:pt idx="5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3A-4AAF-9821-720282D586F9}"/>
            </c:ext>
          </c:extLst>
        </c:ser>
        <c:ser>
          <c:idx val="5"/>
          <c:order val="5"/>
          <c:tx>
            <c:strRef>
              <c:f>Sheet1!$HH$45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Sheet1!$HI$45:$HN$45</c:f>
              <c:numCache>
                <c:formatCode>General</c:formatCode>
                <c:ptCount val="6"/>
                <c:pt idx="0">
                  <c:v>0.80900000000000005</c:v>
                </c:pt>
                <c:pt idx="1">
                  <c:v>0.625</c:v>
                </c:pt>
                <c:pt idx="2">
                  <c:v>0.63400000000000001</c:v>
                </c:pt>
                <c:pt idx="3">
                  <c:v>0.62</c:v>
                </c:pt>
                <c:pt idx="4">
                  <c:v>0.61799999999999999</c:v>
                </c:pt>
                <c:pt idx="5">
                  <c:v>0.57699999999999996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3A-4AAF-9821-720282D586F9}"/>
            </c:ext>
          </c:extLst>
        </c:ser>
        <c:ser>
          <c:idx val="6"/>
          <c:order val="6"/>
          <c:tx>
            <c:strRef>
              <c:f>Sheet1!$HH$46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Sheet1!$HI$46:$HN$46</c:f>
              <c:numCache>
                <c:formatCode>General</c:formatCode>
                <c:ptCount val="6"/>
                <c:pt idx="0">
                  <c:v>0.83</c:v>
                </c:pt>
                <c:pt idx="1">
                  <c:v>0.76300000000000001</c:v>
                </c:pt>
                <c:pt idx="2">
                  <c:v>0.76300000000000001</c:v>
                </c:pt>
                <c:pt idx="3">
                  <c:v>0.754</c:v>
                </c:pt>
                <c:pt idx="4">
                  <c:v>0.73799999999999999</c:v>
                </c:pt>
                <c:pt idx="5">
                  <c:v>0.71599999999999997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3A-4AAF-9821-720282D586F9}"/>
            </c:ext>
          </c:extLst>
        </c:ser>
        <c:ser>
          <c:idx val="7"/>
          <c:order val="7"/>
          <c:tx>
            <c:strRef>
              <c:f>Sheet1!$HH$47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Sheet1!$HI$47:$HN$47</c:f>
              <c:numCache>
                <c:formatCode>General</c:formatCode>
                <c:ptCount val="6"/>
                <c:pt idx="0">
                  <c:v>0.79200000000000004</c:v>
                </c:pt>
                <c:pt idx="1">
                  <c:v>0.69599999999999995</c:v>
                </c:pt>
                <c:pt idx="2">
                  <c:v>0.7</c:v>
                </c:pt>
                <c:pt idx="3">
                  <c:v>0.60599999999999998</c:v>
                </c:pt>
                <c:pt idx="4">
                  <c:v>0.59199999999999997</c:v>
                </c:pt>
                <c:pt idx="5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3A-4AAF-9821-720282D5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78880"/>
        <c:axId val="2008807168"/>
      </c:lineChart>
      <c:catAx>
        <c:axId val="864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07168"/>
        <c:crosses val="autoZero"/>
        <c:auto val="1"/>
        <c:lblAlgn val="ctr"/>
        <c:lblOffset val="100"/>
        <c:noMultiLvlLbl val="0"/>
      </c:catAx>
      <c:valAx>
        <c:axId val="2008807168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- Death Within 1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Sheet1!$HW$40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Sheet1!$HX$40:$IC$40</c:f>
              <c:numCache>
                <c:formatCode>General</c:formatCode>
                <c:ptCount val="6"/>
                <c:pt idx="0">
                  <c:v>0.51500000000000001</c:v>
                </c:pt>
                <c:pt idx="1">
                  <c:v>0.64600000000000002</c:v>
                </c:pt>
                <c:pt idx="2">
                  <c:v>0.64500000000000002</c:v>
                </c:pt>
                <c:pt idx="3">
                  <c:v>0.64500000000000002</c:v>
                </c:pt>
                <c:pt idx="4">
                  <c:v>0.69399999999999995</c:v>
                </c:pt>
                <c:pt idx="5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0-4437-A7C3-B5E7E6A049F7}"/>
            </c:ext>
          </c:extLst>
        </c:ser>
        <c:ser>
          <c:idx val="1"/>
          <c:order val="1"/>
          <c:tx>
            <c:strRef>
              <c:f>Sheet1!$HW$41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Sheet1!$HX$41:$IC$41</c:f>
              <c:numCache>
                <c:formatCode>General</c:formatCode>
                <c:ptCount val="6"/>
                <c:pt idx="0">
                  <c:v>0.68100000000000005</c:v>
                </c:pt>
                <c:pt idx="1">
                  <c:v>0.68500000000000005</c:v>
                </c:pt>
                <c:pt idx="2">
                  <c:v>0.68600000000000005</c:v>
                </c:pt>
                <c:pt idx="3">
                  <c:v>0.68200000000000005</c:v>
                </c:pt>
                <c:pt idx="4">
                  <c:v>0.72099999999999997</c:v>
                </c:pt>
                <c:pt idx="5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0-4437-A7C3-B5E7E6A049F7}"/>
            </c:ext>
          </c:extLst>
        </c:ser>
        <c:ser>
          <c:idx val="2"/>
          <c:order val="2"/>
          <c:tx>
            <c:strRef>
              <c:f>Sheet1!$HW$42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Sheet1!$HX$42:$IC$42</c:f>
              <c:numCache>
                <c:formatCode>General</c:formatCode>
                <c:ptCount val="6"/>
                <c:pt idx="0">
                  <c:v>0.58699999999999997</c:v>
                </c:pt>
                <c:pt idx="1">
                  <c:v>0.63200000000000001</c:v>
                </c:pt>
                <c:pt idx="2">
                  <c:v>0.64800000000000002</c:v>
                </c:pt>
                <c:pt idx="3">
                  <c:v>0.67</c:v>
                </c:pt>
                <c:pt idx="4">
                  <c:v>0.68300000000000005</c:v>
                </c:pt>
                <c:pt idx="5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0-4437-A7C3-B5E7E6A049F7}"/>
            </c:ext>
          </c:extLst>
        </c:ser>
        <c:ser>
          <c:idx val="3"/>
          <c:order val="3"/>
          <c:tx>
            <c:strRef>
              <c:f>Sheet1!$HW$43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Sheet1!$HX$43:$IC$43</c:f>
              <c:numCache>
                <c:formatCode>General</c:formatCode>
                <c:ptCount val="6"/>
                <c:pt idx="0">
                  <c:v>0.77</c:v>
                </c:pt>
                <c:pt idx="1">
                  <c:v>0.755</c:v>
                </c:pt>
                <c:pt idx="2">
                  <c:v>0.75</c:v>
                </c:pt>
                <c:pt idx="3">
                  <c:v>0.752</c:v>
                </c:pt>
                <c:pt idx="4">
                  <c:v>0.76200000000000001</c:v>
                </c:pt>
                <c:pt idx="5">
                  <c:v>0.72099999999999997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0-4437-A7C3-B5E7E6A049F7}"/>
            </c:ext>
          </c:extLst>
        </c:ser>
        <c:ser>
          <c:idx val="4"/>
          <c:order val="4"/>
          <c:tx>
            <c:strRef>
              <c:f>Sheet1!$HW$44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Sheet1!$HX$44:$IC$44</c:f>
              <c:numCache>
                <c:formatCode>General</c:formatCode>
                <c:ptCount val="6"/>
                <c:pt idx="0">
                  <c:v>0.70599999999999996</c:v>
                </c:pt>
                <c:pt idx="1">
                  <c:v>0.70899999999999996</c:v>
                </c:pt>
                <c:pt idx="2">
                  <c:v>0.73199999999999998</c:v>
                </c:pt>
                <c:pt idx="3">
                  <c:v>0.73499999999999999</c:v>
                </c:pt>
                <c:pt idx="4">
                  <c:v>0.74299999999999999</c:v>
                </c:pt>
                <c:pt idx="5">
                  <c:v>0.71199999999999997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0-4437-A7C3-B5E7E6A049F7}"/>
            </c:ext>
          </c:extLst>
        </c:ser>
        <c:ser>
          <c:idx val="5"/>
          <c:order val="5"/>
          <c:tx>
            <c:strRef>
              <c:f>Sheet1!$HW$45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Sheet1!$HX$45:$IC$45</c:f>
              <c:numCache>
                <c:formatCode>General</c:formatCode>
                <c:ptCount val="6"/>
                <c:pt idx="0">
                  <c:v>0.73399999999999999</c:v>
                </c:pt>
                <c:pt idx="1">
                  <c:v>0.73099999999999998</c:v>
                </c:pt>
                <c:pt idx="2">
                  <c:v>0.72299999999999998</c:v>
                </c:pt>
                <c:pt idx="3">
                  <c:v>0.746</c:v>
                </c:pt>
                <c:pt idx="4">
                  <c:v>0.746</c:v>
                </c:pt>
                <c:pt idx="5">
                  <c:v>0.71199999999999997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0-4437-A7C3-B5E7E6A049F7}"/>
            </c:ext>
          </c:extLst>
        </c:ser>
        <c:ser>
          <c:idx val="6"/>
          <c:order val="6"/>
          <c:tx>
            <c:strRef>
              <c:f>Sheet1!$HW$46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Sheet1!$HX$46:$IC$46</c:f>
              <c:numCache>
                <c:formatCode>General</c:formatCode>
                <c:ptCount val="6"/>
                <c:pt idx="0">
                  <c:v>0.72899999999999998</c:v>
                </c:pt>
                <c:pt idx="1">
                  <c:v>0.752</c:v>
                </c:pt>
                <c:pt idx="2">
                  <c:v>0.752</c:v>
                </c:pt>
                <c:pt idx="3">
                  <c:v>0.75900000000000001</c:v>
                </c:pt>
                <c:pt idx="4">
                  <c:v>0.74399999999999999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0-4437-A7C3-B5E7E6A049F7}"/>
            </c:ext>
          </c:extLst>
        </c:ser>
        <c:ser>
          <c:idx val="7"/>
          <c:order val="7"/>
          <c:tx>
            <c:strRef>
              <c:f>Sheet1!$HW$47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Sheet1!$HX$47:$IC$47</c:f>
              <c:numCache>
                <c:formatCode>General</c:formatCode>
                <c:ptCount val="6"/>
                <c:pt idx="0">
                  <c:v>0.71899999999999997</c:v>
                </c:pt>
                <c:pt idx="1">
                  <c:v>0.72799999999999998</c:v>
                </c:pt>
                <c:pt idx="2">
                  <c:v>0.70299999999999996</c:v>
                </c:pt>
                <c:pt idx="3">
                  <c:v>0.73299999999999998</c:v>
                </c:pt>
                <c:pt idx="4">
                  <c:v>0.73899999999999999</c:v>
                </c:pt>
                <c:pt idx="5">
                  <c:v>0.71799999999999997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A0-4437-A7C3-B5E7E6A04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69360"/>
        <c:axId val="2008818816"/>
      </c:lineChart>
      <c:catAx>
        <c:axId val="177336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18816"/>
        <c:crosses val="autoZero"/>
        <c:auto val="1"/>
        <c:lblAlgn val="ctr"/>
        <c:lblOffset val="100"/>
        <c:noMultiLvlLbl val="0"/>
      </c:catAx>
      <c:valAx>
        <c:axId val="2008818816"/>
        <c:scaling>
          <c:orientation val="minMax"/>
          <c:max val="0.77"/>
          <c:min val="0.670000000000000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- Death Within 1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Sheet1!$IL$40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Sheet1!$IM$40:$IR$40</c:f>
              <c:numCache>
                <c:formatCode>General</c:formatCode>
                <c:ptCount val="6"/>
                <c:pt idx="0">
                  <c:v>0.4965</c:v>
                </c:pt>
                <c:pt idx="1">
                  <c:v>0.53550000000000009</c:v>
                </c:pt>
                <c:pt idx="2">
                  <c:v>0.50849999999999995</c:v>
                </c:pt>
                <c:pt idx="3">
                  <c:v>0.50849999999999995</c:v>
                </c:pt>
                <c:pt idx="4">
                  <c:v>0.54549999999999998</c:v>
                </c:pt>
                <c:pt idx="5">
                  <c:v>0.64700000000000002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0-4BA5-BE48-5D86E7D63170}"/>
            </c:ext>
          </c:extLst>
        </c:ser>
        <c:ser>
          <c:idx val="1"/>
          <c:order val="1"/>
          <c:tx>
            <c:strRef>
              <c:f>Sheet1!$IL$41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Sheet1!$IM$41:$IR$41</c:f>
              <c:numCache>
                <c:formatCode>General</c:formatCode>
                <c:ptCount val="6"/>
                <c:pt idx="0">
                  <c:v>0.55349999999999999</c:v>
                </c:pt>
                <c:pt idx="1">
                  <c:v>0.626</c:v>
                </c:pt>
                <c:pt idx="2">
                  <c:v>0.60250000000000004</c:v>
                </c:pt>
                <c:pt idx="3">
                  <c:v>0.64349999999999996</c:v>
                </c:pt>
                <c:pt idx="4">
                  <c:v>0.67049999999999998</c:v>
                </c:pt>
                <c:pt idx="5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0-4BA5-BE48-5D86E7D63170}"/>
            </c:ext>
          </c:extLst>
        </c:ser>
        <c:ser>
          <c:idx val="2"/>
          <c:order val="2"/>
          <c:tx>
            <c:strRef>
              <c:f>Sheet1!$IL$42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Sheet1!$IM$42:$IR$42</c:f>
              <c:numCache>
                <c:formatCode>General</c:formatCode>
                <c:ptCount val="6"/>
                <c:pt idx="0">
                  <c:v>0.58750000000000002</c:v>
                </c:pt>
                <c:pt idx="1">
                  <c:v>0.63200000000000001</c:v>
                </c:pt>
                <c:pt idx="2">
                  <c:v>0.64799999999999991</c:v>
                </c:pt>
                <c:pt idx="3">
                  <c:v>0.67</c:v>
                </c:pt>
                <c:pt idx="4">
                  <c:v>0.62349999999999994</c:v>
                </c:pt>
                <c:pt idx="5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0-4BA5-BE48-5D86E7D63170}"/>
            </c:ext>
          </c:extLst>
        </c:ser>
        <c:ser>
          <c:idx val="3"/>
          <c:order val="3"/>
          <c:tx>
            <c:strRef>
              <c:f>Sheet1!$IL$43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Sheet1!$IM$43:$IR$43</c:f>
              <c:numCache>
                <c:formatCode>General</c:formatCode>
                <c:ptCount val="6"/>
                <c:pt idx="0">
                  <c:v>0.56099999999999994</c:v>
                </c:pt>
                <c:pt idx="1">
                  <c:v>0.67100000000000004</c:v>
                </c:pt>
                <c:pt idx="2">
                  <c:v>0.66600000000000004</c:v>
                </c:pt>
                <c:pt idx="3">
                  <c:v>0.68599999999999994</c:v>
                </c:pt>
                <c:pt idx="4">
                  <c:v>0.69599999999999995</c:v>
                </c:pt>
                <c:pt idx="5">
                  <c:v>0.66649999999999998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80-4BA5-BE48-5D86E7D63170}"/>
            </c:ext>
          </c:extLst>
        </c:ser>
        <c:ser>
          <c:idx val="4"/>
          <c:order val="4"/>
          <c:tx>
            <c:strRef>
              <c:f>Sheet1!$IL$44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Sheet1!$IM$44:$IR$44</c:f>
              <c:numCache>
                <c:formatCode>General</c:formatCode>
                <c:ptCount val="6"/>
                <c:pt idx="0">
                  <c:v>0.5</c:v>
                </c:pt>
                <c:pt idx="1">
                  <c:v>0.628</c:v>
                </c:pt>
                <c:pt idx="2">
                  <c:v>0.66949999999999998</c:v>
                </c:pt>
                <c:pt idx="3">
                  <c:v>0.67249999999999999</c:v>
                </c:pt>
                <c:pt idx="4">
                  <c:v>0.6805000000000001</c:v>
                </c:pt>
                <c:pt idx="5">
                  <c:v>0.66050000000000009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80-4BA5-BE48-5D86E7D63170}"/>
            </c:ext>
          </c:extLst>
        </c:ser>
        <c:ser>
          <c:idx val="5"/>
          <c:order val="5"/>
          <c:tx>
            <c:strRef>
              <c:f>Sheet1!$IL$45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Sheet1!$IM$45:$IR$45</c:f>
              <c:numCache>
                <c:formatCode>General</c:formatCode>
                <c:ptCount val="6"/>
                <c:pt idx="0">
                  <c:v>0.59550000000000003</c:v>
                </c:pt>
                <c:pt idx="1">
                  <c:v>0.67199999999999993</c:v>
                </c:pt>
                <c:pt idx="2">
                  <c:v>0.65200000000000002</c:v>
                </c:pt>
                <c:pt idx="3">
                  <c:v>0.67300000000000004</c:v>
                </c:pt>
                <c:pt idx="4">
                  <c:v>0.69699999999999995</c:v>
                </c:pt>
                <c:pt idx="5">
                  <c:v>0.64949999999999997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80-4BA5-BE48-5D86E7D63170}"/>
            </c:ext>
          </c:extLst>
        </c:ser>
        <c:ser>
          <c:idx val="6"/>
          <c:order val="6"/>
          <c:tx>
            <c:strRef>
              <c:f>Sheet1!$IL$46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Sheet1!$IM$46:$IR$46</c:f>
              <c:numCache>
                <c:formatCode>General</c:formatCode>
                <c:ptCount val="6"/>
                <c:pt idx="0">
                  <c:v>0.59150000000000003</c:v>
                </c:pt>
                <c:pt idx="1">
                  <c:v>0.67600000000000005</c:v>
                </c:pt>
                <c:pt idx="2">
                  <c:v>0.67600000000000005</c:v>
                </c:pt>
                <c:pt idx="3">
                  <c:v>0.68300000000000005</c:v>
                </c:pt>
                <c:pt idx="4">
                  <c:v>0.69399999999999995</c:v>
                </c:pt>
                <c:pt idx="5">
                  <c:v>0.6885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80-4BA5-BE48-5D86E7D63170}"/>
            </c:ext>
          </c:extLst>
        </c:ser>
        <c:ser>
          <c:idx val="7"/>
          <c:order val="7"/>
          <c:tx>
            <c:strRef>
              <c:f>Sheet1!$IL$47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Sheet1!$IM$47:$IR$47</c:f>
              <c:numCache>
                <c:formatCode>General</c:formatCode>
                <c:ptCount val="6"/>
                <c:pt idx="0">
                  <c:v>0.59050000000000002</c:v>
                </c:pt>
                <c:pt idx="1">
                  <c:v>0.68399999999999994</c:v>
                </c:pt>
                <c:pt idx="2">
                  <c:v>0.65500000000000003</c:v>
                </c:pt>
                <c:pt idx="3">
                  <c:v>0.64649999999999996</c:v>
                </c:pt>
                <c:pt idx="4">
                  <c:v>0.65850000000000009</c:v>
                </c:pt>
                <c:pt idx="5">
                  <c:v>0.64949999999999997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80-4BA5-BE48-5D86E7D63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404896"/>
        <c:axId val="2008823808"/>
      </c:lineChart>
      <c:catAx>
        <c:axId val="19224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23808"/>
        <c:crosses val="autoZero"/>
        <c:auto val="1"/>
        <c:lblAlgn val="ctr"/>
        <c:lblOffset val="100"/>
        <c:noMultiLvlLbl val="0"/>
      </c:catAx>
      <c:valAx>
        <c:axId val="2008823808"/>
        <c:scaling>
          <c:orientation val="minMax"/>
          <c:max val="0.70000000000000007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Kappa - Death Within 1 Year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Sheet1!$JA$40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Sheet1!$JB$40:$JG$40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8.4000000000000005E-2</c:v>
                </c:pt>
                <c:pt idx="2">
                  <c:v>0.03</c:v>
                </c:pt>
                <c:pt idx="3">
                  <c:v>0.03</c:v>
                </c:pt>
                <c:pt idx="4">
                  <c:v>8.8999999999999996E-2</c:v>
                </c:pt>
                <c:pt idx="5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8-4562-AE70-95A8DC755F38}"/>
            </c:ext>
          </c:extLst>
        </c:ser>
        <c:ser>
          <c:idx val="1"/>
          <c:order val="1"/>
          <c:tx>
            <c:strRef>
              <c:f>Sheet1!$JA$41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Sheet1!$JB$41:$JG$41</c:f>
              <c:numCache>
                <c:formatCode>General</c:formatCode>
                <c:ptCount val="6"/>
                <c:pt idx="0">
                  <c:v>0.13800000000000001</c:v>
                </c:pt>
                <c:pt idx="1">
                  <c:v>0.13600000000000001</c:v>
                </c:pt>
                <c:pt idx="2">
                  <c:v>0.10100000000000001</c:v>
                </c:pt>
                <c:pt idx="3">
                  <c:v>0.161</c:v>
                </c:pt>
                <c:pt idx="4">
                  <c:v>0.22800000000000001</c:v>
                </c:pt>
                <c:pt idx="5">
                  <c:v>0.72799999999999998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8-4562-AE70-95A8DC755F38}"/>
            </c:ext>
          </c:extLst>
        </c:ser>
        <c:ser>
          <c:idx val="2"/>
          <c:order val="2"/>
          <c:tx>
            <c:strRef>
              <c:f>Sheet1!$JA$42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Sheet1!$JB$42:$JG$42</c:f>
              <c:numCache>
                <c:formatCode>General</c:formatCode>
                <c:ptCount val="6"/>
                <c:pt idx="0">
                  <c:v>0.17299999999999999</c:v>
                </c:pt>
                <c:pt idx="1">
                  <c:v>0.19500000000000001</c:v>
                </c:pt>
                <c:pt idx="2">
                  <c:v>0.22800000000000001</c:v>
                </c:pt>
                <c:pt idx="3">
                  <c:v>0.23</c:v>
                </c:pt>
                <c:pt idx="4">
                  <c:v>0.16300000000000001</c:v>
                </c:pt>
                <c:pt idx="5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68-4562-AE70-95A8DC755F38}"/>
            </c:ext>
          </c:extLst>
        </c:ser>
        <c:ser>
          <c:idx val="3"/>
          <c:order val="3"/>
          <c:tx>
            <c:strRef>
              <c:f>Sheet1!$JA$43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Sheet1!$JB$43:$JG$43</c:f>
              <c:numCache>
                <c:formatCode>General</c:formatCode>
                <c:ptCount val="6"/>
                <c:pt idx="0">
                  <c:v>0.16800000000000001</c:v>
                </c:pt>
                <c:pt idx="1">
                  <c:v>0.27800000000000002</c:v>
                </c:pt>
                <c:pt idx="2">
                  <c:v>0.27100000000000002</c:v>
                </c:pt>
                <c:pt idx="3">
                  <c:v>0.26700000000000002</c:v>
                </c:pt>
                <c:pt idx="4">
                  <c:v>0.26100000000000001</c:v>
                </c:pt>
                <c:pt idx="5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68-4562-AE70-95A8DC755F38}"/>
            </c:ext>
          </c:extLst>
        </c:ser>
        <c:ser>
          <c:idx val="4"/>
          <c:order val="4"/>
          <c:tx>
            <c:strRef>
              <c:f>Sheet1!$JA$44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Sheet1!$JB$44:$JG$44</c:f>
              <c:numCache>
                <c:formatCode>General</c:formatCode>
                <c:ptCount val="6"/>
                <c:pt idx="0">
                  <c:v>0</c:v>
                </c:pt>
                <c:pt idx="1">
                  <c:v>0.123</c:v>
                </c:pt>
                <c:pt idx="2">
                  <c:v>0.23499999999999999</c:v>
                </c:pt>
                <c:pt idx="3">
                  <c:v>0.25</c:v>
                </c:pt>
                <c:pt idx="4">
                  <c:v>0.21</c:v>
                </c:pt>
                <c:pt idx="5">
                  <c:v>0.184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68-4562-AE70-95A8DC755F38}"/>
            </c:ext>
          </c:extLst>
        </c:ser>
        <c:ser>
          <c:idx val="5"/>
          <c:order val="5"/>
          <c:tx>
            <c:strRef>
              <c:f>Sheet1!$JA$45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Sheet1!$JB$45:$JG$45</c:f>
              <c:numCache>
                <c:formatCode>General</c:formatCode>
                <c:ptCount val="6"/>
                <c:pt idx="0">
                  <c:v>0.223</c:v>
                </c:pt>
                <c:pt idx="1">
                  <c:v>0.21299999999999999</c:v>
                </c:pt>
                <c:pt idx="2">
                  <c:v>0.19700000000000001</c:v>
                </c:pt>
                <c:pt idx="3">
                  <c:v>0.21199999999999999</c:v>
                </c:pt>
                <c:pt idx="4">
                  <c:v>0.23599999999999999</c:v>
                </c:pt>
                <c:pt idx="5">
                  <c:v>0.17399999999999999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68-4562-AE70-95A8DC755F38}"/>
            </c:ext>
          </c:extLst>
        </c:ser>
        <c:ser>
          <c:idx val="6"/>
          <c:order val="6"/>
          <c:tx>
            <c:strRef>
              <c:f>Sheet1!$JA$46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Sheet1!$JB$46:$JG$46</c:f>
              <c:numCache>
                <c:formatCode>General</c:formatCode>
                <c:ptCount val="6"/>
                <c:pt idx="0">
                  <c:v>0.24199999999999999</c:v>
                </c:pt>
                <c:pt idx="1">
                  <c:v>0.30299999999999999</c:v>
                </c:pt>
                <c:pt idx="2">
                  <c:v>0.30299999999999999</c:v>
                </c:pt>
                <c:pt idx="3">
                  <c:v>0.30499999999999999</c:v>
                </c:pt>
                <c:pt idx="4">
                  <c:v>0.30499999999999999</c:v>
                </c:pt>
                <c:pt idx="5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68-4562-AE70-95A8DC755F38}"/>
            </c:ext>
          </c:extLst>
        </c:ser>
        <c:ser>
          <c:idx val="7"/>
          <c:order val="7"/>
          <c:tx>
            <c:strRef>
              <c:f>Sheet1!$JA$47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Sheet1!$JB$47:$JG$47</c:f>
              <c:numCache>
                <c:formatCode>General</c:formatCode>
                <c:ptCount val="6"/>
                <c:pt idx="0">
                  <c:v>0.19700000000000001</c:v>
                </c:pt>
                <c:pt idx="1">
                  <c:v>0.26900000000000002</c:v>
                </c:pt>
                <c:pt idx="2">
                  <c:v>0.23400000000000001</c:v>
                </c:pt>
                <c:pt idx="3">
                  <c:v>0.186</c:v>
                </c:pt>
                <c:pt idx="4">
                  <c:v>0.185</c:v>
                </c:pt>
                <c:pt idx="5">
                  <c:v>0.17299999999999999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68-4562-AE70-95A8DC755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324560"/>
        <c:axId val="2008845024"/>
      </c:lineChart>
      <c:catAx>
        <c:axId val="2833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45024"/>
        <c:crosses val="autoZero"/>
        <c:auto val="1"/>
        <c:lblAlgn val="ctr"/>
        <c:lblOffset val="100"/>
        <c:noMultiLvlLbl val="0"/>
      </c:catAx>
      <c:valAx>
        <c:axId val="2008845024"/>
        <c:scaling>
          <c:orientation val="minMax"/>
          <c:max val="0.3100000000000000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- 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Sheet1!$HH$15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Sheet1!$HI$15:$HN$15</c:f>
              <c:numCache>
                <c:formatCode>General</c:formatCode>
                <c:ptCount val="6"/>
                <c:pt idx="0">
                  <c:v>7.2999999999999995E-2</c:v>
                </c:pt>
                <c:pt idx="1">
                  <c:v>0.32552215189873418</c:v>
                </c:pt>
                <c:pt idx="2">
                  <c:v>0.316</c:v>
                </c:pt>
                <c:pt idx="3">
                  <c:v>0.316</c:v>
                </c:pt>
                <c:pt idx="4">
                  <c:v>0.40699999999999997</c:v>
                </c:pt>
                <c:pt idx="5">
                  <c:v>0.39500000000000002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D-426E-9EE9-DF5F9860F1F0}"/>
            </c:ext>
          </c:extLst>
        </c:ser>
        <c:ser>
          <c:idx val="1"/>
          <c:order val="1"/>
          <c:tx>
            <c:strRef>
              <c:f>Sheet1!$HH$16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Sheet1!$HI$16:$HN$16</c:f>
              <c:numCache>
                <c:formatCode>General</c:formatCode>
                <c:ptCount val="6"/>
                <c:pt idx="0">
                  <c:v>0.51900000000000002</c:v>
                </c:pt>
                <c:pt idx="1">
                  <c:v>0.11511075949367089</c:v>
                </c:pt>
                <c:pt idx="2">
                  <c:v>0.109</c:v>
                </c:pt>
                <c:pt idx="3">
                  <c:v>8.5999999999999993E-2</c:v>
                </c:pt>
                <c:pt idx="4">
                  <c:v>0.106</c:v>
                </c:pt>
                <c:pt idx="5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D-426E-9EE9-DF5F9860F1F0}"/>
            </c:ext>
          </c:extLst>
        </c:ser>
        <c:ser>
          <c:idx val="2"/>
          <c:order val="2"/>
          <c:tx>
            <c:strRef>
              <c:f>Sheet1!$HH$17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Sheet1!$HI$17:$HN$17</c:f>
              <c:numCache>
                <c:formatCode>General</c:formatCode>
                <c:ptCount val="6"/>
                <c:pt idx="0">
                  <c:v>0.40200000000000002</c:v>
                </c:pt>
                <c:pt idx="1">
                  <c:v>0.1889715189873418</c:v>
                </c:pt>
                <c:pt idx="2">
                  <c:v>0.19400000000000001</c:v>
                </c:pt>
                <c:pt idx="3">
                  <c:v>0.123</c:v>
                </c:pt>
                <c:pt idx="4">
                  <c:v>8.3000000000000004E-2</c:v>
                </c:pt>
                <c:pt idx="5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D-426E-9EE9-DF5F9860F1F0}"/>
            </c:ext>
          </c:extLst>
        </c:ser>
        <c:ser>
          <c:idx val="3"/>
          <c:order val="3"/>
          <c:tx>
            <c:strRef>
              <c:f>Sheet1!$HH$18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Sheet1!$HI$18:$HN$18</c:f>
              <c:numCache>
                <c:formatCode>General</c:formatCode>
                <c:ptCount val="6"/>
                <c:pt idx="0">
                  <c:v>0.53900000000000003</c:v>
                </c:pt>
                <c:pt idx="1">
                  <c:v>0.21278481012658229</c:v>
                </c:pt>
                <c:pt idx="2">
                  <c:v>0.20300000000000001</c:v>
                </c:pt>
                <c:pt idx="3">
                  <c:v>0.14899999999999999</c:v>
                </c:pt>
                <c:pt idx="4">
                  <c:v>6.6000000000000003E-2</c:v>
                </c:pt>
                <c:pt idx="5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AD-426E-9EE9-DF5F9860F1F0}"/>
            </c:ext>
          </c:extLst>
        </c:ser>
        <c:ser>
          <c:idx val="4"/>
          <c:order val="4"/>
          <c:tx>
            <c:strRef>
              <c:f>Sheet1!$HH$19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Sheet1!$HI$19:$HN$19</c:f>
              <c:numCache>
                <c:formatCode>General</c:formatCode>
                <c:ptCount val="6"/>
                <c:pt idx="0">
                  <c:v>0.53300000000000003</c:v>
                </c:pt>
                <c:pt idx="1">
                  <c:v>8.5142405063291141E-2</c:v>
                </c:pt>
                <c:pt idx="2">
                  <c:v>0.17399999999999999</c:v>
                </c:pt>
                <c:pt idx="3">
                  <c:v>8.8999999999999996E-2</c:v>
                </c:pt>
                <c:pt idx="4">
                  <c:v>0.13300000000000001</c:v>
                </c:pt>
                <c:pt idx="5">
                  <c:v>9.2999999999999999E-2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AD-426E-9EE9-DF5F9860F1F0}"/>
            </c:ext>
          </c:extLst>
        </c:ser>
        <c:ser>
          <c:idx val="5"/>
          <c:order val="5"/>
          <c:tx>
            <c:strRef>
              <c:f>Sheet1!$HH$20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Sheet1!$HI$20:$HN$20</c:f>
              <c:numCache>
                <c:formatCode>General</c:formatCode>
                <c:ptCount val="6"/>
                <c:pt idx="0">
                  <c:v>0.52100000000000002</c:v>
                </c:pt>
                <c:pt idx="1">
                  <c:v>0.11140822784810127</c:v>
                </c:pt>
                <c:pt idx="2">
                  <c:v>0.158</c:v>
                </c:pt>
                <c:pt idx="3">
                  <c:v>0.13400000000000001</c:v>
                </c:pt>
                <c:pt idx="4">
                  <c:v>9.5000000000000001E-2</c:v>
                </c:pt>
                <c:pt idx="5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AD-426E-9EE9-DF5F9860F1F0}"/>
            </c:ext>
          </c:extLst>
        </c:ser>
        <c:ser>
          <c:idx val="6"/>
          <c:order val="6"/>
          <c:tx>
            <c:strRef>
              <c:f>Sheet1!$HH$21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Sheet1!$HI$21:$HN$21</c:f>
              <c:numCache>
                <c:formatCode>General</c:formatCode>
                <c:ptCount val="6"/>
                <c:pt idx="0">
                  <c:v>0.52300000000000002</c:v>
                </c:pt>
                <c:pt idx="1">
                  <c:v>0.2178164556962025</c:v>
                </c:pt>
                <c:pt idx="2">
                  <c:v>0.21299999999999999</c:v>
                </c:pt>
                <c:pt idx="3">
                  <c:v>0.25</c:v>
                </c:pt>
                <c:pt idx="4">
                  <c:v>9.5000000000000001E-2</c:v>
                </c:pt>
                <c:pt idx="5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AD-426E-9EE9-DF5F9860F1F0}"/>
            </c:ext>
          </c:extLst>
        </c:ser>
        <c:ser>
          <c:idx val="7"/>
          <c:order val="7"/>
          <c:tx>
            <c:strRef>
              <c:f>Sheet1!$HH$22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Sheet1!$HI$22:$HN$22</c:f>
              <c:numCache>
                <c:formatCode>General</c:formatCode>
                <c:ptCount val="6"/>
                <c:pt idx="0">
                  <c:v>0.49199999999999999</c:v>
                </c:pt>
                <c:pt idx="1">
                  <c:v>0.21526898734177213</c:v>
                </c:pt>
                <c:pt idx="2">
                  <c:v>0.189</c:v>
                </c:pt>
                <c:pt idx="3">
                  <c:v>0.214</c:v>
                </c:pt>
                <c:pt idx="4">
                  <c:v>0.11799999999999999</c:v>
                </c:pt>
                <c:pt idx="5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AD-426E-9EE9-DF5F9860F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52"/>
        <c:axId val="2008841696"/>
      </c:lineChart>
      <c:catAx>
        <c:axId val="1053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41696"/>
        <c:crosses val="autoZero"/>
        <c:auto val="1"/>
        <c:lblAlgn val="ctr"/>
        <c:lblOffset val="100"/>
        <c:noMultiLvlLbl val="0"/>
      </c:catAx>
      <c:valAx>
        <c:axId val="2008841696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</a:t>
            </a:r>
            <a:r>
              <a:rPr lang="en-US" baseline="0"/>
              <a:t> - 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Sheet1!$HW$15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Sheet1!$HX$15:$IC$15</c:f>
              <c:numCache>
                <c:formatCode>General</c:formatCode>
                <c:ptCount val="6"/>
                <c:pt idx="0">
                  <c:v>0.58699999999999997</c:v>
                </c:pt>
                <c:pt idx="1">
                  <c:v>0.58392636089596406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0.625</c:v>
                </c:pt>
                <c:pt idx="5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576-8C4C-5FB6730A7CBF}"/>
            </c:ext>
          </c:extLst>
        </c:ser>
        <c:ser>
          <c:idx val="1"/>
          <c:order val="1"/>
          <c:tx>
            <c:strRef>
              <c:f>Sheet1!$HW$16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Sheet1!$HX$16:$IC$16</c:f>
              <c:numCache>
                <c:formatCode>General</c:formatCode>
                <c:ptCount val="6"/>
                <c:pt idx="0">
                  <c:v>0.58899999999999997</c:v>
                </c:pt>
                <c:pt idx="1">
                  <c:v>0.56155513706266935</c:v>
                </c:pt>
                <c:pt idx="2">
                  <c:v>0.55500000000000005</c:v>
                </c:pt>
                <c:pt idx="3">
                  <c:v>0.6</c:v>
                </c:pt>
                <c:pt idx="4">
                  <c:v>0.58099999999999996</c:v>
                </c:pt>
                <c:pt idx="5">
                  <c:v>0.59199999999999997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576-8C4C-5FB6730A7CBF}"/>
            </c:ext>
          </c:extLst>
        </c:ser>
        <c:ser>
          <c:idx val="2"/>
          <c:order val="2"/>
          <c:tx>
            <c:strRef>
              <c:f>Sheet1!$HW$17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Sheet1!$HX$17:$IC$17</c:f>
              <c:numCache>
                <c:formatCode>General</c:formatCode>
                <c:ptCount val="6"/>
                <c:pt idx="0">
                  <c:v>0.53</c:v>
                </c:pt>
                <c:pt idx="1">
                  <c:v>0.53491326763263447</c:v>
                </c:pt>
                <c:pt idx="2">
                  <c:v>0.53500000000000003</c:v>
                </c:pt>
                <c:pt idx="3">
                  <c:v>0.63300000000000001</c:v>
                </c:pt>
                <c:pt idx="4">
                  <c:v>0.63800000000000001</c:v>
                </c:pt>
                <c:pt idx="5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39-4576-8C4C-5FB6730A7CBF}"/>
            </c:ext>
          </c:extLst>
        </c:ser>
        <c:ser>
          <c:idx val="3"/>
          <c:order val="3"/>
          <c:tx>
            <c:strRef>
              <c:f>Sheet1!$HW$18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Sheet1!$HX$18:$IC$18</c:f>
              <c:numCache>
                <c:formatCode>General</c:formatCode>
                <c:ptCount val="6"/>
                <c:pt idx="0">
                  <c:v>0.627</c:v>
                </c:pt>
                <c:pt idx="1">
                  <c:v>0.64835964568782478</c:v>
                </c:pt>
                <c:pt idx="2">
                  <c:v>0.65300000000000002</c:v>
                </c:pt>
                <c:pt idx="3">
                  <c:v>0.64600000000000002</c:v>
                </c:pt>
                <c:pt idx="4">
                  <c:v>0.65200000000000002</c:v>
                </c:pt>
                <c:pt idx="5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39-4576-8C4C-5FB6730A7CBF}"/>
            </c:ext>
          </c:extLst>
        </c:ser>
        <c:ser>
          <c:idx val="4"/>
          <c:order val="4"/>
          <c:tx>
            <c:strRef>
              <c:f>Sheet1!$HW$19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Sheet1!$HX$19:$IC$19</c:f>
              <c:numCache>
                <c:formatCode>General</c:formatCode>
                <c:ptCount val="6"/>
                <c:pt idx="0">
                  <c:v>0.626</c:v>
                </c:pt>
                <c:pt idx="1">
                  <c:v>0.63726744723821604</c:v>
                </c:pt>
                <c:pt idx="2">
                  <c:v>0.62</c:v>
                </c:pt>
                <c:pt idx="3">
                  <c:v>0.63700000000000001</c:v>
                </c:pt>
                <c:pt idx="4">
                  <c:v>0.61199999999999999</c:v>
                </c:pt>
                <c:pt idx="5">
                  <c:v>0.60499999999999998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39-4576-8C4C-5FB6730A7CBF}"/>
            </c:ext>
          </c:extLst>
        </c:ser>
        <c:ser>
          <c:idx val="5"/>
          <c:order val="5"/>
          <c:tx>
            <c:strRef>
              <c:f>Sheet1!$HW$20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Sheet1!$HX$20:$IC$20</c:f>
              <c:numCache>
                <c:formatCode>General</c:formatCode>
                <c:ptCount val="6"/>
                <c:pt idx="0">
                  <c:v>0.64500000000000002</c:v>
                </c:pt>
                <c:pt idx="1">
                  <c:v>0.64026696688272944</c:v>
                </c:pt>
                <c:pt idx="2">
                  <c:v>0.625</c:v>
                </c:pt>
                <c:pt idx="3">
                  <c:v>0.63500000000000001</c:v>
                </c:pt>
                <c:pt idx="4">
                  <c:v>0.66100000000000003</c:v>
                </c:pt>
                <c:pt idx="5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39-4576-8C4C-5FB6730A7CBF}"/>
            </c:ext>
          </c:extLst>
        </c:ser>
        <c:ser>
          <c:idx val="6"/>
          <c:order val="6"/>
          <c:tx>
            <c:strRef>
              <c:f>Sheet1!$HW$21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Sheet1!$HX$21:$IC$21</c:f>
              <c:numCache>
                <c:formatCode>General</c:formatCode>
                <c:ptCount val="6"/>
                <c:pt idx="0">
                  <c:v>0.63400000000000001</c:v>
                </c:pt>
                <c:pt idx="1">
                  <c:v>0.62676728637191315</c:v>
                </c:pt>
                <c:pt idx="2">
                  <c:v>0.627</c:v>
                </c:pt>
                <c:pt idx="3">
                  <c:v>0.61399999999999999</c:v>
                </c:pt>
                <c:pt idx="4">
                  <c:v>0.65700000000000003</c:v>
                </c:pt>
                <c:pt idx="5">
                  <c:v>0.61499999999999999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39-4576-8C4C-5FB6730A7CBF}"/>
            </c:ext>
          </c:extLst>
        </c:ser>
        <c:ser>
          <c:idx val="7"/>
          <c:order val="7"/>
          <c:tx>
            <c:strRef>
              <c:f>Sheet1!$HW$22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Sheet1!$HX$22:$IC$22</c:f>
              <c:numCache>
                <c:formatCode>General</c:formatCode>
                <c:ptCount val="6"/>
                <c:pt idx="0">
                  <c:v>0.622</c:v>
                </c:pt>
                <c:pt idx="1">
                  <c:v>0.63251089299230212</c:v>
                </c:pt>
                <c:pt idx="2">
                  <c:v>0.622</c:v>
                </c:pt>
                <c:pt idx="3">
                  <c:v>0.59899999999999998</c:v>
                </c:pt>
                <c:pt idx="4">
                  <c:v>0.63600000000000001</c:v>
                </c:pt>
                <c:pt idx="5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39-4576-8C4C-5FB6730A7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285808"/>
        <c:axId val="2008830880"/>
      </c:lineChart>
      <c:catAx>
        <c:axId val="19692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30880"/>
        <c:crosses val="autoZero"/>
        <c:auto val="1"/>
        <c:lblAlgn val="ctr"/>
        <c:lblOffset val="100"/>
        <c:noMultiLvlLbl val="0"/>
      </c:catAx>
      <c:valAx>
        <c:axId val="2008830880"/>
        <c:scaling>
          <c:orientation val="minMax"/>
          <c:min val="0.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- 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Sheet1!$IL$15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Sheet1!$IM$15:$IR$15</c:f>
              <c:numCache>
                <c:formatCode>General</c:formatCode>
                <c:ptCount val="6"/>
                <c:pt idx="0">
                  <c:v>0.19675000000000001</c:v>
                </c:pt>
                <c:pt idx="1">
                  <c:v>0.19700000000000004</c:v>
                </c:pt>
                <c:pt idx="2">
                  <c:v>0.19187500000000002</c:v>
                </c:pt>
                <c:pt idx="3">
                  <c:v>0.19187500000000002</c:v>
                </c:pt>
                <c:pt idx="4">
                  <c:v>0.177125</c:v>
                </c:pt>
                <c:pt idx="5">
                  <c:v>0.231875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F-48D1-A6D1-10AAD648F3E0}"/>
            </c:ext>
          </c:extLst>
        </c:ser>
        <c:ser>
          <c:idx val="1"/>
          <c:order val="1"/>
          <c:tx>
            <c:strRef>
              <c:f>Sheet1!$IL$16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Sheet1!$IM$16:$IR$16</c:f>
              <c:numCache>
                <c:formatCode>General</c:formatCode>
                <c:ptCount val="6"/>
                <c:pt idx="0">
                  <c:v>0.16674999999999998</c:v>
                </c:pt>
                <c:pt idx="1">
                  <c:v>0.18687500000000001</c:v>
                </c:pt>
                <c:pt idx="2">
                  <c:v>0.17700000000000002</c:v>
                </c:pt>
                <c:pt idx="3">
                  <c:v>0.21962499999999999</c:v>
                </c:pt>
                <c:pt idx="4">
                  <c:v>0.20600000000000002</c:v>
                </c:pt>
                <c:pt idx="5">
                  <c:v>0.23025000000000001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F-48D1-A6D1-10AAD648F3E0}"/>
            </c:ext>
          </c:extLst>
        </c:ser>
        <c:ser>
          <c:idx val="2"/>
          <c:order val="2"/>
          <c:tx>
            <c:strRef>
              <c:f>Sheet1!$IL$17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Sheet1!$IM$17:$IR$17</c:f>
              <c:numCache>
                <c:formatCode>General</c:formatCode>
                <c:ptCount val="6"/>
                <c:pt idx="0">
                  <c:v>0.17787499999999998</c:v>
                </c:pt>
                <c:pt idx="1">
                  <c:v>0.18600000000000003</c:v>
                </c:pt>
                <c:pt idx="2">
                  <c:v>0.18637499999999999</c:v>
                </c:pt>
                <c:pt idx="3">
                  <c:v>0.268125</c:v>
                </c:pt>
                <c:pt idx="4">
                  <c:v>0.24650000000000002</c:v>
                </c:pt>
                <c:pt idx="5">
                  <c:v>0.1605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F-48D1-A6D1-10AAD648F3E0}"/>
            </c:ext>
          </c:extLst>
        </c:ser>
        <c:ser>
          <c:idx val="3"/>
          <c:order val="3"/>
          <c:tx>
            <c:strRef>
              <c:f>Sheet1!$IL$18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Sheet1!$IM$18:$IR$18</c:f>
              <c:numCache>
                <c:formatCode>General</c:formatCode>
                <c:ptCount val="6"/>
                <c:pt idx="0">
                  <c:v>0.1585</c:v>
                </c:pt>
                <c:pt idx="1">
                  <c:v>0.205375</c:v>
                </c:pt>
                <c:pt idx="2">
                  <c:v>0.20962500000000001</c:v>
                </c:pt>
                <c:pt idx="3">
                  <c:v>0.22075</c:v>
                </c:pt>
                <c:pt idx="4">
                  <c:v>0.21875</c:v>
                </c:pt>
                <c:pt idx="5">
                  <c:v>0.18337499999999998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9F-48D1-A6D1-10AAD648F3E0}"/>
            </c:ext>
          </c:extLst>
        </c:ser>
        <c:ser>
          <c:idx val="4"/>
          <c:order val="4"/>
          <c:tx>
            <c:strRef>
              <c:f>Sheet1!$IL$19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Sheet1!$IM$19:$IR$19</c:f>
              <c:numCache>
                <c:formatCode>General</c:formatCode>
                <c:ptCount val="6"/>
                <c:pt idx="0">
                  <c:v>0.11177777777777778</c:v>
                </c:pt>
                <c:pt idx="1">
                  <c:v>0.23374999999999999</c:v>
                </c:pt>
                <c:pt idx="2">
                  <c:v>0.20700000000000002</c:v>
                </c:pt>
                <c:pt idx="3">
                  <c:v>0.21625</c:v>
                </c:pt>
                <c:pt idx="4">
                  <c:v>0.23899999999999999</c:v>
                </c:pt>
                <c:pt idx="5">
                  <c:v>0.23775000000000002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9F-48D1-A6D1-10AAD648F3E0}"/>
            </c:ext>
          </c:extLst>
        </c:ser>
        <c:ser>
          <c:idx val="5"/>
          <c:order val="5"/>
          <c:tx>
            <c:strRef>
              <c:f>Sheet1!$IL$20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Sheet1!$IM$20:$IR$20</c:f>
              <c:numCache>
                <c:formatCode>General</c:formatCode>
                <c:ptCount val="6"/>
                <c:pt idx="0">
                  <c:v>0.15422222222222218</c:v>
                </c:pt>
                <c:pt idx="1">
                  <c:v>0.23837500000000003</c:v>
                </c:pt>
                <c:pt idx="2">
                  <c:v>0.17837500000000003</c:v>
                </c:pt>
                <c:pt idx="3">
                  <c:v>0.202125</c:v>
                </c:pt>
                <c:pt idx="4">
                  <c:v>0.24787500000000001</c:v>
                </c:pt>
                <c:pt idx="5">
                  <c:v>0.21975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9F-48D1-A6D1-10AAD648F3E0}"/>
            </c:ext>
          </c:extLst>
        </c:ser>
        <c:ser>
          <c:idx val="6"/>
          <c:order val="6"/>
          <c:tx>
            <c:strRef>
              <c:f>Sheet1!$IL$21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Sheet1!$IM$21:$IR$21</c:f>
              <c:numCache>
                <c:formatCode>General</c:formatCode>
                <c:ptCount val="6"/>
                <c:pt idx="0">
                  <c:v>0.167625</c:v>
                </c:pt>
                <c:pt idx="1">
                  <c:v>0.208125</c:v>
                </c:pt>
                <c:pt idx="2">
                  <c:v>0.19937500000000002</c:v>
                </c:pt>
                <c:pt idx="3">
                  <c:v>0.23800000000000002</c:v>
                </c:pt>
                <c:pt idx="4">
                  <c:v>0.26200000000000001</c:v>
                </c:pt>
                <c:pt idx="5">
                  <c:v>0.232125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9F-48D1-A6D1-10AAD648F3E0}"/>
            </c:ext>
          </c:extLst>
        </c:ser>
        <c:ser>
          <c:idx val="7"/>
          <c:order val="7"/>
          <c:tx>
            <c:strRef>
              <c:f>Sheet1!$IL$22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Sheet1!$IM$22:$IR$22</c:f>
              <c:numCache>
                <c:formatCode>General</c:formatCode>
                <c:ptCount val="6"/>
                <c:pt idx="0">
                  <c:v>0.17899999999999999</c:v>
                </c:pt>
                <c:pt idx="1">
                  <c:v>0.22187499999999999</c:v>
                </c:pt>
                <c:pt idx="2">
                  <c:v>0.16175</c:v>
                </c:pt>
                <c:pt idx="3">
                  <c:v>0.20174999999999998</c:v>
                </c:pt>
                <c:pt idx="4">
                  <c:v>0.20025000000000001</c:v>
                </c:pt>
                <c:pt idx="5">
                  <c:v>0.18912500000000002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9F-48D1-A6D1-10AAD648F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7616"/>
        <c:axId val="2008827136"/>
      </c:lineChart>
      <c:catAx>
        <c:axId val="146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27136"/>
        <c:crosses val="autoZero"/>
        <c:auto val="1"/>
        <c:lblAlgn val="ctr"/>
        <c:lblOffset val="100"/>
        <c:noMultiLvlLbl val="0"/>
      </c:catAx>
      <c:valAx>
        <c:axId val="2008827136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Kappa - Severity</a:t>
            </a:r>
            <a:r>
              <a:rPr lang="en-US" baseline="0"/>
              <a:t> of Complications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Sheet1!$JA$15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Sheet1!$JB$15:$JG$15</c:f>
              <c:numCache>
                <c:formatCode>General</c:formatCode>
                <c:ptCount val="6"/>
                <c:pt idx="0">
                  <c:v>2.3E-2</c:v>
                </c:pt>
                <c:pt idx="1">
                  <c:v>9.621257215089557E-2</c:v>
                </c:pt>
                <c:pt idx="2">
                  <c:v>8.7999999999999995E-2</c:v>
                </c:pt>
                <c:pt idx="3">
                  <c:v>8.7999999999999995E-2</c:v>
                </c:pt>
                <c:pt idx="4">
                  <c:v>0.112</c:v>
                </c:pt>
                <c:pt idx="5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6-4B1F-81A1-78B10897CD96}"/>
            </c:ext>
          </c:extLst>
        </c:ser>
        <c:ser>
          <c:idx val="1"/>
          <c:order val="1"/>
          <c:tx>
            <c:strRef>
              <c:f>Sheet1!$JA$16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Sheet1!$JB$16:$JG$16</c:f>
              <c:numCache>
                <c:formatCode>General</c:formatCode>
                <c:ptCount val="6"/>
                <c:pt idx="0">
                  <c:v>0.122</c:v>
                </c:pt>
                <c:pt idx="1">
                  <c:v>2.598696277651653E-2</c:v>
                </c:pt>
                <c:pt idx="2">
                  <c:v>2.4E-2</c:v>
                </c:pt>
                <c:pt idx="3">
                  <c:v>2.9000000000000001E-2</c:v>
                </c:pt>
                <c:pt idx="4">
                  <c:v>3.4000000000000002E-2</c:v>
                </c:pt>
                <c:pt idx="5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6-4B1F-81A1-78B10897CD96}"/>
            </c:ext>
          </c:extLst>
        </c:ser>
        <c:ser>
          <c:idx val="2"/>
          <c:order val="2"/>
          <c:tx>
            <c:strRef>
              <c:f>Sheet1!$JA$17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Sheet1!$JB$17:$JG$17</c:f>
              <c:numCache>
                <c:formatCode>General</c:formatCode>
                <c:ptCount val="6"/>
                <c:pt idx="0">
                  <c:v>9.4E-2</c:v>
                </c:pt>
                <c:pt idx="1">
                  <c:v>4.9901523313207061E-2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3.7999999999999999E-2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D6-4B1F-81A1-78B10897CD96}"/>
            </c:ext>
          </c:extLst>
        </c:ser>
        <c:ser>
          <c:idx val="3"/>
          <c:order val="3"/>
          <c:tx>
            <c:strRef>
              <c:f>Sheet1!$JA$18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Sheet1!$JB$18:$JG$18</c:f>
              <c:numCache>
                <c:formatCode>General</c:formatCode>
                <c:ptCount val="6"/>
                <c:pt idx="0">
                  <c:v>0.14499999999999999</c:v>
                </c:pt>
                <c:pt idx="1">
                  <c:v>7.2752309913637847E-2</c:v>
                </c:pt>
                <c:pt idx="2">
                  <c:v>6.8000000000000005E-2</c:v>
                </c:pt>
                <c:pt idx="3">
                  <c:v>5.1999999999999998E-2</c:v>
                </c:pt>
                <c:pt idx="4">
                  <c:v>2.9000000000000001E-2</c:v>
                </c:pt>
                <c:pt idx="5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D6-4B1F-81A1-78B10897CD96}"/>
            </c:ext>
          </c:extLst>
        </c:ser>
        <c:ser>
          <c:idx val="4"/>
          <c:order val="4"/>
          <c:tx>
            <c:strRef>
              <c:f>Sheet1!$JA$19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Sheet1!$JB$19:$JG$19</c:f>
              <c:numCache>
                <c:formatCode>General</c:formatCode>
                <c:ptCount val="6"/>
                <c:pt idx="0">
                  <c:v>2.1000000000000001E-2</c:v>
                </c:pt>
                <c:pt idx="1">
                  <c:v>3.77505388233116E-2</c:v>
                </c:pt>
                <c:pt idx="2">
                  <c:v>0.05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D6-4B1F-81A1-78B10897CD96}"/>
            </c:ext>
          </c:extLst>
        </c:ser>
        <c:ser>
          <c:idx val="5"/>
          <c:order val="5"/>
          <c:tx>
            <c:strRef>
              <c:f>Sheet1!$JA$20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Sheet1!$JB$20:$JG$20</c:f>
              <c:numCache>
                <c:formatCode>General</c:formatCode>
                <c:ptCount val="6"/>
                <c:pt idx="0">
                  <c:v>0.152</c:v>
                </c:pt>
                <c:pt idx="1">
                  <c:v>3.2384971932155247E-2</c:v>
                </c:pt>
                <c:pt idx="2">
                  <c:v>3.1E-2</c:v>
                </c:pt>
                <c:pt idx="3">
                  <c:v>4.1000000000000002E-2</c:v>
                </c:pt>
                <c:pt idx="4">
                  <c:v>0.04</c:v>
                </c:pt>
                <c:pt idx="5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D6-4B1F-81A1-78B10897CD96}"/>
            </c:ext>
          </c:extLst>
        </c:ser>
        <c:ser>
          <c:idx val="6"/>
          <c:order val="6"/>
          <c:tx>
            <c:strRef>
              <c:f>Sheet1!$JA$21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Sheet1!$JB$21:$JG$21</c:f>
              <c:numCache>
                <c:formatCode>General</c:formatCode>
                <c:ptCount val="6"/>
                <c:pt idx="0">
                  <c:v>0.13500000000000001</c:v>
                </c:pt>
                <c:pt idx="1">
                  <c:v>7.6471060734484134E-2</c:v>
                </c:pt>
                <c:pt idx="2">
                  <c:v>7.1999999999999995E-2</c:v>
                </c:pt>
                <c:pt idx="3">
                  <c:v>9.0999999999999998E-2</c:v>
                </c:pt>
                <c:pt idx="4">
                  <c:v>0.04</c:v>
                </c:pt>
                <c:pt idx="5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D6-4B1F-81A1-78B10897CD96}"/>
            </c:ext>
          </c:extLst>
        </c:ser>
        <c:ser>
          <c:idx val="7"/>
          <c:order val="7"/>
          <c:tx>
            <c:strRef>
              <c:f>Sheet1!$JA$22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Sheet1!$JB$22:$JG$22</c:f>
              <c:numCache>
                <c:formatCode>General</c:formatCode>
                <c:ptCount val="6"/>
                <c:pt idx="0">
                  <c:v>0.158</c:v>
                </c:pt>
                <c:pt idx="1">
                  <c:v>6.8727373028370536E-2</c:v>
                </c:pt>
                <c:pt idx="2">
                  <c:v>3.1E-2</c:v>
                </c:pt>
                <c:pt idx="3">
                  <c:v>6.5000000000000002E-2</c:v>
                </c:pt>
                <c:pt idx="4">
                  <c:v>3.4000000000000002E-2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D6-4B1F-81A1-78B10897C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140688"/>
        <c:axId val="2008808416"/>
      </c:lineChart>
      <c:catAx>
        <c:axId val="201314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08416"/>
        <c:crosses val="autoZero"/>
        <c:auto val="1"/>
        <c:lblAlgn val="ctr"/>
        <c:lblOffset val="100"/>
        <c:noMultiLvlLbl val="0"/>
      </c:catAx>
      <c:valAx>
        <c:axId val="20088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4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- Severity of Complications (Regression)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Sheet1!$HH$26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Sheet1!$HI$26:$HM$26</c:f>
              <c:numCache>
                <c:formatCode>General</c:formatCode>
                <c:ptCount val="5"/>
                <c:pt idx="0">
                  <c:v>1.391</c:v>
                </c:pt>
                <c:pt idx="1">
                  <c:v>171453068240.11301</c:v>
                </c:pt>
                <c:pt idx="2">
                  <c:v>1060499440.368</c:v>
                </c:pt>
                <c:pt idx="3">
                  <c:v>1.2989999999999999</c:v>
                </c:pt>
                <c:pt idx="4">
                  <c:v>1.292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4-4D19-96A8-0B800E1E5FE9}"/>
            </c:ext>
          </c:extLst>
        </c:ser>
        <c:ser>
          <c:idx val="1"/>
          <c:order val="1"/>
          <c:tx>
            <c:strRef>
              <c:f>Sheet1!$HH$27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Sheet1!$HI$27:$HM$27</c:f>
              <c:numCache>
                <c:formatCode>General</c:formatCode>
                <c:ptCount val="5"/>
                <c:pt idx="0">
                  <c:v>1.363</c:v>
                </c:pt>
                <c:pt idx="1">
                  <c:v>1.339</c:v>
                </c:pt>
                <c:pt idx="2">
                  <c:v>1.2829999999999999</c:v>
                </c:pt>
                <c:pt idx="3">
                  <c:v>1.268</c:v>
                </c:pt>
                <c:pt idx="4">
                  <c:v>1.284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4-4D19-96A8-0B800E1E5FE9}"/>
            </c:ext>
          </c:extLst>
        </c:ser>
        <c:ser>
          <c:idx val="2"/>
          <c:order val="2"/>
          <c:tx>
            <c:strRef>
              <c:f>Sheet1!$HH$28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Sheet1!$HI$28:$HM$28</c:f>
              <c:numCache>
                <c:formatCode>General</c:formatCode>
                <c:ptCount val="5"/>
                <c:pt idx="0">
                  <c:v>1.3160000000000001</c:v>
                </c:pt>
                <c:pt idx="1">
                  <c:v>1.569</c:v>
                </c:pt>
                <c:pt idx="2">
                  <c:v>1.4390000000000001</c:v>
                </c:pt>
                <c:pt idx="3">
                  <c:v>1.4390000000000001</c:v>
                </c:pt>
                <c:pt idx="4">
                  <c:v>1.4390000000000001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4-4D19-96A8-0B800E1E5FE9}"/>
            </c:ext>
          </c:extLst>
        </c:ser>
        <c:ser>
          <c:idx val="3"/>
          <c:order val="3"/>
          <c:tx>
            <c:strRef>
              <c:f>Sheet1!$HH$29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Sheet1!$HI$29:$HM$29</c:f>
              <c:numCache>
                <c:formatCode>General</c:formatCode>
                <c:ptCount val="5"/>
                <c:pt idx="0">
                  <c:v>1.1950000000000001</c:v>
                </c:pt>
                <c:pt idx="1">
                  <c:v>1.18</c:v>
                </c:pt>
                <c:pt idx="2">
                  <c:v>1.1779999999999999</c:v>
                </c:pt>
                <c:pt idx="3">
                  <c:v>1.1579999999999999</c:v>
                </c:pt>
                <c:pt idx="4">
                  <c:v>1.1870000000000001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54-4D19-96A8-0B800E1E5FE9}"/>
            </c:ext>
          </c:extLst>
        </c:ser>
        <c:ser>
          <c:idx val="4"/>
          <c:order val="4"/>
          <c:tx>
            <c:strRef>
              <c:f>Sheet1!$HH$30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Sheet1!$HI$30:$HM$30</c:f>
              <c:numCache>
                <c:formatCode>General</c:formatCode>
                <c:ptCount val="5"/>
                <c:pt idx="0">
                  <c:v>1.3109999999999999</c:v>
                </c:pt>
                <c:pt idx="1">
                  <c:v>1.569</c:v>
                </c:pt>
                <c:pt idx="2">
                  <c:v>1.4390000000000001</c:v>
                </c:pt>
                <c:pt idx="3">
                  <c:v>1.391</c:v>
                </c:pt>
                <c:pt idx="4">
                  <c:v>1.351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54-4D19-96A8-0B800E1E5FE9}"/>
            </c:ext>
          </c:extLst>
        </c:ser>
        <c:ser>
          <c:idx val="5"/>
          <c:order val="5"/>
          <c:tx>
            <c:strRef>
              <c:f>Sheet1!$HH$31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Sheet1!$HI$31:$HM$31</c:f>
              <c:numCache>
                <c:formatCode>General</c:formatCode>
                <c:ptCount val="5"/>
                <c:pt idx="0">
                  <c:v>1.34</c:v>
                </c:pt>
                <c:pt idx="1">
                  <c:v>1.31</c:v>
                </c:pt>
                <c:pt idx="2">
                  <c:v>1.2909999999999999</c:v>
                </c:pt>
                <c:pt idx="3">
                  <c:v>1.284</c:v>
                </c:pt>
                <c:pt idx="4">
                  <c:v>1.2889999999999999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54-4D19-96A8-0B800E1E5FE9}"/>
            </c:ext>
          </c:extLst>
        </c:ser>
        <c:ser>
          <c:idx val="6"/>
          <c:order val="6"/>
          <c:tx>
            <c:strRef>
              <c:f>Sheet1!$HH$32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Sheet1!$HI$32:$HM$32</c:f>
              <c:numCache>
                <c:formatCode>General</c:formatCode>
                <c:ptCount val="5"/>
                <c:pt idx="0">
                  <c:v>1.5209999999999999</c:v>
                </c:pt>
                <c:pt idx="1">
                  <c:v>1.5209999999999999</c:v>
                </c:pt>
                <c:pt idx="2">
                  <c:v>1.17</c:v>
                </c:pt>
                <c:pt idx="3">
                  <c:v>1.1559999999999999</c:v>
                </c:pt>
                <c:pt idx="4">
                  <c:v>1.167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54-4D19-96A8-0B800E1E5FE9}"/>
            </c:ext>
          </c:extLst>
        </c:ser>
        <c:ser>
          <c:idx val="7"/>
          <c:order val="7"/>
          <c:tx>
            <c:strRef>
              <c:f>Sheet1!$HH$33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Sheet1!$HI$33:$HM$33</c:f>
              <c:numCache>
                <c:formatCode>General</c:formatCode>
                <c:ptCount val="5"/>
                <c:pt idx="0">
                  <c:v>1.29</c:v>
                </c:pt>
                <c:pt idx="1">
                  <c:v>1.29</c:v>
                </c:pt>
                <c:pt idx="2">
                  <c:v>1.1659999999999999</c:v>
                </c:pt>
                <c:pt idx="3">
                  <c:v>1.1619999999999999</c:v>
                </c:pt>
                <c:pt idx="4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54-4D19-96A8-0B800E1E5FE9}"/>
            </c:ext>
          </c:extLst>
        </c:ser>
        <c:ser>
          <c:idx val="8"/>
          <c:order val="8"/>
          <c:tx>
            <c:strRef>
              <c:f>Sheet1!$HH$34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Sheet1!$HI$34:$HM$34</c:f>
              <c:numCache>
                <c:formatCode>General</c:formatCode>
                <c:ptCount val="5"/>
                <c:pt idx="0">
                  <c:v>1.304</c:v>
                </c:pt>
                <c:pt idx="1">
                  <c:v>1.3049999999999999</c:v>
                </c:pt>
                <c:pt idx="2">
                  <c:v>1.2789999999999999</c:v>
                </c:pt>
                <c:pt idx="3">
                  <c:v>1.284</c:v>
                </c:pt>
                <c:pt idx="4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54-4D19-96A8-0B800E1E5FE9}"/>
            </c:ext>
          </c:extLst>
        </c:ser>
        <c:ser>
          <c:idx val="9"/>
          <c:order val="9"/>
          <c:tx>
            <c:strRef>
              <c:f>Sheet1!$HH$35</c:f>
              <c:strCache>
                <c:ptCount val="1"/>
                <c:pt idx="0">
                  <c:v>PLS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Sheet1!$HI$35:$HM$35</c:f>
              <c:numCache>
                <c:formatCode>General</c:formatCode>
                <c:ptCount val="5"/>
                <c:pt idx="0">
                  <c:v>1.2889999999999999</c:v>
                </c:pt>
                <c:pt idx="1">
                  <c:v>1.2889999999999999</c:v>
                </c:pt>
                <c:pt idx="2">
                  <c:v>1.274</c:v>
                </c:pt>
                <c:pt idx="3">
                  <c:v>1.268</c:v>
                </c:pt>
                <c:pt idx="4">
                  <c:v>1.2809999999999999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54-4D19-96A8-0B800E1E5FE9}"/>
            </c:ext>
          </c:extLst>
        </c:ser>
        <c:ser>
          <c:idx val="10"/>
          <c:order val="10"/>
          <c:tx>
            <c:strRef>
              <c:f>Sheet1!$HH$36</c:f>
              <c:strCache>
                <c:ptCount val="1"/>
                <c:pt idx="0">
                  <c:v>MLPR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Sheet1!$HI$36:$HM$36</c:f>
              <c:numCache>
                <c:formatCode>General</c:formatCode>
                <c:ptCount val="5"/>
                <c:pt idx="0">
                  <c:v>1.353</c:v>
                </c:pt>
                <c:pt idx="1">
                  <c:v>1.4570000000000001</c:v>
                </c:pt>
                <c:pt idx="2">
                  <c:v>1.2889999999999999</c:v>
                </c:pt>
                <c:pt idx="3">
                  <c:v>1.2549999999999999</c:v>
                </c:pt>
                <c:pt idx="4">
                  <c:v>1.278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54-4D19-96A8-0B800E1E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75568"/>
        <c:axId val="2008815904"/>
      </c:lineChart>
      <c:catAx>
        <c:axId val="1774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15904"/>
        <c:crosses val="autoZero"/>
        <c:auto val="1"/>
        <c:lblAlgn val="ctr"/>
        <c:lblOffset val="100"/>
        <c:noMultiLvlLbl val="0"/>
      </c:catAx>
      <c:valAx>
        <c:axId val="2008815904"/>
        <c:scaling>
          <c:orientation val="minMax"/>
          <c:max val="1.2"/>
          <c:min val="1.14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Severity of Complications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Sheet1!$B$26:$D$26</c:f>
              <c:numCache>
                <c:formatCode>General</c:formatCode>
                <c:ptCount val="3"/>
                <c:pt idx="0">
                  <c:v>1.391</c:v>
                </c:pt>
                <c:pt idx="1">
                  <c:v>1.7989999999999999</c:v>
                </c:pt>
                <c:pt idx="2">
                  <c:v>8.5000000000000006E-2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4-479E-816B-7B834439A0E4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Sheet1!$B$27:$D$27</c:f>
              <c:numCache>
                <c:formatCode>General</c:formatCode>
                <c:ptCount val="3"/>
                <c:pt idx="0">
                  <c:v>1.363</c:v>
                </c:pt>
                <c:pt idx="1">
                  <c:v>1.7629999999999999</c:v>
                </c:pt>
                <c:pt idx="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4-479E-816B-7B834439A0E4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LASSO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Sheet1!$B$28:$D$28</c:f>
              <c:numCache>
                <c:formatCode>General</c:formatCode>
                <c:ptCount val="3"/>
                <c:pt idx="0">
                  <c:v>1.3160000000000001</c:v>
                </c:pt>
                <c:pt idx="1">
                  <c:v>1.66</c:v>
                </c:pt>
                <c:pt idx="2">
                  <c:v>0.221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4-479E-816B-7B834439A0E4}"/>
            </c:ext>
          </c:extLst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Sheet1!$B$29:$D$29</c:f>
              <c:numCache>
                <c:formatCode>General</c:formatCode>
                <c:ptCount val="3"/>
                <c:pt idx="0">
                  <c:v>1.1950000000000001</c:v>
                </c:pt>
                <c:pt idx="1">
                  <c:v>1.7430000000000001</c:v>
                </c:pt>
                <c:pt idx="2">
                  <c:v>0.13800000000000001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74-479E-816B-7B834439A0E4}"/>
            </c:ext>
          </c:extLst>
        </c:ser>
        <c:ser>
          <c:idx val="4"/>
          <c:order val="4"/>
          <c:tx>
            <c:strRef>
              <c:f>Sheet1!$A$30</c:f>
              <c:strCache>
                <c:ptCount val="1"/>
                <c:pt idx="0">
                  <c:v>Elastic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Sheet1!$B$30:$D$30</c:f>
              <c:numCache>
                <c:formatCode>General</c:formatCode>
                <c:ptCount val="3"/>
                <c:pt idx="0">
                  <c:v>1.3109999999999999</c:v>
                </c:pt>
                <c:pt idx="1">
                  <c:v>1.6579999999999999</c:v>
                </c:pt>
                <c:pt idx="2">
                  <c:v>0.222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74-479E-816B-7B834439A0E4}"/>
            </c:ext>
          </c:extLst>
        </c:ser>
        <c:ser>
          <c:idx val="5"/>
          <c:order val="5"/>
          <c:tx>
            <c:strRef>
              <c:f>Sheet1!$A$31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Sheet1!$B$31:$D$31</c:f>
              <c:numCache>
                <c:formatCode>General</c:formatCode>
                <c:ptCount val="3"/>
                <c:pt idx="0">
                  <c:v>1.34</c:v>
                </c:pt>
                <c:pt idx="1">
                  <c:v>1.776</c:v>
                </c:pt>
                <c:pt idx="2">
                  <c:v>0.111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74-479E-816B-7B834439A0E4}"/>
            </c:ext>
          </c:extLst>
        </c:ser>
        <c:ser>
          <c:idx val="6"/>
          <c:order val="6"/>
          <c:tx>
            <c:strRef>
              <c:f>Sheet1!$A$32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Sheet1!$B$32:$D$32</c:f>
              <c:numCache>
                <c:formatCode>General</c:formatCode>
                <c:ptCount val="3"/>
                <c:pt idx="0">
                  <c:v>1.5209999999999999</c:v>
                </c:pt>
                <c:pt idx="1">
                  <c:v>2.2930000000000001</c:v>
                </c:pt>
                <c:pt idx="2">
                  <c:v>-0.50900000000000001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74-479E-816B-7B834439A0E4}"/>
            </c:ext>
          </c:extLst>
        </c:ser>
        <c:ser>
          <c:idx val="7"/>
          <c:order val="7"/>
          <c:tx>
            <c:strRef>
              <c:f>Sheet1!$A$33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Sheet1!$B$33:$D$33</c:f>
              <c:numCache>
                <c:formatCode>General</c:formatCode>
                <c:ptCount val="3"/>
                <c:pt idx="0">
                  <c:v>1.29</c:v>
                </c:pt>
                <c:pt idx="1">
                  <c:v>1.673</c:v>
                </c:pt>
                <c:pt idx="2">
                  <c:v>0.20200000000000001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74-479E-816B-7B834439A0E4}"/>
            </c:ext>
          </c:extLst>
        </c:ser>
        <c:ser>
          <c:idx val="8"/>
          <c:order val="8"/>
          <c:tx>
            <c:strRef>
              <c:f>Sheet1!$A$34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Sheet1!$B$34:$D$34</c:f>
              <c:numCache>
                <c:formatCode>General</c:formatCode>
                <c:ptCount val="3"/>
                <c:pt idx="0">
                  <c:v>1.304</c:v>
                </c:pt>
                <c:pt idx="1">
                  <c:v>1.6970000000000001</c:v>
                </c:pt>
                <c:pt idx="2">
                  <c:v>0.185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74-479E-816B-7B834439A0E4}"/>
            </c:ext>
          </c:extLst>
        </c:ser>
        <c:ser>
          <c:idx val="9"/>
          <c:order val="9"/>
          <c:tx>
            <c:strRef>
              <c:f>Sheet1!$A$35</c:f>
              <c:strCache>
                <c:ptCount val="1"/>
                <c:pt idx="0">
                  <c:v>PLS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Sheet1!$B$35:$D$35</c:f>
              <c:numCache>
                <c:formatCode>General</c:formatCode>
                <c:ptCount val="3"/>
                <c:pt idx="0">
                  <c:v>1.2889999999999999</c:v>
                </c:pt>
                <c:pt idx="1">
                  <c:v>1.645</c:v>
                </c:pt>
                <c:pt idx="2">
                  <c:v>0.23300000000000001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74-479E-816B-7B834439A0E4}"/>
            </c:ext>
          </c:extLst>
        </c:ser>
        <c:ser>
          <c:idx val="10"/>
          <c:order val="10"/>
          <c:tx>
            <c:strRef>
              <c:f>Sheet1!$A$36</c:f>
              <c:strCache>
                <c:ptCount val="1"/>
                <c:pt idx="0">
                  <c:v>MLPR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MAE</c:v>
                </c:pt>
                <c:pt idx="1">
                  <c:v>RMSE</c:v>
                </c:pt>
                <c:pt idx="2">
                  <c:v>R2</c:v>
                </c:pt>
              </c:strCache>
            </c:strRef>
          </c:cat>
          <c:val>
            <c:numRef>
              <c:f>Sheet1!$B$36:$D$36</c:f>
              <c:numCache>
                <c:formatCode>General</c:formatCode>
                <c:ptCount val="3"/>
                <c:pt idx="0">
                  <c:v>1.353</c:v>
                </c:pt>
                <c:pt idx="1">
                  <c:v>1.804</c:v>
                </c:pt>
                <c:pt idx="2">
                  <c:v>7.5999999999999998E-2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74-479E-816B-7B834439A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918415"/>
        <c:axId val="533208431"/>
      </c:barChart>
      <c:catAx>
        <c:axId val="97591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08431"/>
        <c:crosses val="autoZero"/>
        <c:auto val="1"/>
        <c:lblAlgn val="ctr"/>
        <c:lblOffset val="100"/>
        <c:noMultiLvlLbl val="0"/>
      </c:catAx>
      <c:valAx>
        <c:axId val="533208431"/>
        <c:scaling>
          <c:orientation val="minMax"/>
          <c:max val="2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1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- Severity of Complications (Regression)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Sheet1!$HV$26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Sheet1!$HW$26:$IA$26</c:f>
              <c:numCache>
                <c:formatCode>General</c:formatCode>
                <c:ptCount val="5"/>
                <c:pt idx="0">
                  <c:v>1.7989999999999999</c:v>
                </c:pt>
                <c:pt idx="1">
                  <c:v>1356669348569.3999</c:v>
                </c:pt>
                <c:pt idx="2">
                  <c:v>9316319367.2439995</c:v>
                </c:pt>
                <c:pt idx="3">
                  <c:v>1.673</c:v>
                </c:pt>
                <c:pt idx="4">
                  <c:v>1.6619999999999999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C-49FC-8D4A-B123E1CA7D16}"/>
            </c:ext>
          </c:extLst>
        </c:ser>
        <c:ser>
          <c:idx val="1"/>
          <c:order val="1"/>
          <c:tx>
            <c:strRef>
              <c:f>Sheet1!$HV$27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Sheet1!$HW$27:$IA$27</c:f>
              <c:numCache>
                <c:formatCode>General</c:formatCode>
                <c:ptCount val="5"/>
                <c:pt idx="0">
                  <c:v>1.7629999999999999</c:v>
                </c:pt>
                <c:pt idx="1">
                  <c:v>1.728</c:v>
                </c:pt>
                <c:pt idx="2">
                  <c:v>1.631</c:v>
                </c:pt>
                <c:pt idx="3">
                  <c:v>1.623</c:v>
                </c:pt>
                <c:pt idx="4">
                  <c:v>1.6459999999999999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C-49FC-8D4A-B123E1CA7D16}"/>
            </c:ext>
          </c:extLst>
        </c:ser>
        <c:ser>
          <c:idx val="2"/>
          <c:order val="2"/>
          <c:tx>
            <c:strRef>
              <c:f>Sheet1!$HV$28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Sheet1!$HW$28:$IA$28</c:f>
              <c:numCache>
                <c:formatCode>General</c:formatCode>
                <c:ptCount val="5"/>
                <c:pt idx="0">
                  <c:v>1.66</c:v>
                </c:pt>
                <c:pt idx="1">
                  <c:v>1.909</c:v>
                </c:pt>
                <c:pt idx="2">
                  <c:v>2.3780000000000001</c:v>
                </c:pt>
                <c:pt idx="3">
                  <c:v>2.3780000000000001</c:v>
                </c:pt>
                <c:pt idx="4">
                  <c:v>2.3780000000000001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C-49FC-8D4A-B123E1CA7D16}"/>
            </c:ext>
          </c:extLst>
        </c:ser>
        <c:ser>
          <c:idx val="3"/>
          <c:order val="3"/>
          <c:tx>
            <c:strRef>
              <c:f>Sheet1!$HV$29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Sheet1!$HW$29:$IA$29</c:f>
              <c:numCache>
                <c:formatCode>General</c:formatCode>
                <c:ptCount val="5"/>
                <c:pt idx="0">
                  <c:v>1.7430000000000001</c:v>
                </c:pt>
                <c:pt idx="1">
                  <c:v>1.6819999999999999</c:v>
                </c:pt>
                <c:pt idx="2">
                  <c:v>1.671</c:v>
                </c:pt>
                <c:pt idx="3">
                  <c:v>1.7070000000000001</c:v>
                </c:pt>
                <c:pt idx="4">
                  <c:v>1.7470000000000001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C-49FC-8D4A-B123E1CA7D16}"/>
            </c:ext>
          </c:extLst>
        </c:ser>
        <c:ser>
          <c:idx val="4"/>
          <c:order val="4"/>
          <c:tx>
            <c:strRef>
              <c:f>Sheet1!$HV$30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Sheet1!$HW$30:$IA$30</c:f>
              <c:numCache>
                <c:formatCode>General</c:formatCode>
                <c:ptCount val="5"/>
                <c:pt idx="0">
                  <c:v>1.6579999999999999</c:v>
                </c:pt>
                <c:pt idx="1">
                  <c:v>1.909</c:v>
                </c:pt>
                <c:pt idx="2">
                  <c:v>2.3780000000000001</c:v>
                </c:pt>
                <c:pt idx="3">
                  <c:v>1.7629999999999999</c:v>
                </c:pt>
                <c:pt idx="4">
                  <c:v>1.8029999999999999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EC-49FC-8D4A-B123E1CA7D16}"/>
            </c:ext>
          </c:extLst>
        </c:ser>
        <c:ser>
          <c:idx val="5"/>
          <c:order val="5"/>
          <c:tx>
            <c:strRef>
              <c:f>Sheet1!$HV$31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Sheet1!$HW$31:$IA$31</c:f>
              <c:numCache>
                <c:formatCode>General</c:formatCode>
                <c:ptCount val="5"/>
                <c:pt idx="0">
                  <c:v>1.776</c:v>
                </c:pt>
                <c:pt idx="1">
                  <c:v>1.7589999999999999</c:v>
                </c:pt>
                <c:pt idx="2">
                  <c:v>1.7070000000000001</c:v>
                </c:pt>
                <c:pt idx="3">
                  <c:v>1.677</c:v>
                </c:pt>
                <c:pt idx="4">
                  <c:v>1.675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EC-49FC-8D4A-B123E1CA7D16}"/>
            </c:ext>
          </c:extLst>
        </c:ser>
        <c:ser>
          <c:idx val="6"/>
          <c:order val="6"/>
          <c:tx>
            <c:strRef>
              <c:f>Sheet1!$HV$32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Sheet1!$HW$32:$IA$32</c:f>
              <c:numCache>
                <c:formatCode>General</c:formatCode>
                <c:ptCount val="5"/>
                <c:pt idx="0">
                  <c:v>2.2930000000000001</c:v>
                </c:pt>
                <c:pt idx="1">
                  <c:v>2.29</c:v>
                </c:pt>
                <c:pt idx="2">
                  <c:v>1.885</c:v>
                </c:pt>
                <c:pt idx="3">
                  <c:v>1.86</c:v>
                </c:pt>
                <c:pt idx="4">
                  <c:v>1.865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EC-49FC-8D4A-B123E1CA7D16}"/>
            </c:ext>
          </c:extLst>
        </c:ser>
        <c:ser>
          <c:idx val="7"/>
          <c:order val="7"/>
          <c:tx>
            <c:strRef>
              <c:f>Sheet1!$HV$33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Sheet1!$HW$33:$IA$33</c:f>
              <c:numCache>
                <c:formatCode>General</c:formatCode>
                <c:ptCount val="5"/>
                <c:pt idx="0">
                  <c:v>1.673</c:v>
                </c:pt>
                <c:pt idx="1">
                  <c:v>1.673</c:v>
                </c:pt>
                <c:pt idx="2">
                  <c:v>1.7410000000000001</c:v>
                </c:pt>
                <c:pt idx="3">
                  <c:v>1.8</c:v>
                </c:pt>
                <c:pt idx="4">
                  <c:v>1.843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EC-49FC-8D4A-B123E1CA7D16}"/>
            </c:ext>
          </c:extLst>
        </c:ser>
        <c:ser>
          <c:idx val="8"/>
          <c:order val="8"/>
          <c:tx>
            <c:strRef>
              <c:f>Sheet1!$HV$34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Sheet1!$HW$34:$IA$34</c:f>
              <c:numCache>
                <c:formatCode>General</c:formatCode>
                <c:ptCount val="5"/>
                <c:pt idx="0">
                  <c:v>1.6970000000000001</c:v>
                </c:pt>
                <c:pt idx="1">
                  <c:v>1.698</c:v>
                </c:pt>
                <c:pt idx="2">
                  <c:v>1.7</c:v>
                </c:pt>
                <c:pt idx="3">
                  <c:v>1.776</c:v>
                </c:pt>
                <c:pt idx="4">
                  <c:v>1.7549999999999999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EC-49FC-8D4A-B123E1CA7D16}"/>
            </c:ext>
          </c:extLst>
        </c:ser>
        <c:ser>
          <c:idx val="9"/>
          <c:order val="9"/>
          <c:tx>
            <c:strRef>
              <c:f>Sheet1!$HV$35</c:f>
              <c:strCache>
                <c:ptCount val="1"/>
                <c:pt idx="0">
                  <c:v>PLS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Sheet1!$HW$35:$IA$35</c:f>
              <c:numCache>
                <c:formatCode>General</c:formatCode>
                <c:ptCount val="5"/>
                <c:pt idx="0">
                  <c:v>1.645</c:v>
                </c:pt>
                <c:pt idx="1">
                  <c:v>1.645</c:v>
                </c:pt>
                <c:pt idx="2">
                  <c:v>1.629</c:v>
                </c:pt>
                <c:pt idx="3">
                  <c:v>1.633</c:v>
                </c:pt>
                <c:pt idx="4">
                  <c:v>1.645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EC-49FC-8D4A-B123E1CA7D16}"/>
            </c:ext>
          </c:extLst>
        </c:ser>
        <c:ser>
          <c:idx val="10"/>
          <c:order val="10"/>
          <c:tx>
            <c:strRef>
              <c:f>Sheet1!$HV$36</c:f>
              <c:strCache>
                <c:ptCount val="1"/>
                <c:pt idx="0">
                  <c:v>MLPR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Sheet1!$HW$36:$IA$36</c:f>
              <c:numCache>
                <c:formatCode>General</c:formatCode>
                <c:ptCount val="5"/>
                <c:pt idx="0">
                  <c:v>1.804</c:v>
                </c:pt>
                <c:pt idx="1">
                  <c:v>1.8939999999999999</c:v>
                </c:pt>
                <c:pt idx="2">
                  <c:v>1.651</c:v>
                </c:pt>
                <c:pt idx="3">
                  <c:v>1.617</c:v>
                </c:pt>
                <c:pt idx="4">
                  <c:v>1.645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EC-49FC-8D4A-B123E1CA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04752"/>
        <c:axId val="2008843360"/>
      </c:lineChart>
      <c:catAx>
        <c:axId val="1054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43360"/>
        <c:crosses val="autoZero"/>
        <c:auto val="1"/>
        <c:lblAlgn val="ctr"/>
        <c:lblOffset val="100"/>
        <c:noMultiLvlLbl val="0"/>
      </c:catAx>
      <c:valAx>
        <c:axId val="2008843360"/>
        <c:scaling>
          <c:orientation val="minMax"/>
          <c:max val="1.7000000000000002"/>
          <c:min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30000"/>
              <a:t>2</a:t>
            </a:r>
            <a:r>
              <a:rPr lang="en-US" baseline="0"/>
              <a:t> - Severity of Complications (Regression)</a:t>
            </a:r>
            <a:endParaRPr lang="en-US" baseline="30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Sheet1!$IJ$26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Sheet1!$IK$26:$IO$26</c:f>
              <c:numCache>
                <c:formatCode>General</c:formatCode>
                <c:ptCount val="5"/>
                <c:pt idx="0">
                  <c:v>8.5000000000000006E-2</c:v>
                </c:pt>
                <c:pt idx="1">
                  <c:v>-2.8640438780803798E+24</c:v>
                </c:pt>
                <c:pt idx="2">
                  <c:v>-2.5623807886219602E+20</c:v>
                </c:pt>
                <c:pt idx="3">
                  <c:v>0.20899999999999999</c:v>
                </c:pt>
                <c:pt idx="4">
                  <c:v>0.219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3-4133-B25C-64C3C038E289}"/>
            </c:ext>
          </c:extLst>
        </c:ser>
        <c:ser>
          <c:idx val="1"/>
          <c:order val="1"/>
          <c:tx>
            <c:strRef>
              <c:f>Sheet1!$IJ$27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Sheet1!$IK$27:$IO$27</c:f>
              <c:numCache>
                <c:formatCode>General</c:formatCode>
                <c:ptCount val="5"/>
                <c:pt idx="0">
                  <c:v>0.125</c:v>
                </c:pt>
                <c:pt idx="1">
                  <c:v>0.158</c:v>
                </c:pt>
                <c:pt idx="2">
                  <c:v>0.248</c:v>
                </c:pt>
                <c:pt idx="3">
                  <c:v>0.253</c:v>
                </c:pt>
                <c:pt idx="4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3-4133-B25C-64C3C038E289}"/>
            </c:ext>
          </c:extLst>
        </c:ser>
        <c:ser>
          <c:idx val="2"/>
          <c:order val="2"/>
          <c:tx>
            <c:strRef>
              <c:f>Sheet1!$IJ$28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Sheet1!$IK$28:$IO$28</c:f>
              <c:numCache>
                <c:formatCode>General</c:formatCode>
                <c:ptCount val="5"/>
                <c:pt idx="0">
                  <c:v>0.221</c:v>
                </c:pt>
                <c:pt idx="1">
                  <c:v>-2.1000000000000001E-2</c:v>
                </c:pt>
                <c:pt idx="2">
                  <c:v>-0.58399999999999996</c:v>
                </c:pt>
                <c:pt idx="3">
                  <c:v>-0.58399999999999996</c:v>
                </c:pt>
                <c:pt idx="4">
                  <c:v>-0.58399999999999996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3-4133-B25C-64C3C038E289}"/>
            </c:ext>
          </c:extLst>
        </c:ser>
        <c:ser>
          <c:idx val="3"/>
          <c:order val="3"/>
          <c:tx>
            <c:strRef>
              <c:f>Sheet1!$IJ$29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Sheet1!$IK$29:$IO$29</c:f>
              <c:numCache>
                <c:formatCode>General</c:formatCode>
                <c:ptCount val="5"/>
                <c:pt idx="0">
                  <c:v>0.13800000000000001</c:v>
                </c:pt>
                <c:pt idx="1">
                  <c:v>0.19600000000000001</c:v>
                </c:pt>
                <c:pt idx="2">
                  <c:v>0.20399999999999999</c:v>
                </c:pt>
                <c:pt idx="3">
                  <c:v>0.17199999999999999</c:v>
                </c:pt>
                <c:pt idx="4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B3-4133-B25C-64C3C038E289}"/>
            </c:ext>
          </c:extLst>
        </c:ser>
        <c:ser>
          <c:idx val="4"/>
          <c:order val="4"/>
          <c:tx>
            <c:strRef>
              <c:f>Sheet1!$IJ$30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Sheet1!$IK$30:$IO$30</c:f>
              <c:numCache>
                <c:formatCode>General</c:formatCode>
                <c:ptCount val="5"/>
                <c:pt idx="0">
                  <c:v>0.222</c:v>
                </c:pt>
                <c:pt idx="1">
                  <c:v>-2.1000000000000001E-2</c:v>
                </c:pt>
                <c:pt idx="2">
                  <c:v>-0.58399999999999996</c:v>
                </c:pt>
                <c:pt idx="3">
                  <c:v>0.13</c:v>
                </c:pt>
                <c:pt idx="4">
                  <c:v>9.0999999999999998E-2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B3-4133-B25C-64C3C038E289}"/>
            </c:ext>
          </c:extLst>
        </c:ser>
        <c:ser>
          <c:idx val="5"/>
          <c:order val="5"/>
          <c:tx>
            <c:strRef>
              <c:f>Sheet1!$IJ$31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Sheet1!$IK$31:$IO$31</c:f>
              <c:numCache>
                <c:formatCode>General</c:formatCode>
                <c:ptCount val="5"/>
                <c:pt idx="0">
                  <c:v>0.111</c:v>
                </c:pt>
                <c:pt idx="1">
                  <c:v>0.126</c:v>
                </c:pt>
                <c:pt idx="2">
                  <c:v>0.17799999999999999</c:v>
                </c:pt>
                <c:pt idx="3">
                  <c:v>0.20799999999999999</c:v>
                </c:pt>
                <c:pt idx="4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B3-4133-B25C-64C3C038E289}"/>
            </c:ext>
          </c:extLst>
        </c:ser>
        <c:ser>
          <c:idx val="6"/>
          <c:order val="6"/>
          <c:tx>
            <c:strRef>
              <c:f>Sheet1!$IJ$32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Sheet1!$IK$32:$IO$32</c:f>
              <c:numCache>
                <c:formatCode>General</c:formatCode>
                <c:ptCount val="5"/>
                <c:pt idx="0">
                  <c:v>-0.50900000000000001</c:v>
                </c:pt>
                <c:pt idx="1">
                  <c:v>-0.50600000000000001</c:v>
                </c:pt>
                <c:pt idx="2">
                  <c:v>-5.0000000000000001E-3</c:v>
                </c:pt>
                <c:pt idx="3">
                  <c:v>1.7000000000000001E-2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B3-4133-B25C-64C3C038E289}"/>
            </c:ext>
          </c:extLst>
        </c:ser>
        <c:ser>
          <c:idx val="7"/>
          <c:order val="7"/>
          <c:tx>
            <c:strRef>
              <c:f>Sheet1!$IJ$33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Sheet1!$IK$33:$IO$33</c:f>
              <c:numCache>
                <c:formatCode>General</c:formatCode>
                <c:ptCount val="5"/>
                <c:pt idx="0">
                  <c:v>0.20200000000000001</c:v>
                </c:pt>
                <c:pt idx="1">
                  <c:v>0.20200000000000001</c:v>
                </c:pt>
                <c:pt idx="2">
                  <c:v>0.13900000000000001</c:v>
                </c:pt>
                <c:pt idx="3">
                  <c:v>8.2000000000000003E-2</c:v>
                </c:pt>
                <c:pt idx="4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B3-4133-B25C-64C3C038E289}"/>
            </c:ext>
          </c:extLst>
        </c:ser>
        <c:ser>
          <c:idx val="8"/>
          <c:order val="8"/>
          <c:tx>
            <c:strRef>
              <c:f>Sheet1!$IJ$34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Sheet1!$IK$34:$IO$34</c:f>
              <c:numCache>
                <c:formatCode>General</c:formatCode>
                <c:ptCount val="5"/>
                <c:pt idx="0">
                  <c:v>0.185</c:v>
                </c:pt>
                <c:pt idx="1">
                  <c:v>0.184</c:v>
                </c:pt>
                <c:pt idx="2">
                  <c:v>0.183</c:v>
                </c:pt>
                <c:pt idx="3">
                  <c:v>0.108</c:v>
                </c:pt>
                <c:pt idx="4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B3-4133-B25C-64C3C038E289}"/>
            </c:ext>
          </c:extLst>
        </c:ser>
        <c:ser>
          <c:idx val="9"/>
          <c:order val="9"/>
          <c:tx>
            <c:strRef>
              <c:f>Sheet1!$IJ$35</c:f>
              <c:strCache>
                <c:ptCount val="1"/>
                <c:pt idx="0">
                  <c:v>PLS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Sheet1!$IK$35:$IO$35</c:f>
              <c:numCache>
                <c:formatCode>General</c:formatCode>
                <c:ptCount val="5"/>
                <c:pt idx="0">
                  <c:v>0.23300000000000001</c:v>
                </c:pt>
                <c:pt idx="1">
                  <c:v>0.23300000000000001</c:v>
                </c:pt>
                <c:pt idx="2">
                  <c:v>0.248</c:v>
                </c:pt>
                <c:pt idx="3">
                  <c:v>0.24399999999999999</c:v>
                </c:pt>
                <c:pt idx="4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B3-4133-B25C-64C3C038E289}"/>
            </c:ext>
          </c:extLst>
        </c:ser>
        <c:ser>
          <c:idx val="10"/>
          <c:order val="10"/>
          <c:tx>
            <c:strRef>
              <c:f>Sheet1!$IJ$36</c:f>
              <c:strCache>
                <c:ptCount val="1"/>
                <c:pt idx="0">
                  <c:v>MLPR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Sheet1!$IK$36:$IO$36</c:f>
              <c:numCache>
                <c:formatCode>General</c:formatCode>
                <c:ptCount val="5"/>
                <c:pt idx="0">
                  <c:v>7.5999999999999998E-2</c:v>
                </c:pt>
                <c:pt idx="1">
                  <c:v>-2.8000000000000001E-2</c:v>
                </c:pt>
                <c:pt idx="2">
                  <c:v>0.22500000000000001</c:v>
                </c:pt>
                <c:pt idx="3">
                  <c:v>0.25800000000000001</c:v>
                </c:pt>
                <c:pt idx="4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B3-4133-B25C-64C3C038E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65504"/>
        <c:axId val="2008848352"/>
      </c:lineChart>
      <c:catAx>
        <c:axId val="9276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48352"/>
        <c:crosses val="autoZero"/>
        <c:auto val="1"/>
        <c:lblAlgn val="ctr"/>
        <c:lblOffset val="100"/>
        <c:noMultiLvlLbl val="0"/>
      </c:catAx>
      <c:valAx>
        <c:axId val="2008848352"/>
        <c:scaling>
          <c:orientation val="minMax"/>
          <c:max val="0.3000000000000000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- Severity of Complications (Regression)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Sheet1!$IX$26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Sheet1!$IY$26:$JC$26</c:f>
              <c:numCache>
                <c:formatCode>General</c:formatCode>
                <c:ptCount val="5"/>
                <c:pt idx="0">
                  <c:v>0.32500000000000001</c:v>
                </c:pt>
                <c:pt idx="1">
                  <c:v>0.33800000000000002</c:v>
                </c:pt>
                <c:pt idx="2">
                  <c:v>0.318</c:v>
                </c:pt>
                <c:pt idx="3">
                  <c:v>0.34699999999999998</c:v>
                </c:pt>
                <c:pt idx="4">
                  <c:v>0.34799999999999998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5-42A5-900B-901AD05C6518}"/>
            </c:ext>
          </c:extLst>
        </c:ser>
        <c:ser>
          <c:idx val="1"/>
          <c:order val="1"/>
          <c:tx>
            <c:strRef>
              <c:f>Sheet1!$IX$27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Sheet1!$IY$27:$JC$27</c:f>
              <c:numCache>
                <c:formatCode>General</c:formatCode>
                <c:ptCount val="5"/>
                <c:pt idx="0">
                  <c:v>0.33700000000000002</c:v>
                </c:pt>
                <c:pt idx="1">
                  <c:v>0.35799999999999998</c:v>
                </c:pt>
                <c:pt idx="2">
                  <c:v>0.32400000000000001</c:v>
                </c:pt>
                <c:pt idx="3">
                  <c:v>0.34200000000000003</c:v>
                </c:pt>
                <c:pt idx="4">
                  <c:v>0.32400000000000001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5-42A5-900B-901AD05C6518}"/>
            </c:ext>
          </c:extLst>
        </c:ser>
        <c:ser>
          <c:idx val="2"/>
          <c:order val="2"/>
          <c:tx>
            <c:strRef>
              <c:f>Sheet1!$IX$28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Sheet1!$IY$28:$JC$28</c:f>
              <c:numCache>
                <c:formatCode>General</c:formatCode>
                <c:ptCount val="5"/>
                <c:pt idx="0">
                  <c:v>0.29499999999999998</c:v>
                </c:pt>
                <c:pt idx="1">
                  <c:v>0.04</c:v>
                </c:pt>
                <c:pt idx="2">
                  <c:v>0.53200000000000003</c:v>
                </c:pt>
                <c:pt idx="3">
                  <c:v>0.53200000000000003</c:v>
                </c:pt>
                <c:pt idx="4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5-42A5-900B-901AD05C6518}"/>
            </c:ext>
          </c:extLst>
        </c:ser>
        <c:ser>
          <c:idx val="3"/>
          <c:order val="3"/>
          <c:tx>
            <c:strRef>
              <c:f>Sheet1!$IX$29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Sheet1!$IY$29:$JC$29</c:f>
              <c:numCache>
                <c:formatCode>General</c:formatCode>
                <c:ptCount val="5"/>
                <c:pt idx="0">
                  <c:v>0.47199999999999998</c:v>
                </c:pt>
                <c:pt idx="1">
                  <c:v>0.46800000000000003</c:v>
                </c:pt>
                <c:pt idx="2">
                  <c:v>0.46600000000000003</c:v>
                </c:pt>
                <c:pt idx="3">
                  <c:v>0.46800000000000003</c:v>
                </c:pt>
                <c:pt idx="4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5-42A5-900B-901AD05C6518}"/>
            </c:ext>
          </c:extLst>
        </c:ser>
        <c:ser>
          <c:idx val="4"/>
          <c:order val="4"/>
          <c:tx>
            <c:strRef>
              <c:f>Sheet1!$IX$30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Sheet1!$IY$30:$JC$30</c:f>
              <c:numCache>
                <c:formatCode>General</c:formatCode>
                <c:ptCount val="5"/>
                <c:pt idx="0">
                  <c:v>0.29699999999999999</c:v>
                </c:pt>
                <c:pt idx="1">
                  <c:v>0.04</c:v>
                </c:pt>
                <c:pt idx="2">
                  <c:v>0.53200000000000003</c:v>
                </c:pt>
                <c:pt idx="3">
                  <c:v>0.248</c:v>
                </c:pt>
                <c:pt idx="4">
                  <c:v>0.40899999999999997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5-42A5-900B-901AD05C6518}"/>
            </c:ext>
          </c:extLst>
        </c:ser>
        <c:ser>
          <c:idx val="5"/>
          <c:order val="5"/>
          <c:tx>
            <c:strRef>
              <c:f>Sheet1!$IX$31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Sheet1!$IY$31:$JC$31</c:f>
              <c:numCache>
                <c:formatCode>General</c:formatCode>
                <c:ptCount val="5"/>
                <c:pt idx="0">
                  <c:v>0.36599999999999999</c:v>
                </c:pt>
                <c:pt idx="1">
                  <c:v>0.372</c:v>
                </c:pt>
                <c:pt idx="2">
                  <c:v>0.374</c:v>
                </c:pt>
                <c:pt idx="3">
                  <c:v>0.34899999999999998</c:v>
                </c:pt>
                <c:pt idx="4">
                  <c:v>0.36799999999999999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55-42A5-900B-901AD05C6518}"/>
            </c:ext>
          </c:extLst>
        </c:ser>
        <c:ser>
          <c:idx val="6"/>
          <c:order val="6"/>
          <c:tx>
            <c:strRef>
              <c:f>Sheet1!$IX$32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Sheet1!$IY$32:$JC$32</c:f>
              <c:numCache>
                <c:formatCode>General</c:formatCode>
                <c:ptCount val="5"/>
                <c:pt idx="0">
                  <c:v>0.432</c:v>
                </c:pt>
                <c:pt idx="1">
                  <c:v>0.43099999999999999</c:v>
                </c:pt>
                <c:pt idx="2">
                  <c:v>0.51700000000000002</c:v>
                </c:pt>
                <c:pt idx="3">
                  <c:v>0.502</c:v>
                </c:pt>
                <c:pt idx="4">
                  <c:v>0.51800000000000002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55-42A5-900B-901AD05C6518}"/>
            </c:ext>
          </c:extLst>
        </c:ser>
        <c:ser>
          <c:idx val="7"/>
          <c:order val="7"/>
          <c:tx>
            <c:strRef>
              <c:f>Sheet1!$IX$33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Sheet1!$IY$33:$JC$33</c:f>
              <c:numCache>
                <c:formatCode>General</c:formatCode>
                <c:ptCount val="5"/>
                <c:pt idx="0">
                  <c:v>0.33400000000000002</c:v>
                </c:pt>
                <c:pt idx="1">
                  <c:v>0.33700000000000002</c:v>
                </c:pt>
                <c:pt idx="2">
                  <c:v>0.48699999999999999</c:v>
                </c:pt>
                <c:pt idx="3">
                  <c:v>0.496</c:v>
                </c:pt>
                <c:pt idx="4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55-42A5-900B-901AD05C6518}"/>
            </c:ext>
          </c:extLst>
        </c:ser>
        <c:ser>
          <c:idx val="8"/>
          <c:order val="8"/>
          <c:tx>
            <c:strRef>
              <c:f>Sheet1!$IX$34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Sheet1!$IY$34:$JC$34</c:f>
              <c:numCache>
                <c:formatCode>General</c:formatCode>
                <c:ptCount val="5"/>
                <c:pt idx="0">
                  <c:v>0.35</c:v>
                </c:pt>
                <c:pt idx="1">
                  <c:v>0.35</c:v>
                </c:pt>
                <c:pt idx="2">
                  <c:v>0.40100000000000002</c:v>
                </c:pt>
                <c:pt idx="3">
                  <c:v>0.41699999999999998</c:v>
                </c:pt>
                <c:pt idx="4">
                  <c:v>0.40899999999999997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55-42A5-900B-901AD05C6518}"/>
            </c:ext>
          </c:extLst>
        </c:ser>
        <c:ser>
          <c:idx val="9"/>
          <c:order val="9"/>
          <c:tx>
            <c:strRef>
              <c:f>Sheet1!$IX$35</c:f>
              <c:strCache>
                <c:ptCount val="1"/>
                <c:pt idx="0">
                  <c:v>PLS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Sheet1!$IY$35:$JC$35</c:f>
              <c:numCache>
                <c:formatCode>General</c:formatCode>
                <c:ptCount val="5"/>
                <c:pt idx="0">
                  <c:v>0.34200000000000003</c:v>
                </c:pt>
                <c:pt idx="1">
                  <c:v>0.34200000000000003</c:v>
                </c:pt>
                <c:pt idx="2">
                  <c:v>0.34200000000000003</c:v>
                </c:pt>
                <c:pt idx="3">
                  <c:v>0.35699999999999998</c:v>
                </c:pt>
                <c:pt idx="4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55-42A5-900B-901AD05C6518}"/>
            </c:ext>
          </c:extLst>
        </c:ser>
        <c:ser>
          <c:idx val="10"/>
          <c:order val="10"/>
          <c:tx>
            <c:strRef>
              <c:f>Sheet1!$IX$36</c:f>
              <c:strCache>
                <c:ptCount val="1"/>
                <c:pt idx="0">
                  <c:v>MLPR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Sheet1!$IY$36:$JC$36</c:f>
              <c:numCache>
                <c:formatCode>General</c:formatCode>
                <c:ptCount val="5"/>
                <c:pt idx="0">
                  <c:v>0.36799999999999999</c:v>
                </c:pt>
                <c:pt idx="1">
                  <c:v>0.36099999999999999</c:v>
                </c:pt>
                <c:pt idx="2">
                  <c:v>0.33500000000000002</c:v>
                </c:pt>
                <c:pt idx="3">
                  <c:v>0.34899999999999998</c:v>
                </c:pt>
                <c:pt idx="4">
                  <c:v>0.34699999999999998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55-42A5-900B-901AD05C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418960"/>
        <c:axId val="2008857504"/>
      </c:lineChart>
      <c:catAx>
        <c:axId val="28341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57504"/>
        <c:crosses val="autoZero"/>
        <c:auto val="1"/>
        <c:lblAlgn val="ctr"/>
        <c:lblOffset val="100"/>
        <c:noMultiLvlLbl val="0"/>
      </c:catAx>
      <c:valAx>
        <c:axId val="200885750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1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Kappa - Severity of</a:t>
            </a:r>
            <a:r>
              <a:rPr lang="en-US" baseline="0"/>
              <a:t> Complications (Regression)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Sheet1!$JL$26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Sheet1!$JM$26:$JQ$26</c:f>
              <c:numCache>
                <c:formatCode>General</c:formatCode>
                <c:ptCount val="5"/>
                <c:pt idx="0">
                  <c:v>8.5999999999999993E-2</c:v>
                </c:pt>
                <c:pt idx="1">
                  <c:v>9.4E-2</c:v>
                </c:pt>
                <c:pt idx="2">
                  <c:v>8.7999999999999995E-2</c:v>
                </c:pt>
                <c:pt idx="3">
                  <c:v>0.12</c:v>
                </c:pt>
                <c:pt idx="4">
                  <c:v>0.11700000000000001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7-4260-AAD5-723BC425984A}"/>
            </c:ext>
          </c:extLst>
        </c:ser>
        <c:ser>
          <c:idx val="1"/>
          <c:order val="1"/>
          <c:tx>
            <c:strRef>
              <c:f>Sheet1!$JL$27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Sheet1!$JM$27:$JQ$27</c:f>
              <c:numCache>
                <c:formatCode>General</c:formatCode>
                <c:ptCount val="5"/>
                <c:pt idx="0">
                  <c:v>0.10100000000000001</c:v>
                </c:pt>
                <c:pt idx="1">
                  <c:v>0.121</c:v>
                </c:pt>
                <c:pt idx="2">
                  <c:v>0.112</c:v>
                </c:pt>
                <c:pt idx="3">
                  <c:v>0.11799999999999999</c:v>
                </c:pt>
                <c:pt idx="4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7-4260-AAD5-723BC425984A}"/>
            </c:ext>
          </c:extLst>
        </c:ser>
        <c:ser>
          <c:idx val="2"/>
          <c:order val="2"/>
          <c:tx>
            <c:strRef>
              <c:f>Sheet1!$JL$28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Sheet1!$JM$28:$JQ$28</c:f>
              <c:numCache>
                <c:formatCode>General</c:formatCode>
                <c:ptCount val="5"/>
                <c:pt idx="0">
                  <c:v>9.1999999999999998E-2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7-4260-AAD5-723BC425984A}"/>
            </c:ext>
          </c:extLst>
        </c:ser>
        <c:ser>
          <c:idx val="3"/>
          <c:order val="3"/>
          <c:tx>
            <c:strRef>
              <c:f>Sheet1!$JL$29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Sheet1!$JM$29:$JQ$29</c:f>
              <c:numCache>
                <c:formatCode>General</c:formatCode>
                <c:ptCount val="5"/>
                <c:pt idx="0">
                  <c:v>0.121</c:v>
                </c:pt>
                <c:pt idx="1">
                  <c:v>0.154</c:v>
                </c:pt>
                <c:pt idx="2">
                  <c:v>0.161</c:v>
                </c:pt>
                <c:pt idx="3">
                  <c:v>0.14000000000000001</c:v>
                </c:pt>
                <c:pt idx="4">
                  <c:v>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7-4260-AAD5-723BC425984A}"/>
            </c:ext>
          </c:extLst>
        </c:ser>
        <c:ser>
          <c:idx val="4"/>
          <c:order val="4"/>
          <c:tx>
            <c:strRef>
              <c:f>Sheet1!$JL$30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Sheet1!$JM$30:$JQ$30</c:f>
              <c:numCache>
                <c:formatCode>General</c:formatCode>
                <c:ptCount val="5"/>
                <c:pt idx="0">
                  <c:v>8.8999999999999996E-2</c:v>
                </c:pt>
                <c:pt idx="1">
                  <c:v>0</c:v>
                </c:pt>
                <c:pt idx="2">
                  <c:v>0</c:v>
                </c:pt>
                <c:pt idx="3">
                  <c:v>0.06</c:v>
                </c:pt>
                <c:pt idx="4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7-4260-AAD5-723BC425984A}"/>
            </c:ext>
          </c:extLst>
        </c:ser>
        <c:ser>
          <c:idx val="5"/>
          <c:order val="5"/>
          <c:tx>
            <c:strRef>
              <c:f>Sheet1!$JL$31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Sheet1!$JM$31:$JQ$31</c:f>
              <c:numCache>
                <c:formatCode>General</c:formatCode>
                <c:ptCount val="5"/>
                <c:pt idx="0">
                  <c:v>0.113</c:v>
                </c:pt>
                <c:pt idx="1">
                  <c:v>6.7000000000000004E-2</c:v>
                </c:pt>
                <c:pt idx="2">
                  <c:v>0.10299999999999999</c:v>
                </c:pt>
                <c:pt idx="3">
                  <c:v>9.9000000000000005E-2</c:v>
                </c:pt>
                <c:pt idx="4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87-4260-AAD5-723BC425984A}"/>
            </c:ext>
          </c:extLst>
        </c:ser>
        <c:ser>
          <c:idx val="6"/>
          <c:order val="6"/>
          <c:tx>
            <c:strRef>
              <c:f>Sheet1!$JL$32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Sheet1!$JM$32:$JQ$32</c:f>
              <c:numCache>
                <c:formatCode>General</c:formatCode>
                <c:ptCount val="5"/>
                <c:pt idx="0">
                  <c:v>0.105</c:v>
                </c:pt>
                <c:pt idx="1">
                  <c:v>0.105</c:v>
                </c:pt>
                <c:pt idx="2">
                  <c:v>0.191</c:v>
                </c:pt>
                <c:pt idx="3">
                  <c:v>0.19700000000000001</c:v>
                </c:pt>
                <c:pt idx="4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87-4260-AAD5-723BC425984A}"/>
            </c:ext>
          </c:extLst>
        </c:ser>
        <c:ser>
          <c:idx val="7"/>
          <c:order val="7"/>
          <c:tx>
            <c:strRef>
              <c:f>Sheet1!$JL$33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Sheet1!$JM$33:$JQ$33</c:f>
              <c:numCache>
                <c:formatCode>General</c:formatCode>
                <c:ptCount val="5"/>
                <c:pt idx="0">
                  <c:v>0.113</c:v>
                </c:pt>
                <c:pt idx="1">
                  <c:v>0.115</c:v>
                </c:pt>
                <c:pt idx="2">
                  <c:v>0.14199999999999999</c:v>
                </c:pt>
                <c:pt idx="3">
                  <c:v>0.121</c:v>
                </c:pt>
                <c:pt idx="4">
                  <c:v>0.126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87-4260-AAD5-723BC425984A}"/>
            </c:ext>
          </c:extLst>
        </c:ser>
        <c:ser>
          <c:idx val="8"/>
          <c:order val="8"/>
          <c:tx>
            <c:strRef>
              <c:f>Sheet1!$JL$34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Sheet1!$JM$34:$JQ$34</c:f>
              <c:numCache>
                <c:formatCode>General</c:formatCode>
                <c:ptCount val="5"/>
                <c:pt idx="0">
                  <c:v>0.12</c:v>
                </c:pt>
                <c:pt idx="1">
                  <c:v>0.12</c:v>
                </c:pt>
                <c:pt idx="2">
                  <c:v>0.13100000000000001</c:v>
                </c:pt>
                <c:pt idx="3">
                  <c:v>0.123</c:v>
                </c:pt>
                <c:pt idx="4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87-4260-AAD5-723BC425984A}"/>
            </c:ext>
          </c:extLst>
        </c:ser>
        <c:ser>
          <c:idx val="9"/>
          <c:order val="9"/>
          <c:tx>
            <c:strRef>
              <c:f>Sheet1!$JL$35</c:f>
              <c:strCache>
                <c:ptCount val="1"/>
                <c:pt idx="0">
                  <c:v>PLS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Sheet1!$JM$35:$JQ$35</c:f>
              <c:numCache>
                <c:formatCode>General</c:formatCode>
                <c:ptCount val="5"/>
                <c:pt idx="0">
                  <c:v>0.11799999999999999</c:v>
                </c:pt>
                <c:pt idx="1">
                  <c:v>0.11799999999999999</c:v>
                </c:pt>
                <c:pt idx="2">
                  <c:v>0.126</c:v>
                </c:pt>
                <c:pt idx="3">
                  <c:v>0.11899999999999999</c:v>
                </c:pt>
                <c:pt idx="4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87-4260-AAD5-723BC425984A}"/>
            </c:ext>
          </c:extLst>
        </c:ser>
        <c:ser>
          <c:idx val="10"/>
          <c:order val="10"/>
          <c:tx>
            <c:strRef>
              <c:f>Sheet1!$JL$36</c:f>
              <c:strCache>
                <c:ptCount val="1"/>
                <c:pt idx="0">
                  <c:v>MLPR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Sheet1!$JM$36:$JQ$36</c:f>
              <c:numCache>
                <c:formatCode>General</c:formatCode>
                <c:ptCount val="5"/>
                <c:pt idx="0">
                  <c:v>0.11799999999999999</c:v>
                </c:pt>
                <c:pt idx="1">
                  <c:v>0.112</c:v>
                </c:pt>
                <c:pt idx="2">
                  <c:v>0.12</c:v>
                </c:pt>
                <c:pt idx="3">
                  <c:v>0.105</c:v>
                </c:pt>
                <c:pt idx="4">
                  <c:v>0.112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87-4260-AAD5-723BC4259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79504"/>
        <c:axId val="2008855424"/>
      </c:lineChart>
      <c:catAx>
        <c:axId val="927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55424"/>
        <c:crosses val="autoZero"/>
        <c:auto val="1"/>
        <c:lblAlgn val="ctr"/>
        <c:lblOffset val="100"/>
        <c:noMultiLvlLbl val="0"/>
      </c:catAx>
      <c:valAx>
        <c:axId val="2008855424"/>
        <c:scaling>
          <c:orientation val="minMax"/>
          <c:max val="0.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- Severity of Complications (Regression)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Sheet1!$JZ$26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Sheet1!$KA$26:$KE$26</c:f>
              <c:numCache>
                <c:formatCode>General</c:formatCode>
                <c:ptCount val="5"/>
                <c:pt idx="0">
                  <c:v>0.14944444444444444</c:v>
                </c:pt>
                <c:pt idx="1">
                  <c:v>0.17774999999999999</c:v>
                </c:pt>
                <c:pt idx="2">
                  <c:v>0.172125</c:v>
                </c:pt>
                <c:pt idx="3">
                  <c:v>0.168625</c:v>
                </c:pt>
                <c:pt idx="4">
                  <c:v>0.171125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0-481D-B5FC-9F1CC633B63F}"/>
            </c:ext>
          </c:extLst>
        </c:ser>
        <c:ser>
          <c:idx val="1"/>
          <c:order val="1"/>
          <c:tx>
            <c:strRef>
              <c:f>Sheet1!$JZ$27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Sheet1!$KA$27:$KE$27</c:f>
              <c:numCache>
                <c:formatCode>General</c:formatCode>
                <c:ptCount val="5"/>
                <c:pt idx="0">
                  <c:v>0.17000000000000004</c:v>
                </c:pt>
                <c:pt idx="1">
                  <c:v>0.20562500000000003</c:v>
                </c:pt>
                <c:pt idx="2">
                  <c:v>0.18437500000000001</c:v>
                </c:pt>
                <c:pt idx="3">
                  <c:v>0.17762499999999998</c:v>
                </c:pt>
                <c:pt idx="4">
                  <c:v>0.15412500000000001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0-481D-B5FC-9F1CC633B63F}"/>
            </c:ext>
          </c:extLst>
        </c:ser>
        <c:ser>
          <c:idx val="2"/>
          <c:order val="2"/>
          <c:tx>
            <c:strRef>
              <c:f>Sheet1!$JZ$28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Sheet1!$KA$28:$KE$28</c:f>
              <c:numCache>
                <c:formatCode>General</c:formatCode>
                <c:ptCount val="5"/>
                <c:pt idx="0">
                  <c:v>0.11966666666666666</c:v>
                </c:pt>
                <c:pt idx="1">
                  <c:v>0.1125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0-481D-B5FC-9F1CC633B63F}"/>
            </c:ext>
          </c:extLst>
        </c:ser>
        <c:ser>
          <c:idx val="3"/>
          <c:order val="3"/>
          <c:tx>
            <c:strRef>
              <c:f>Sheet1!$JZ$29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Sheet1!$KA$29:$KE$29</c:f>
              <c:numCache>
                <c:formatCode>General</c:formatCode>
                <c:ptCount val="5"/>
                <c:pt idx="0">
                  <c:v>0.1401111111111111</c:v>
                </c:pt>
                <c:pt idx="1">
                  <c:v>0.145125</c:v>
                </c:pt>
                <c:pt idx="2">
                  <c:v>0.15525</c:v>
                </c:pt>
                <c:pt idx="3">
                  <c:v>0.17162500000000003</c:v>
                </c:pt>
                <c:pt idx="4">
                  <c:v>0.15737500000000001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40-481D-B5FC-9F1CC633B63F}"/>
            </c:ext>
          </c:extLst>
        </c:ser>
        <c:ser>
          <c:idx val="4"/>
          <c:order val="4"/>
          <c:tx>
            <c:strRef>
              <c:f>Sheet1!$JZ$30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Sheet1!$KA$30:$KE$30</c:f>
              <c:numCache>
                <c:formatCode>General</c:formatCode>
                <c:ptCount val="5"/>
                <c:pt idx="0">
                  <c:v>0.13444444444444445</c:v>
                </c:pt>
                <c:pt idx="1">
                  <c:v>0.1125</c:v>
                </c:pt>
                <c:pt idx="2">
                  <c:v>0.125</c:v>
                </c:pt>
                <c:pt idx="3">
                  <c:v>0.113125</c:v>
                </c:pt>
                <c:pt idx="4">
                  <c:v>0.13012499999999999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40-481D-B5FC-9F1CC633B63F}"/>
            </c:ext>
          </c:extLst>
        </c:ser>
        <c:ser>
          <c:idx val="5"/>
          <c:order val="5"/>
          <c:tx>
            <c:strRef>
              <c:f>Sheet1!$JZ$31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Sheet1!$KA$31:$KE$31</c:f>
              <c:numCache>
                <c:formatCode>General</c:formatCode>
                <c:ptCount val="5"/>
                <c:pt idx="0">
                  <c:v>0.16922222222222227</c:v>
                </c:pt>
                <c:pt idx="1">
                  <c:v>0.14987500000000001</c:v>
                </c:pt>
                <c:pt idx="2">
                  <c:v>0.14212500000000003</c:v>
                </c:pt>
                <c:pt idx="3">
                  <c:v>0.13325000000000001</c:v>
                </c:pt>
                <c:pt idx="4">
                  <c:v>0.15862499999999999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40-481D-B5FC-9F1CC633B63F}"/>
            </c:ext>
          </c:extLst>
        </c:ser>
        <c:ser>
          <c:idx val="6"/>
          <c:order val="6"/>
          <c:tx>
            <c:strRef>
              <c:f>Sheet1!$JZ$32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Sheet1!$KA$32:$KE$32</c:f>
              <c:numCache>
                <c:formatCode>General</c:formatCode>
                <c:ptCount val="5"/>
                <c:pt idx="0">
                  <c:v>0.17737500000000003</c:v>
                </c:pt>
                <c:pt idx="1">
                  <c:v>0.17712500000000003</c:v>
                </c:pt>
                <c:pt idx="2">
                  <c:v>0.173625</c:v>
                </c:pt>
                <c:pt idx="3">
                  <c:v>0.20750000000000002</c:v>
                </c:pt>
                <c:pt idx="4">
                  <c:v>0.15812499999999999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40-481D-B5FC-9F1CC633B63F}"/>
            </c:ext>
          </c:extLst>
        </c:ser>
        <c:ser>
          <c:idx val="7"/>
          <c:order val="7"/>
          <c:tx>
            <c:strRef>
              <c:f>Sheet1!$JZ$33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Sheet1!$KA$33:$KE$33</c:f>
              <c:numCache>
                <c:formatCode>General</c:formatCode>
                <c:ptCount val="5"/>
                <c:pt idx="0">
                  <c:v>0.15466666666666665</c:v>
                </c:pt>
                <c:pt idx="1">
                  <c:v>0.17475000000000002</c:v>
                </c:pt>
                <c:pt idx="2">
                  <c:v>0.13749999999999998</c:v>
                </c:pt>
                <c:pt idx="3">
                  <c:v>0.15487500000000001</c:v>
                </c:pt>
                <c:pt idx="4">
                  <c:v>0.144875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40-481D-B5FC-9F1CC633B63F}"/>
            </c:ext>
          </c:extLst>
        </c:ser>
        <c:ser>
          <c:idx val="8"/>
          <c:order val="8"/>
          <c:tx>
            <c:strRef>
              <c:f>Sheet1!$JZ$34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Sheet1!$KA$34:$KE$34</c:f>
              <c:numCache>
                <c:formatCode>General</c:formatCode>
                <c:ptCount val="5"/>
                <c:pt idx="0">
                  <c:v>0.15111111111111108</c:v>
                </c:pt>
                <c:pt idx="1">
                  <c:v>0.16999999999999998</c:v>
                </c:pt>
                <c:pt idx="2">
                  <c:v>0.17675000000000002</c:v>
                </c:pt>
                <c:pt idx="3">
                  <c:v>0.13912499999999997</c:v>
                </c:pt>
                <c:pt idx="4">
                  <c:v>0.15275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40-481D-B5FC-9F1CC633B63F}"/>
            </c:ext>
          </c:extLst>
        </c:ser>
        <c:ser>
          <c:idx val="9"/>
          <c:order val="9"/>
          <c:tx>
            <c:strRef>
              <c:f>Sheet1!$JZ$35</c:f>
              <c:strCache>
                <c:ptCount val="1"/>
                <c:pt idx="0">
                  <c:v>PLS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Sheet1!$KA$35:$KE$35</c:f>
              <c:numCache>
                <c:formatCode>General</c:formatCode>
                <c:ptCount val="5"/>
                <c:pt idx="0">
                  <c:v>0.16533333333333333</c:v>
                </c:pt>
                <c:pt idx="1">
                  <c:v>0.186</c:v>
                </c:pt>
                <c:pt idx="2">
                  <c:v>0.1865</c:v>
                </c:pt>
                <c:pt idx="3">
                  <c:v>0.16949999999999998</c:v>
                </c:pt>
                <c:pt idx="4">
                  <c:v>0.16225000000000001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40-481D-B5FC-9F1CC633B63F}"/>
            </c:ext>
          </c:extLst>
        </c:ser>
        <c:ser>
          <c:idx val="10"/>
          <c:order val="10"/>
          <c:tx>
            <c:strRef>
              <c:f>Sheet1!$JZ$36</c:f>
              <c:strCache>
                <c:ptCount val="1"/>
                <c:pt idx="0">
                  <c:v>MLPR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Sheet1!$KA$36:$KE$36</c:f>
              <c:numCache>
                <c:formatCode>General</c:formatCode>
                <c:ptCount val="5"/>
                <c:pt idx="0">
                  <c:v>0.19133333333333336</c:v>
                </c:pt>
                <c:pt idx="1">
                  <c:v>0.18999999999999997</c:v>
                </c:pt>
                <c:pt idx="2">
                  <c:v>0.14512499999999998</c:v>
                </c:pt>
                <c:pt idx="3">
                  <c:v>0.15337500000000001</c:v>
                </c:pt>
                <c:pt idx="4">
                  <c:v>0.18312499999999998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40-481D-B5FC-9F1CC633B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26256"/>
        <c:axId val="2012595056"/>
      </c:lineChart>
      <c:catAx>
        <c:axId val="1985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95056"/>
        <c:crosses val="autoZero"/>
        <c:auto val="1"/>
        <c:lblAlgn val="ctr"/>
        <c:lblOffset val="100"/>
        <c:noMultiLvlLbl val="0"/>
      </c:catAx>
      <c:valAx>
        <c:axId val="2012595056"/>
        <c:scaling>
          <c:orientation val="minMax"/>
          <c:max val="0.21000000000000002"/>
          <c:min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Severity of Complications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Sheet1!$N$26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Sheet1!$O$25:$Q$25</c:f>
              <c:strCache>
                <c:ptCount val="3"/>
                <c:pt idx="0">
                  <c:v>Accuracy</c:v>
                </c:pt>
                <c:pt idx="1">
                  <c:v>Kappa</c:v>
                </c:pt>
                <c:pt idx="2">
                  <c:v>Recall</c:v>
                </c:pt>
              </c:strCache>
            </c:strRef>
          </c:cat>
          <c:val>
            <c:numRef>
              <c:f>Sheet1!$O$26:$Q$26</c:f>
              <c:numCache>
                <c:formatCode>General</c:formatCode>
                <c:ptCount val="3"/>
                <c:pt idx="0">
                  <c:v>0.32500000000000001</c:v>
                </c:pt>
                <c:pt idx="1">
                  <c:v>8.5999999999999993E-2</c:v>
                </c:pt>
                <c:pt idx="2">
                  <c:v>0.14944444444444444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A-4755-AC68-02B14A03F5CB}"/>
            </c:ext>
          </c:extLst>
        </c:ser>
        <c:ser>
          <c:idx val="1"/>
          <c:order val="1"/>
          <c:tx>
            <c:strRef>
              <c:f>Sheet1!$N$27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Sheet1!$O$25:$Q$25</c:f>
              <c:strCache>
                <c:ptCount val="3"/>
                <c:pt idx="0">
                  <c:v>Accuracy</c:v>
                </c:pt>
                <c:pt idx="1">
                  <c:v>Kappa</c:v>
                </c:pt>
                <c:pt idx="2">
                  <c:v>Recall</c:v>
                </c:pt>
              </c:strCache>
            </c:strRef>
          </c:cat>
          <c:val>
            <c:numRef>
              <c:f>Sheet1!$O$27:$Q$27</c:f>
              <c:numCache>
                <c:formatCode>General</c:formatCode>
                <c:ptCount val="3"/>
                <c:pt idx="0">
                  <c:v>0.33700000000000002</c:v>
                </c:pt>
                <c:pt idx="1">
                  <c:v>0.10100000000000001</c:v>
                </c:pt>
                <c:pt idx="2">
                  <c:v>0.17000000000000004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A-4755-AC68-02B14A03F5CB}"/>
            </c:ext>
          </c:extLst>
        </c:ser>
        <c:ser>
          <c:idx val="2"/>
          <c:order val="2"/>
          <c:tx>
            <c:strRef>
              <c:f>Sheet1!$N$28</c:f>
              <c:strCache>
                <c:ptCount val="1"/>
                <c:pt idx="0">
                  <c:v>LASSO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Sheet1!$O$25:$Q$25</c:f>
              <c:strCache>
                <c:ptCount val="3"/>
                <c:pt idx="0">
                  <c:v>Accuracy</c:v>
                </c:pt>
                <c:pt idx="1">
                  <c:v>Kappa</c:v>
                </c:pt>
                <c:pt idx="2">
                  <c:v>Recall</c:v>
                </c:pt>
              </c:strCache>
            </c:strRef>
          </c:cat>
          <c:val>
            <c:numRef>
              <c:f>Sheet1!$O$28:$Q$28</c:f>
              <c:numCache>
                <c:formatCode>General</c:formatCode>
                <c:ptCount val="3"/>
                <c:pt idx="0">
                  <c:v>0.29499999999999998</c:v>
                </c:pt>
                <c:pt idx="1">
                  <c:v>9.1999999999999998E-2</c:v>
                </c:pt>
                <c:pt idx="2">
                  <c:v>0.11966666666666666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A-4755-AC68-02B14A03F5CB}"/>
            </c:ext>
          </c:extLst>
        </c:ser>
        <c:ser>
          <c:idx val="3"/>
          <c:order val="3"/>
          <c:tx>
            <c:strRef>
              <c:f>Sheet1!$N$29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Sheet1!$O$25:$Q$25</c:f>
              <c:strCache>
                <c:ptCount val="3"/>
                <c:pt idx="0">
                  <c:v>Accuracy</c:v>
                </c:pt>
                <c:pt idx="1">
                  <c:v>Kappa</c:v>
                </c:pt>
                <c:pt idx="2">
                  <c:v>Recall</c:v>
                </c:pt>
              </c:strCache>
            </c:strRef>
          </c:cat>
          <c:val>
            <c:numRef>
              <c:f>Sheet1!$O$29:$Q$29</c:f>
              <c:numCache>
                <c:formatCode>General</c:formatCode>
                <c:ptCount val="3"/>
                <c:pt idx="0">
                  <c:v>0.47199999999999998</c:v>
                </c:pt>
                <c:pt idx="1">
                  <c:v>0.121</c:v>
                </c:pt>
                <c:pt idx="2">
                  <c:v>0.1401111111111111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A-4755-AC68-02B14A03F5CB}"/>
            </c:ext>
          </c:extLst>
        </c:ser>
        <c:ser>
          <c:idx val="4"/>
          <c:order val="4"/>
          <c:tx>
            <c:strRef>
              <c:f>Sheet1!$N$30</c:f>
              <c:strCache>
                <c:ptCount val="1"/>
                <c:pt idx="0">
                  <c:v>Elastic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Sheet1!$O$25:$Q$25</c:f>
              <c:strCache>
                <c:ptCount val="3"/>
                <c:pt idx="0">
                  <c:v>Accuracy</c:v>
                </c:pt>
                <c:pt idx="1">
                  <c:v>Kappa</c:v>
                </c:pt>
                <c:pt idx="2">
                  <c:v>Recall</c:v>
                </c:pt>
              </c:strCache>
            </c:strRef>
          </c:cat>
          <c:val>
            <c:numRef>
              <c:f>Sheet1!$O$30:$Q$30</c:f>
              <c:numCache>
                <c:formatCode>General</c:formatCode>
                <c:ptCount val="3"/>
                <c:pt idx="0">
                  <c:v>0.29699999999999999</c:v>
                </c:pt>
                <c:pt idx="1">
                  <c:v>8.8999999999999996E-2</c:v>
                </c:pt>
                <c:pt idx="2">
                  <c:v>0.13444444444444445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A-4755-AC68-02B14A03F5CB}"/>
            </c:ext>
          </c:extLst>
        </c:ser>
        <c:ser>
          <c:idx val="5"/>
          <c:order val="5"/>
          <c:tx>
            <c:strRef>
              <c:f>Sheet1!$N$31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Sheet1!$O$25:$Q$25</c:f>
              <c:strCache>
                <c:ptCount val="3"/>
                <c:pt idx="0">
                  <c:v>Accuracy</c:v>
                </c:pt>
                <c:pt idx="1">
                  <c:v>Kappa</c:v>
                </c:pt>
                <c:pt idx="2">
                  <c:v>Recall</c:v>
                </c:pt>
              </c:strCache>
            </c:strRef>
          </c:cat>
          <c:val>
            <c:numRef>
              <c:f>Sheet1!$O$31:$Q$31</c:f>
              <c:numCache>
                <c:formatCode>General</c:formatCode>
                <c:ptCount val="3"/>
                <c:pt idx="0">
                  <c:v>0.36599999999999999</c:v>
                </c:pt>
                <c:pt idx="1">
                  <c:v>0.113</c:v>
                </c:pt>
                <c:pt idx="2">
                  <c:v>0.16922222222222227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6A-4755-AC68-02B14A03F5CB}"/>
            </c:ext>
          </c:extLst>
        </c:ser>
        <c:ser>
          <c:idx val="6"/>
          <c:order val="6"/>
          <c:tx>
            <c:strRef>
              <c:f>Sheet1!$N$32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Sheet1!$O$25:$Q$25</c:f>
              <c:strCache>
                <c:ptCount val="3"/>
                <c:pt idx="0">
                  <c:v>Accuracy</c:v>
                </c:pt>
                <c:pt idx="1">
                  <c:v>Kappa</c:v>
                </c:pt>
                <c:pt idx="2">
                  <c:v>Recall</c:v>
                </c:pt>
              </c:strCache>
            </c:strRef>
          </c:cat>
          <c:val>
            <c:numRef>
              <c:f>Sheet1!$O$32:$Q$32</c:f>
              <c:numCache>
                <c:formatCode>General</c:formatCode>
                <c:ptCount val="3"/>
                <c:pt idx="0">
                  <c:v>0.432</c:v>
                </c:pt>
                <c:pt idx="1">
                  <c:v>0.105</c:v>
                </c:pt>
                <c:pt idx="2">
                  <c:v>0.17737500000000003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6A-4755-AC68-02B14A03F5CB}"/>
            </c:ext>
          </c:extLst>
        </c:ser>
        <c:ser>
          <c:idx val="7"/>
          <c:order val="7"/>
          <c:tx>
            <c:strRef>
              <c:f>Sheet1!$N$33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Sheet1!$O$25:$Q$25</c:f>
              <c:strCache>
                <c:ptCount val="3"/>
                <c:pt idx="0">
                  <c:v>Accuracy</c:v>
                </c:pt>
                <c:pt idx="1">
                  <c:v>Kappa</c:v>
                </c:pt>
                <c:pt idx="2">
                  <c:v>Recall</c:v>
                </c:pt>
              </c:strCache>
            </c:strRef>
          </c:cat>
          <c:val>
            <c:numRef>
              <c:f>Sheet1!$O$33:$Q$33</c:f>
              <c:numCache>
                <c:formatCode>General</c:formatCode>
                <c:ptCount val="3"/>
                <c:pt idx="0">
                  <c:v>0.33400000000000002</c:v>
                </c:pt>
                <c:pt idx="1">
                  <c:v>0.113</c:v>
                </c:pt>
                <c:pt idx="2">
                  <c:v>0.15466666666666665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6A-4755-AC68-02B14A03F5CB}"/>
            </c:ext>
          </c:extLst>
        </c:ser>
        <c:ser>
          <c:idx val="8"/>
          <c:order val="8"/>
          <c:tx>
            <c:strRef>
              <c:f>Sheet1!$N$34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Sheet1!$O$25:$Q$25</c:f>
              <c:strCache>
                <c:ptCount val="3"/>
                <c:pt idx="0">
                  <c:v>Accuracy</c:v>
                </c:pt>
                <c:pt idx="1">
                  <c:v>Kappa</c:v>
                </c:pt>
                <c:pt idx="2">
                  <c:v>Recall</c:v>
                </c:pt>
              </c:strCache>
            </c:strRef>
          </c:cat>
          <c:val>
            <c:numRef>
              <c:f>Sheet1!$O$34:$Q$34</c:f>
              <c:numCache>
                <c:formatCode>General</c:formatCode>
                <c:ptCount val="3"/>
                <c:pt idx="0">
                  <c:v>0.35</c:v>
                </c:pt>
                <c:pt idx="1">
                  <c:v>0.12</c:v>
                </c:pt>
                <c:pt idx="2">
                  <c:v>0.15111111111111108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6A-4755-AC68-02B14A03F5CB}"/>
            </c:ext>
          </c:extLst>
        </c:ser>
        <c:ser>
          <c:idx val="9"/>
          <c:order val="9"/>
          <c:tx>
            <c:strRef>
              <c:f>Sheet1!$N$35</c:f>
              <c:strCache>
                <c:ptCount val="1"/>
                <c:pt idx="0">
                  <c:v>PLS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Sheet1!$O$25:$Q$25</c:f>
              <c:strCache>
                <c:ptCount val="3"/>
                <c:pt idx="0">
                  <c:v>Accuracy</c:v>
                </c:pt>
                <c:pt idx="1">
                  <c:v>Kappa</c:v>
                </c:pt>
                <c:pt idx="2">
                  <c:v>Recall</c:v>
                </c:pt>
              </c:strCache>
            </c:strRef>
          </c:cat>
          <c:val>
            <c:numRef>
              <c:f>Sheet1!$O$35:$Q$35</c:f>
              <c:numCache>
                <c:formatCode>General</c:formatCode>
                <c:ptCount val="3"/>
                <c:pt idx="0">
                  <c:v>0.34200000000000003</c:v>
                </c:pt>
                <c:pt idx="1">
                  <c:v>0.11799999999999999</c:v>
                </c:pt>
                <c:pt idx="2">
                  <c:v>0.16533333333333333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6A-4755-AC68-02B14A03F5CB}"/>
            </c:ext>
          </c:extLst>
        </c:ser>
        <c:ser>
          <c:idx val="10"/>
          <c:order val="10"/>
          <c:tx>
            <c:strRef>
              <c:f>Sheet1!$N$36</c:f>
              <c:strCache>
                <c:ptCount val="1"/>
                <c:pt idx="0">
                  <c:v>MLPR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Sheet1!$O$25:$Q$25</c:f>
              <c:strCache>
                <c:ptCount val="3"/>
                <c:pt idx="0">
                  <c:v>Accuracy</c:v>
                </c:pt>
                <c:pt idx="1">
                  <c:v>Kappa</c:v>
                </c:pt>
                <c:pt idx="2">
                  <c:v>Recall</c:v>
                </c:pt>
              </c:strCache>
            </c:strRef>
          </c:cat>
          <c:val>
            <c:numRef>
              <c:f>Sheet1!$O$36:$Q$36</c:f>
              <c:numCache>
                <c:formatCode>General</c:formatCode>
                <c:ptCount val="3"/>
                <c:pt idx="0">
                  <c:v>0.36799999999999999</c:v>
                </c:pt>
                <c:pt idx="1">
                  <c:v>0.11799999999999999</c:v>
                </c:pt>
                <c:pt idx="2">
                  <c:v>0.19133333333333336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6A-4755-AC68-02B14A03F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979311"/>
        <c:axId val="522722543"/>
      </c:barChart>
      <c:catAx>
        <c:axId val="6739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22543"/>
        <c:crosses val="autoZero"/>
        <c:auto val="1"/>
        <c:lblAlgn val="ctr"/>
        <c:lblOffset val="100"/>
        <c:noMultiLvlLbl val="0"/>
      </c:catAx>
      <c:valAx>
        <c:axId val="52272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7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Existence of Complications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Sheet1!$AR$3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Sheet1!$AQ$4:$AQ$11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Sheet1!$AR$4:$AR$11</c:f>
              <c:numCache>
                <c:formatCode>General</c:formatCode>
                <c:ptCount val="8"/>
                <c:pt idx="0">
                  <c:v>2.1000000000000019E-2</c:v>
                </c:pt>
                <c:pt idx="1">
                  <c:v>-4.0000000000000036E-3</c:v>
                </c:pt>
                <c:pt idx="2">
                  <c:v>1.100000000000001E-2</c:v>
                </c:pt>
                <c:pt idx="3">
                  <c:v>-1.3000000000000012E-2</c:v>
                </c:pt>
                <c:pt idx="4">
                  <c:v>-1.100000000000001E-2</c:v>
                </c:pt>
                <c:pt idx="5">
                  <c:v>-2.4000000000000021E-2</c:v>
                </c:pt>
                <c:pt idx="6">
                  <c:v>-1.100000000000001E-2</c:v>
                </c:pt>
                <c:pt idx="7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8-4F83-9DC8-3D4120EDBA4B}"/>
            </c:ext>
          </c:extLst>
        </c:ser>
        <c:ser>
          <c:idx val="1"/>
          <c:order val="1"/>
          <c:tx>
            <c:strRef>
              <c:f>Sheet1!$AS$3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Sheet1!$AQ$4:$AQ$11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Sheet1!$AS$4:$AS$11</c:f>
              <c:numCache>
                <c:formatCode>General</c:formatCode>
                <c:ptCount val="8"/>
                <c:pt idx="0">
                  <c:v>1.0000000000000009E-3</c:v>
                </c:pt>
                <c:pt idx="1">
                  <c:v>1.100000000000001E-2</c:v>
                </c:pt>
                <c:pt idx="2">
                  <c:v>1.5000000000000013E-2</c:v>
                </c:pt>
                <c:pt idx="3">
                  <c:v>-2.200000000000002E-2</c:v>
                </c:pt>
                <c:pt idx="4">
                  <c:v>-1.2000000000000011E-2</c:v>
                </c:pt>
                <c:pt idx="5">
                  <c:v>-1.9999999999999907E-2</c:v>
                </c:pt>
                <c:pt idx="6">
                  <c:v>-3.0000000000000027E-3</c:v>
                </c:pt>
                <c:pt idx="7">
                  <c:v>2.5999999999999912E-2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8-4F83-9DC8-3D4120EDBA4B}"/>
            </c:ext>
          </c:extLst>
        </c:ser>
        <c:ser>
          <c:idx val="2"/>
          <c:order val="2"/>
          <c:tx>
            <c:strRef>
              <c:f>Sheet1!$AT$3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Sheet1!$AQ$4:$AQ$11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Sheet1!$AT$4:$AT$11</c:f>
              <c:numCache>
                <c:formatCode>General</c:formatCode>
                <c:ptCount val="8"/>
                <c:pt idx="0">
                  <c:v>2.6000000000000023E-2</c:v>
                </c:pt>
                <c:pt idx="1">
                  <c:v>5.9999999999998943E-3</c:v>
                </c:pt>
                <c:pt idx="2">
                  <c:v>1.4499999999999957E-2</c:v>
                </c:pt>
                <c:pt idx="3">
                  <c:v>-1.0000000000000009E-3</c:v>
                </c:pt>
                <c:pt idx="4">
                  <c:v>4.0000000000000036E-3</c:v>
                </c:pt>
                <c:pt idx="5">
                  <c:v>-1.5499999999999847E-2</c:v>
                </c:pt>
                <c:pt idx="6">
                  <c:v>-2.4999999999999467E-3</c:v>
                </c:pt>
                <c:pt idx="7">
                  <c:v>3.5999999999999921E-2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8-4F83-9DC8-3D4120EDBA4B}"/>
            </c:ext>
          </c:extLst>
        </c:ser>
        <c:ser>
          <c:idx val="3"/>
          <c:order val="3"/>
          <c:tx>
            <c:strRef>
              <c:f>Sheet1!$AU$3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Sheet1!$AQ$4:$AQ$11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Sheet1!$AU$4:$AU$11</c:f>
              <c:numCache>
                <c:formatCode>General</c:formatCode>
                <c:ptCount val="8"/>
                <c:pt idx="0">
                  <c:v>5.2999999999999992E-2</c:v>
                </c:pt>
                <c:pt idx="1">
                  <c:v>7.9999999999999793E-3</c:v>
                </c:pt>
                <c:pt idx="2">
                  <c:v>2.7999999999999997E-2</c:v>
                </c:pt>
                <c:pt idx="3">
                  <c:v>-8.0000000000000071E-3</c:v>
                </c:pt>
                <c:pt idx="4">
                  <c:v>-1.0000000000000009E-3</c:v>
                </c:pt>
                <c:pt idx="5">
                  <c:v>-3.6000000000000032E-2</c:v>
                </c:pt>
                <c:pt idx="6">
                  <c:v>-1.0000000000000009E-2</c:v>
                </c:pt>
                <c:pt idx="7">
                  <c:v>6.8999999999999978E-2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38-4F83-9DC8-3D4120EDB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3311120"/>
        <c:axId val="1506891312"/>
      </c:barChart>
      <c:catAx>
        <c:axId val="15133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91312"/>
        <c:crosses val="autoZero"/>
        <c:auto val="1"/>
        <c:lblAlgn val="ctr"/>
        <c:lblOffset val="100"/>
        <c:noMultiLvlLbl val="0"/>
      </c:catAx>
      <c:valAx>
        <c:axId val="15068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3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Severity of Complications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Sheet1!$AR$14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Sheet1!$AQ$15:$AQ$22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Sheet1!$AR$15:$AR$22</c:f>
              <c:numCache>
                <c:formatCode>General</c:formatCode>
                <c:ptCount val="8"/>
                <c:pt idx="0">
                  <c:v>0.25252215189873417</c:v>
                </c:pt>
                <c:pt idx="1">
                  <c:v>-0.40388924050632913</c:v>
                </c:pt>
                <c:pt idx="2">
                  <c:v>-0.21302848101265823</c:v>
                </c:pt>
                <c:pt idx="3">
                  <c:v>-0.32621518987341774</c:v>
                </c:pt>
                <c:pt idx="4">
                  <c:v>-0.4478575949367089</c:v>
                </c:pt>
                <c:pt idx="5">
                  <c:v>-0.40959177215189874</c:v>
                </c:pt>
                <c:pt idx="6">
                  <c:v>-0.30518354430379752</c:v>
                </c:pt>
                <c:pt idx="7">
                  <c:v>-0.27673101265822786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B-4EF4-A641-127CB52D122E}"/>
            </c:ext>
          </c:extLst>
        </c:ser>
        <c:ser>
          <c:idx val="1"/>
          <c:order val="1"/>
          <c:tx>
            <c:strRef>
              <c:f>Sheet1!$AS$14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Sheet1!$AQ$15:$AQ$22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Sheet1!$AS$15:$AS$22</c:f>
              <c:numCache>
                <c:formatCode>General</c:formatCode>
                <c:ptCount val="8"/>
                <c:pt idx="0">
                  <c:v>-3.0736391040359079E-3</c:v>
                </c:pt>
                <c:pt idx="1">
                  <c:v>-2.7444862937330616E-2</c:v>
                </c:pt>
                <c:pt idx="2">
                  <c:v>4.9132676326344438E-3</c:v>
                </c:pt>
                <c:pt idx="3">
                  <c:v>2.135964568782478E-2</c:v>
                </c:pt>
                <c:pt idx="4">
                  <c:v>1.1267447238216044E-2</c:v>
                </c:pt>
                <c:pt idx="5">
                  <c:v>-4.7330331172705797E-3</c:v>
                </c:pt>
                <c:pt idx="6">
                  <c:v>-7.232713628086862E-3</c:v>
                </c:pt>
                <c:pt idx="7">
                  <c:v>1.0510892992302123E-2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B-4EF4-A641-127CB52D122E}"/>
            </c:ext>
          </c:extLst>
        </c:ser>
        <c:ser>
          <c:idx val="2"/>
          <c:order val="2"/>
          <c:tx>
            <c:strRef>
              <c:f>Sheet1!$AT$14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Sheet1!$AQ$15:$AQ$22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Sheet1!$AT$15:$AT$22</c:f>
              <c:numCache>
                <c:formatCode>General</c:formatCode>
                <c:ptCount val="8"/>
                <c:pt idx="0">
                  <c:v>2.5000000000002798E-4</c:v>
                </c:pt>
                <c:pt idx="1">
                  <c:v>2.0125000000000032E-2</c:v>
                </c:pt>
                <c:pt idx="2">
                  <c:v>8.1250000000000488E-3</c:v>
                </c:pt>
                <c:pt idx="3">
                  <c:v>4.6875E-2</c:v>
                </c:pt>
                <c:pt idx="4">
                  <c:v>0.1219722222222222</c:v>
                </c:pt>
                <c:pt idx="5">
                  <c:v>8.4152777777777854E-2</c:v>
                </c:pt>
                <c:pt idx="6">
                  <c:v>4.0500000000000008E-2</c:v>
                </c:pt>
                <c:pt idx="7">
                  <c:v>4.2874999999999996E-2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2B-4EF4-A641-127CB52D122E}"/>
            </c:ext>
          </c:extLst>
        </c:ser>
        <c:ser>
          <c:idx val="3"/>
          <c:order val="3"/>
          <c:tx>
            <c:strRef>
              <c:f>Sheet1!$AU$14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Sheet1!$AQ$15:$AQ$22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Sheet1!$AU$15:$AU$22</c:f>
              <c:numCache>
                <c:formatCode>General</c:formatCode>
                <c:ptCount val="8"/>
                <c:pt idx="0">
                  <c:v>7.3212572150895577E-2</c:v>
                </c:pt>
                <c:pt idx="1">
                  <c:v>-9.6013037223483463E-2</c:v>
                </c:pt>
                <c:pt idx="2">
                  <c:v>-4.409847668679294E-2</c:v>
                </c:pt>
                <c:pt idx="3">
                  <c:v>-7.2247690086362143E-2</c:v>
                </c:pt>
                <c:pt idx="4">
                  <c:v>1.6750538823311598E-2</c:v>
                </c:pt>
                <c:pt idx="5">
                  <c:v>-0.11961502806784474</c:v>
                </c:pt>
                <c:pt idx="6">
                  <c:v>-5.8528939265515875E-2</c:v>
                </c:pt>
                <c:pt idx="7">
                  <c:v>-8.9272626971629465E-2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2B-4EF4-A641-127CB52D1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419711"/>
        <c:axId val="1794437967"/>
      </c:barChart>
      <c:catAx>
        <c:axId val="18424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37967"/>
        <c:crosses val="autoZero"/>
        <c:auto val="1"/>
        <c:lblAlgn val="ctr"/>
        <c:lblOffset val="100"/>
        <c:noMultiLvlLbl val="0"/>
      </c:catAx>
      <c:valAx>
        <c:axId val="179443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1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Death Within 1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Sheet1!$AR$39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Sheet1!$AQ$40:$AQ$47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Sheet1!$AR$40:$AR$47</c:f>
              <c:numCache>
                <c:formatCode>General</c:formatCode>
                <c:ptCount val="8"/>
                <c:pt idx="0">
                  <c:v>0.45399999999999996</c:v>
                </c:pt>
                <c:pt idx="1">
                  <c:v>-0.28100000000000003</c:v>
                </c:pt>
                <c:pt idx="2">
                  <c:v>-6.4999999999999947E-2</c:v>
                </c:pt>
                <c:pt idx="3">
                  <c:v>-8.8999999999999968E-2</c:v>
                </c:pt>
                <c:pt idx="4">
                  <c:v>-0.36199999999999993</c:v>
                </c:pt>
                <c:pt idx="5">
                  <c:v>-0.18400000000000005</c:v>
                </c:pt>
                <c:pt idx="6">
                  <c:v>-6.6999999999999948E-2</c:v>
                </c:pt>
                <c:pt idx="7">
                  <c:v>-9.6000000000000085E-2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3-4101-B74F-36F30B457692}"/>
            </c:ext>
          </c:extLst>
        </c:ser>
        <c:ser>
          <c:idx val="1"/>
          <c:order val="1"/>
          <c:tx>
            <c:strRef>
              <c:f>Sheet1!$AS$39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Sheet1!$AQ$40:$AQ$47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Sheet1!$AS$40:$AS$47</c:f>
              <c:numCache>
                <c:formatCode>General</c:formatCode>
                <c:ptCount val="8"/>
                <c:pt idx="0">
                  <c:v>0.13100000000000001</c:v>
                </c:pt>
                <c:pt idx="1">
                  <c:v>4.0000000000000036E-3</c:v>
                </c:pt>
                <c:pt idx="2">
                  <c:v>4.500000000000004E-2</c:v>
                </c:pt>
                <c:pt idx="3">
                  <c:v>-1.5000000000000013E-2</c:v>
                </c:pt>
                <c:pt idx="4">
                  <c:v>3.0000000000000027E-3</c:v>
                </c:pt>
                <c:pt idx="5">
                  <c:v>-3.0000000000000027E-3</c:v>
                </c:pt>
                <c:pt idx="6">
                  <c:v>2.300000000000002E-2</c:v>
                </c:pt>
                <c:pt idx="7">
                  <c:v>9.000000000000008E-3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3-4101-B74F-36F30B457692}"/>
            </c:ext>
          </c:extLst>
        </c:ser>
        <c:ser>
          <c:idx val="2"/>
          <c:order val="2"/>
          <c:tx>
            <c:strRef>
              <c:f>Sheet1!$AT$39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Sheet1!$AQ$40:$AQ$47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Sheet1!$AT$40:$AT$47</c:f>
              <c:numCache>
                <c:formatCode>General</c:formatCode>
                <c:ptCount val="8"/>
                <c:pt idx="0">
                  <c:v>3.900000000000009E-2</c:v>
                </c:pt>
                <c:pt idx="1">
                  <c:v>7.2500000000000009E-2</c:v>
                </c:pt>
                <c:pt idx="2">
                  <c:v>4.4499999999999984E-2</c:v>
                </c:pt>
                <c:pt idx="3">
                  <c:v>0.1100000000000001</c:v>
                </c:pt>
                <c:pt idx="4">
                  <c:v>0.128</c:v>
                </c:pt>
                <c:pt idx="5">
                  <c:v>7.6499999999999901E-2</c:v>
                </c:pt>
                <c:pt idx="6">
                  <c:v>8.450000000000002E-2</c:v>
                </c:pt>
                <c:pt idx="7">
                  <c:v>9.3499999999999917E-2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3-4101-B74F-36F30B457692}"/>
            </c:ext>
          </c:extLst>
        </c:ser>
        <c:ser>
          <c:idx val="3"/>
          <c:order val="3"/>
          <c:tx>
            <c:strRef>
              <c:f>Sheet1!$AU$39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Sheet1!$AQ$40:$AQ$47</c:f>
              <c:strCache>
                <c:ptCount val="8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SVM</c:v>
                </c:pt>
                <c:pt idx="5">
                  <c:v>LR</c:v>
                </c:pt>
                <c:pt idx="6">
                  <c:v>XGB</c:v>
                </c:pt>
                <c:pt idx="7">
                  <c:v>MLP</c:v>
                </c:pt>
              </c:strCache>
            </c:strRef>
          </c:cat>
          <c:val>
            <c:numRef>
              <c:f>Sheet1!$AU$40:$AU$47</c:f>
              <c:numCache>
                <c:formatCode>General</c:formatCode>
                <c:ptCount val="8"/>
                <c:pt idx="0">
                  <c:v>7.9000000000000001E-2</c:v>
                </c:pt>
                <c:pt idx="1">
                  <c:v>-2.0000000000000018E-3</c:v>
                </c:pt>
                <c:pt idx="2">
                  <c:v>2.200000000000002E-2</c:v>
                </c:pt>
                <c:pt idx="3">
                  <c:v>0.11000000000000001</c:v>
                </c:pt>
                <c:pt idx="4">
                  <c:v>0.123</c:v>
                </c:pt>
                <c:pt idx="5">
                  <c:v>-1.0000000000000009E-2</c:v>
                </c:pt>
                <c:pt idx="6">
                  <c:v>6.0999999999999999E-2</c:v>
                </c:pt>
                <c:pt idx="7">
                  <c:v>7.2000000000000008E-2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3-4101-B74F-36F30B457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6853583"/>
        <c:axId val="1794440879"/>
      </c:barChart>
      <c:catAx>
        <c:axId val="168685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0879"/>
        <c:crosses val="autoZero"/>
        <c:auto val="1"/>
        <c:lblAlgn val="ctr"/>
        <c:lblOffset val="100"/>
        <c:noMultiLvlLbl val="0"/>
      </c:catAx>
      <c:valAx>
        <c:axId val="179444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5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384628</xdr:colOff>
      <xdr:row>3</xdr:row>
      <xdr:rowOff>181125</xdr:rowOff>
    </xdr:from>
    <xdr:to>
      <xdr:col>13</xdr:col>
      <xdr:colOff>79828</xdr:colOff>
      <xdr:row>10</xdr:row>
      <xdr:rowOff>257325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EB190-86E3-4C31-BF2F-4ED2A8DF4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357656</xdr:colOff>
      <xdr:row>14</xdr:row>
      <xdr:rowOff>84002</xdr:rowOff>
    </xdr:from>
    <xdr:to>
      <xdr:col>13</xdr:col>
      <xdr:colOff>52856</xdr:colOff>
      <xdr:row>21</xdr:row>
      <xdr:rowOff>160202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F4032A-0121-4462-81FB-9521A8516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552995</xdr:colOff>
      <xdr:row>38</xdr:row>
      <xdr:rowOff>211001</xdr:rowOff>
    </xdr:from>
    <xdr:to>
      <xdr:col>13</xdr:col>
      <xdr:colOff>248195</xdr:colOff>
      <xdr:row>45</xdr:row>
      <xdr:rowOff>287201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114CD8-C853-456E-9ADD-C59372B6B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</xdr:colOff>
      <xdr:row>52</xdr:row>
      <xdr:rowOff>3084</xdr:rowOff>
    </xdr:from>
    <xdr:to>
      <xdr:col>12</xdr:col>
      <xdr:colOff>335280</xdr:colOff>
      <xdr:row>59</xdr:row>
      <xdr:rowOff>79284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D05BD4-7C68-4882-A791-B0A207707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508000</xdr:colOff>
      <xdr:row>26</xdr:row>
      <xdr:rowOff>306433</xdr:rowOff>
    </xdr:from>
    <xdr:to>
      <xdr:col>12</xdr:col>
      <xdr:colOff>203200</xdr:colOff>
      <xdr:row>34</xdr:row>
      <xdr:rowOff>1633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E9F865-6FC3-439C-98BC-15F288699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417286</xdr:colOff>
      <xdr:row>26</xdr:row>
      <xdr:rowOff>23404</xdr:rowOff>
    </xdr:from>
    <xdr:to>
      <xdr:col>25</xdr:col>
      <xdr:colOff>112486</xdr:colOff>
      <xdr:row>34</xdr:row>
      <xdr:rowOff>99604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F17B50-40AE-485C-85EF-70DC5A5BE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5942</xdr:colOff>
      <xdr:row>2</xdr:row>
      <xdr:rowOff>385984</xdr:rowOff>
    </xdr:from>
    <xdr:to>
      <xdr:col>56</xdr:col>
      <xdr:colOff>310742</xdr:colOff>
      <xdr:row>10</xdr:row>
      <xdr:rowOff>73995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1D5741-7725-4AB5-BAD4-A005E9F7E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7190</xdr:colOff>
      <xdr:row>13</xdr:row>
      <xdr:rowOff>8626</xdr:rowOff>
    </xdr:from>
    <xdr:to>
      <xdr:col>56</xdr:col>
      <xdr:colOff>352247</xdr:colOff>
      <xdr:row>20</xdr:row>
      <xdr:rowOff>34505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857577-810F-4B12-A90A-243EB09E7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7189</xdr:colOff>
      <xdr:row>38</xdr:row>
      <xdr:rowOff>382439</xdr:rowOff>
    </xdr:from>
    <xdr:to>
      <xdr:col>56</xdr:col>
      <xdr:colOff>352246</xdr:colOff>
      <xdr:row>46</xdr:row>
      <xdr:rowOff>20129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2D4465-E6C6-4A39-9E8C-6A264516A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84</xdr:col>
      <xdr:colOff>15240</xdr:colOff>
      <xdr:row>50</xdr:row>
      <xdr:rowOff>7620</xdr:rowOff>
    </xdr:from>
    <xdr:to>
      <xdr:col>91</xdr:col>
      <xdr:colOff>320040</xdr:colOff>
      <xdr:row>57</xdr:row>
      <xdr:rowOff>83820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DC880E-CF5F-4262-B9D9-4E546E1DB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84</xdr:col>
      <xdr:colOff>15240</xdr:colOff>
      <xdr:row>21</xdr:row>
      <xdr:rowOff>373380</xdr:rowOff>
    </xdr:from>
    <xdr:to>
      <xdr:col>91</xdr:col>
      <xdr:colOff>320040</xdr:colOff>
      <xdr:row>29</xdr:row>
      <xdr:rowOff>68580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25443AB-1AC9-428F-9827-729853A25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84</xdr:col>
      <xdr:colOff>0</xdr:colOff>
      <xdr:row>29</xdr:row>
      <xdr:rowOff>373380</xdr:rowOff>
    </xdr:from>
    <xdr:to>
      <xdr:col>91</xdr:col>
      <xdr:colOff>304800</xdr:colOff>
      <xdr:row>37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E7CCC6-73AE-4C86-8F1A-F10F86A49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83</xdr:col>
      <xdr:colOff>594360</xdr:colOff>
      <xdr:row>38</xdr:row>
      <xdr:rowOff>373380</xdr:rowOff>
    </xdr:from>
    <xdr:to>
      <xdr:col>91</xdr:col>
      <xdr:colOff>289560</xdr:colOff>
      <xdr:row>46</xdr:row>
      <xdr:rowOff>68580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45F36BF-098D-408D-91AE-4029200B5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84</xdr:col>
      <xdr:colOff>15240</xdr:colOff>
      <xdr:row>13</xdr:row>
      <xdr:rowOff>7620</xdr:rowOff>
    </xdr:from>
    <xdr:to>
      <xdr:col>91</xdr:col>
      <xdr:colOff>320040</xdr:colOff>
      <xdr:row>20</xdr:row>
      <xdr:rowOff>83820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F66F266-F46A-4263-971D-6001AD9C7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84</xdr:col>
      <xdr:colOff>15240</xdr:colOff>
      <xdr:row>2</xdr:row>
      <xdr:rowOff>373380</xdr:rowOff>
    </xdr:from>
    <xdr:to>
      <xdr:col>91</xdr:col>
      <xdr:colOff>320040</xdr:colOff>
      <xdr:row>10</xdr:row>
      <xdr:rowOff>68580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F912873-CA7F-48D0-9CBB-34E685779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120</xdr:col>
      <xdr:colOff>600075</xdr:colOff>
      <xdr:row>2</xdr:row>
      <xdr:rowOff>361950</xdr:rowOff>
    </xdr:from>
    <xdr:to>
      <xdr:col>128</xdr:col>
      <xdr:colOff>295275</xdr:colOff>
      <xdr:row>10</xdr:row>
      <xdr:rowOff>57150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5011692-EDA2-42B1-B1CA-056725F91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120</xdr:col>
      <xdr:colOff>600075</xdr:colOff>
      <xdr:row>13</xdr:row>
      <xdr:rowOff>19050</xdr:rowOff>
    </xdr:from>
    <xdr:to>
      <xdr:col>128</xdr:col>
      <xdr:colOff>295275</xdr:colOff>
      <xdr:row>20</xdr:row>
      <xdr:rowOff>95250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51ADACE0-083C-4205-8FAD-207521CB1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120</xdr:col>
      <xdr:colOff>600075</xdr:colOff>
      <xdr:row>22</xdr:row>
      <xdr:rowOff>0</xdr:rowOff>
    </xdr:from>
    <xdr:to>
      <xdr:col>128</xdr:col>
      <xdr:colOff>295275</xdr:colOff>
      <xdr:row>29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AF849684-42EE-4C0C-9226-B7A8097C5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120</xdr:col>
      <xdr:colOff>600075</xdr:colOff>
      <xdr:row>30</xdr:row>
      <xdr:rowOff>19050</xdr:rowOff>
    </xdr:from>
    <xdr:to>
      <xdr:col>128</xdr:col>
      <xdr:colOff>295275</xdr:colOff>
      <xdr:row>37</xdr:row>
      <xdr:rowOff>95250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D7931937-D1CC-4A88-90F5-4242BCB1E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121</xdr:col>
      <xdr:colOff>9525</xdr:colOff>
      <xdr:row>39</xdr:row>
      <xdr:rowOff>19050</xdr:rowOff>
    </xdr:from>
    <xdr:to>
      <xdr:col>128</xdr:col>
      <xdr:colOff>314325</xdr:colOff>
      <xdr:row>46</xdr:row>
      <xdr:rowOff>95250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BBFAEE7-09BA-4621-8FB9-F4947D3C0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120</xdr:col>
      <xdr:colOff>600075</xdr:colOff>
      <xdr:row>50</xdr:row>
      <xdr:rowOff>19050</xdr:rowOff>
    </xdr:from>
    <xdr:to>
      <xdr:col>128</xdr:col>
      <xdr:colOff>295275</xdr:colOff>
      <xdr:row>57</xdr:row>
      <xdr:rowOff>95250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06AB01D-F453-4651-B286-690B3D5AB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157</xdr:col>
      <xdr:colOff>600075</xdr:colOff>
      <xdr:row>50</xdr:row>
      <xdr:rowOff>0</xdr:rowOff>
    </xdr:from>
    <xdr:to>
      <xdr:col>165</xdr:col>
      <xdr:colOff>295275</xdr:colOff>
      <xdr:row>57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819127F0-3FA6-4F78-BCED-95D3A884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157</xdr:col>
      <xdr:colOff>600075</xdr:colOff>
      <xdr:row>39</xdr:row>
      <xdr:rowOff>0</xdr:rowOff>
    </xdr:from>
    <xdr:to>
      <xdr:col>165</xdr:col>
      <xdr:colOff>295275</xdr:colOff>
      <xdr:row>46</xdr:row>
      <xdr:rowOff>76200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FF579CD-CD9C-47C0-9123-D3A962CF6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157</xdr:col>
      <xdr:colOff>600075</xdr:colOff>
      <xdr:row>30</xdr:row>
      <xdr:rowOff>0</xdr:rowOff>
    </xdr:from>
    <xdr:to>
      <xdr:col>165</xdr:col>
      <xdr:colOff>295275</xdr:colOff>
      <xdr:row>37</xdr:row>
      <xdr:rowOff>76200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E88C787-05D0-460D-B5B7-638E626C5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158</xdr:col>
      <xdr:colOff>9525</xdr:colOff>
      <xdr:row>22</xdr:row>
      <xdr:rowOff>0</xdr:rowOff>
    </xdr:from>
    <xdr:to>
      <xdr:col>165</xdr:col>
      <xdr:colOff>314325</xdr:colOff>
      <xdr:row>29</xdr:row>
      <xdr:rowOff>76200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E8E0392-80E0-4E2E-8B9C-732F25209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157</xdr:col>
      <xdr:colOff>600075</xdr:colOff>
      <xdr:row>14</xdr:row>
      <xdr:rowOff>0</xdr:rowOff>
    </xdr:from>
    <xdr:to>
      <xdr:col>165</xdr:col>
      <xdr:colOff>295275</xdr:colOff>
      <xdr:row>21</xdr:row>
      <xdr:rowOff>76200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FDE6579-04DA-4E5B-AD53-7A2D54F54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157</xdr:col>
      <xdr:colOff>600075</xdr:colOff>
      <xdr:row>3</xdr:row>
      <xdr:rowOff>0</xdr:rowOff>
    </xdr:from>
    <xdr:to>
      <xdr:col>165</xdr:col>
      <xdr:colOff>295275</xdr:colOff>
      <xdr:row>10</xdr:row>
      <xdr:rowOff>76200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2511390C-7E57-484B-88C0-6A8024380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194</xdr:col>
      <xdr:colOff>600075</xdr:colOff>
      <xdr:row>3</xdr:row>
      <xdr:rowOff>0</xdr:rowOff>
    </xdr:from>
    <xdr:to>
      <xdr:col>202</xdr:col>
      <xdr:colOff>295275</xdr:colOff>
      <xdr:row>10</xdr:row>
      <xdr:rowOff>76200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079503C-115D-4048-90BC-6C37E7CB6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194</xdr:col>
      <xdr:colOff>600075</xdr:colOff>
      <xdr:row>14</xdr:row>
      <xdr:rowOff>19050</xdr:rowOff>
    </xdr:from>
    <xdr:to>
      <xdr:col>202</xdr:col>
      <xdr:colOff>295275</xdr:colOff>
      <xdr:row>21</xdr:row>
      <xdr:rowOff>95250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9083CC3-CDBB-4751-AEE0-A01179D83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195</xdr:col>
      <xdr:colOff>9525</xdr:colOff>
      <xdr:row>22</xdr:row>
      <xdr:rowOff>0</xdr:rowOff>
    </xdr:from>
    <xdr:to>
      <xdr:col>202</xdr:col>
      <xdr:colOff>314325</xdr:colOff>
      <xdr:row>29</xdr:row>
      <xdr:rowOff>76200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EEE1340B-FCFD-49CA-A530-FD99C6A04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194</xdr:col>
      <xdr:colOff>600075</xdr:colOff>
      <xdr:row>30</xdr:row>
      <xdr:rowOff>0</xdr:rowOff>
    </xdr:from>
    <xdr:to>
      <xdr:col>202</xdr:col>
      <xdr:colOff>295275</xdr:colOff>
      <xdr:row>37</xdr:row>
      <xdr:rowOff>76200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EBDA34E5-8A97-45BC-AA1E-CAB61B1FA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194</xdr:col>
      <xdr:colOff>600075</xdr:colOff>
      <xdr:row>39</xdr:row>
      <xdr:rowOff>0</xdr:rowOff>
    </xdr:from>
    <xdr:to>
      <xdr:col>202</xdr:col>
      <xdr:colOff>295275</xdr:colOff>
      <xdr:row>46</xdr:row>
      <xdr:rowOff>76200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A70D6F4E-DF1E-43EF-9E8E-9B5108624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194</xdr:col>
      <xdr:colOff>600075</xdr:colOff>
      <xdr:row>50</xdr:row>
      <xdr:rowOff>0</xdr:rowOff>
    </xdr:from>
    <xdr:to>
      <xdr:col>202</xdr:col>
      <xdr:colOff>295275</xdr:colOff>
      <xdr:row>57</xdr:row>
      <xdr:rowOff>76200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A79F1CC-3B0D-44B8-916F-0AB5CA6B0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222</xdr:col>
      <xdr:colOff>162560</xdr:colOff>
      <xdr:row>3</xdr:row>
      <xdr:rowOff>0</xdr:rowOff>
    </xdr:from>
    <xdr:to>
      <xdr:col>229</xdr:col>
      <xdr:colOff>467360</xdr:colOff>
      <xdr:row>10</xdr:row>
      <xdr:rowOff>40640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F5E131-6600-4A15-B390-C230CAA0B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237</xdr:col>
      <xdr:colOff>142240</xdr:colOff>
      <xdr:row>3</xdr:row>
      <xdr:rowOff>10160</xdr:rowOff>
    </xdr:from>
    <xdr:to>
      <xdr:col>244</xdr:col>
      <xdr:colOff>447040</xdr:colOff>
      <xdr:row>10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E39DCAC-6EEE-43DF-ACF7-7772B7505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252</xdr:col>
      <xdr:colOff>40640</xdr:colOff>
      <xdr:row>3</xdr:row>
      <xdr:rowOff>30480</xdr:rowOff>
    </xdr:from>
    <xdr:to>
      <xdr:col>259</xdr:col>
      <xdr:colOff>345440</xdr:colOff>
      <xdr:row>10</xdr:row>
      <xdr:rowOff>71120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129EE7-40E9-4602-8AEC-DCB372DCB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267</xdr:col>
      <xdr:colOff>121920</xdr:colOff>
      <xdr:row>3</xdr:row>
      <xdr:rowOff>20320</xdr:rowOff>
    </xdr:from>
    <xdr:to>
      <xdr:col>274</xdr:col>
      <xdr:colOff>426720</xdr:colOff>
      <xdr:row>10</xdr:row>
      <xdr:rowOff>60960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EE577BC-28B2-4916-B27A-BC5CD3E86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221</xdr:col>
      <xdr:colOff>81280</xdr:colOff>
      <xdr:row>50</xdr:row>
      <xdr:rowOff>20320</xdr:rowOff>
    </xdr:from>
    <xdr:to>
      <xdr:col>228</xdr:col>
      <xdr:colOff>386080</xdr:colOff>
      <xdr:row>57</xdr:row>
      <xdr:rowOff>60960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A095F85-970A-4184-87F6-EDA0606C0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235</xdr:col>
      <xdr:colOff>57979</xdr:colOff>
      <xdr:row>50</xdr:row>
      <xdr:rowOff>28161</xdr:rowOff>
    </xdr:from>
    <xdr:to>
      <xdr:col>242</xdr:col>
      <xdr:colOff>339587</xdr:colOff>
      <xdr:row>57</xdr:row>
      <xdr:rowOff>104361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5784870-23C9-47FB-8A67-D33D378C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249</xdr:col>
      <xdr:colOff>33130</xdr:colOff>
      <xdr:row>50</xdr:row>
      <xdr:rowOff>28161</xdr:rowOff>
    </xdr:from>
    <xdr:to>
      <xdr:col>256</xdr:col>
      <xdr:colOff>314739</xdr:colOff>
      <xdr:row>57</xdr:row>
      <xdr:rowOff>104361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379F79B-7478-421D-B715-1C43C3AE0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222</xdr:col>
      <xdr:colOff>82550</xdr:colOff>
      <xdr:row>39</xdr:row>
      <xdr:rowOff>19050</xdr:rowOff>
    </xdr:from>
    <xdr:to>
      <xdr:col>229</xdr:col>
      <xdr:colOff>387350</xdr:colOff>
      <xdr:row>46</xdr:row>
      <xdr:rowOff>95250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46A6921-E91C-4E1F-9CCC-4F1F78AE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237</xdr:col>
      <xdr:colOff>57150</xdr:colOff>
      <xdr:row>38</xdr:row>
      <xdr:rowOff>374650</xdr:rowOff>
    </xdr:from>
    <xdr:to>
      <xdr:col>244</xdr:col>
      <xdr:colOff>361950</xdr:colOff>
      <xdr:row>46</xdr:row>
      <xdr:rowOff>69850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74428F5-1348-4B19-B9BD-D50266974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252</xdr:col>
      <xdr:colOff>31750</xdr:colOff>
      <xdr:row>39</xdr:row>
      <xdr:rowOff>6350</xdr:rowOff>
    </xdr:from>
    <xdr:to>
      <xdr:col>259</xdr:col>
      <xdr:colOff>336550</xdr:colOff>
      <xdr:row>46</xdr:row>
      <xdr:rowOff>82550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3FFA908-4889-4C02-BB93-EE5007551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267</xdr:col>
      <xdr:colOff>31750</xdr:colOff>
      <xdr:row>38</xdr:row>
      <xdr:rowOff>361950</xdr:rowOff>
    </xdr:from>
    <xdr:to>
      <xdr:col>274</xdr:col>
      <xdr:colOff>336550</xdr:colOff>
      <xdr:row>46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909CF1B-1508-47D8-A4F4-35C47F0A8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222</xdr:col>
      <xdr:colOff>69850</xdr:colOff>
      <xdr:row>14</xdr:row>
      <xdr:rowOff>19050</xdr:rowOff>
    </xdr:from>
    <xdr:to>
      <xdr:col>229</xdr:col>
      <xdr:colOff>374650</xdr:colOff>
      <xdr:row>21</xdr:row>
      <xdr:rowOff>95250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80ABA52-C618-4B58-8D1D-1BAE69903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237</xdr:col>
      <xdr:colOff>19050</xdr:colOff>
      <xdr:row>13</xdr:row>
      <xdr:rowOff>374650</xdr:rowOff>
    </xdr:from>
    <xdr:to>
      <xdr:col>244</xdr:col>
      <xdr:colOff>323850</xdr:colOff>
      <xdr:row>21</xdr:row>
      <xdr:rowOff>69850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B13B620-C2E6-4C49-BE9D-6593F26DB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252</xdr:col>
      <xdr:colOff>44450</xdr:colOff>
      <xdr:row>14</xdr:row>
      <xdr:rowOff>6350</xdr:rowOff>
    </xdr:from>
    <xdr:to>
      <xdr:col>259</xdr:col>
      <xdr:colOff>349250</xdr:colOff>
      <xdr:row>21</xdr:row>
      <xdr:rowOff>82550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DB9D195-B381-47F4-9038-884E54F37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267</xdr:col>
      <xdr:colOff>31750</xdr:colOff>
      <xdr:row>13</xdr:row>
      <xdr:rowOff>349250</xdr:rowOff>
    </xdr:from>
    <xdr:to>
      <xdr:col>274</xdr:col>
      <xdr:colOff>336550</xdr:colOff>
      <xdr:row>21</xdr:row>
      <xdr:rowOff>44450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19F01E-9E44-4E42-B50C-D7D3E4315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221</xdr:col>
      <xdr:colOff>31750</xdr:colOff>
      <xdr:row>24</xdr:row>
      <xdr:rowOff>374650</xdr:rowOff>
    </xdr:from>
    <xdr:to>
      <xdr:col>228</xdr:col>
      <xdr:colOff>336550</xdr:colOff>
      <xdr:row>32</xdr:row>
      <xdr:rowOff>69850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EAA51A0-68E0-4E1C-8A05-2AA3E489A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235</xdr:col>
      <xdr:colOff>35943</xdr:colOff>
      <xdr:row>24</xdr:row>
      <xdr:rowOff>368060</xdr:rowOff>
    </xdr:from>
    <xdr:to>
      <xdr:col>242</xdr:col>
      <xdr:colOff>381000</xdr:colOff>
      <xdr:row>32</xdr:row>
      <xdr:rowOff>5750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83BBCAD-36CC-44A5-89FA-34EA4F07C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249</xdr:col>
      <xdr:colOff>50321</xdr:colOff>
      <xdr:row>24</xdr:row>
      <xdr:rowOff>382438</xdr:rowOff>
    </xdr:from>
    <xdr:to>
      <xdr:col>256</xdr:col>
      <xdr:colOff>395378</xdr:colOff>
      <xdr:row>32</xdr:row>
      <xdr:rowOff>20128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FE6CC56-C9DC-49A3-8D49-EF9B768B3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263</xdr:col>
      <xdr:colOff>21566</xdr:colOff>
      <xdr:row>24</xdr:row>
      <xdr:rowOff>382438</xdr:rowOff>
    </xdr:from>
    <xdr:to>
      <xdr:col>270</xdr:col>
      <xdr:colOff>366623</xdr:colOff>
      <xdr:row>32</xdr:row>
      <xdr:rowOff>20128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F4D4D16-D794-4355-9B08-F2E5FDBA7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277</xdr:col>
      <xdr:colOff>35942</xdr:colOff>
      <xdr:row>24</xdr:row>
      <xdr:rowOff>368061</xdr:rowOff>
    </xdr:from>
    <xdr:to>
      <xdr:col>284</xdr:col>
      <xdr:colOff>380999</xdr:colOff>
      <xdr:row>32</xdr:row>
      <xdr:rowOff>5751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91898A3-A9F4-494E-B459-CE5FD50B7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291</xdr:col>
      <xdr:colOff>50321</xdr:colOff>
      <xdr:row>24</xdr:row>
      <xdr:rowOff>368061</xdr:rowOff>
    </xdr:from>
    <xdr:to>
      <xdr:col>298</xdr:col>
      <xdr:colOff>395377</xdr:colOff>
      <xdr:row>32</xdr:row>
      <xdr:rowOff>5751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C1718033-733F-4510-81D3-C9DD8D970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7B94A-5CF6-485D-AA82-081A06254217}">
  <dimension ref="A1:KE71"/>
  <sheetViews>
    <sheetView tabSelected="1" topLeftCell="GA1" zoomScale="50" zoomScaleNormal="50" workbookViewId="0">
      <selection activeCell="DG17" sqref="DG17"/>
    </sheetView>
  </sheetViews>
  <sheetFormatPr defaultRowHeight="14.4" x14ac:dyDescent="0.3"/>
  <cols>
    <col min="1" max="1" width="8.88671875" style="38"/>
    <col min="2" max="3" width="9" style="33" bestFit="1" customWidth="1"/>
    <col min="4" max="4" width="11.77734375" style="33" bestFit="1" customWidth="1"/>
    <col min="5" max="5" width="9" style="33" bestFit="1" customWidth="1"/>
    <col min="6" max="14" width="8.88671875" style="33"/>
    <col min="15" max="16" width="9" style="33" bestFit="1" customWidth="1"/>
    <col min="17" max="17" width="11.77734375" style="33" bestFit="1" customWidth="1"/>
    <col min="18" max="25" width="8.88671875" style="33"/>
    <col min="26" max="26" width="8.88671875" style="34"/>
    <col min="27" max="27" width="8.88671875" style="38"/>
    <col min="28" max="34" width="8.88671875" style="33"/>
    <col min="35" max="35" width="8.88671875" style="34"/>
    <col min="36" max="36" width="8.88671875" style="38"/>
    <col min="37" max="37" width="8.88671875" style="33"/>
    <col min="38" max="41" width="9.109375" style="33" bestFit="1" customWidth="1"/>
    <col min="42" max="43" width="8.88671875" style="33"/>
    <col min="44" max="45" width="12.77734375" style="33" bestFit="1" customWidth="1"/>
    <col min="46" max="46" width="11.77734375" style="33" bestFit="1" customWidth="1"/>
    <col min="47" max="47" width="13.21875" style="33" bestFit="1" customWidth="1"/>
    <col min="48" max="58" width="8.88671875" style="33"/>
    <col min="59" max="59" width="8.88671875" style="34" customWidth="1"/>
    <col min="60" max="66" width="8.88671875" style="33" customWidth="1"/>
    <col min="67" max="67" width="8.88671875" style="38"/>
    <col min="68" max="68" width="8.88671875" style="33"/>
    <col min="69" max="69" width="12" style="33" bestFit="1" customWidth="1"/>
    <col min="70" max="71" width="13.21875" style="33" bestFit="1" customWidth="1"/>
    <col min="72" max="72" width="9.109375" style="33" bestFit="1" customWidth="1"/>
    <col min="73" max="73" width="9.5546875" style="33" bestFit="1" customWidth="1"/>
    <col min="74" max="74" width="9.21875" style="33" bestFit="1" customWidth="1"/>
    <col min="75" max="76" width="8.88671875" style="33"/>
    <col min="77" max="77" width="13.33203125" style="33" bestFit="1" customWidth="1"/>
    <col min="78" max="78" width="12.5546875" style="33" bestFit="1" customWidth="1"/>
    <col min="79" max="79" width="12.6640625" style="33" bestFit="1" customWidth="1"/>
    <col min="80" max="80" width="12.21875" style="33" bestFit="1" customWidth="1"/>
    <col min="81" max="81" width="9.109375" style="33" bestFit="1" customWidth="1"/>
    <col min="82" max="82" width="13.6640625" style="33" bestFit="1" customWidth="1"/>
    <col min="83" max="83" width="12.5546875" style="33" bestFit="1" customWidth="1"/>
    <col min="84" max="92" width="8.88671875" style="33"/>
    <col min="93" max="93" width="8.88671875" style="34"/>
    <col min="94" max="103" width="8.88671875" style="33"/>
    <col min="106" max="106" width="12.21875" bestFit="1" customWidth="1"/>
    <col min="107" max="107" width="11" bestFit="1" customWidth="1"/>
    <col min="108" max="108" width="12.5546875" bestFit="1" customWidth="1"/>
    <col min="109" max="111" width="9" bestFit="1" customWidth="1"/>
    <col min="114" max="115" width="12.5546875" bestFit="1" customWidth="1"/>
    <col min="116" max="116" width="11.88671875" bestFit="1" customWidth="1"/>
    <col min="143" max="148" width="9" bestFit="1" customWidth="1"/>
    <col min="151" max="151" width="12.88671875" bestFit="1" customWidth="1"/>
    <col min="152" max="153" width="12.5546875" bestFit="1" customWidth="1"/>
    <col min="154" max="155" width="9" bestFit="1" customWidth="1"/>
    <col min="156" max="156" width="9.77734375" bestFit="1" customWidth="1"/>
    <col min="157" max="157" width="9" bestFit="1" customWidth="1"/>
    <col min="180" max="185" width="9" bestFit="1" customWidth="1"/>
    <col min="188" max="189" width="9" bestFit="1" customWidth="1"/>
    <col min="190" max="190" width="9.77734375" bestFit="1" customWidth="1"/>
    <col min="191" max="192" width="9" bestFit="1" customWidth="1"/>
    <col min="193" max="193" width="9.6640625" bestFit="1" customWidth="1"/>
    <col min="194" max="194" width="9" bestFit="1" customWidth="1"/>
    <col min="217" max="217" width="9.109375" bestFit="1" customWidth="1"/>
    <col min="218" max="218" width="11.88671875" bestFit="1" customWidth="1"/>
    <col min="219" max="219" width="11.21875" bestFit="1" customWidth="1"/>
    <col min="220" max="220" width="11.77734375" bestFit="1" customWidth="1"/>
    <col min="221" max="221" width="11.33203125" bestFit="1" customWidth="1"/>
    <col min="222" max="222" width="9" bestFit="1" customWidth="1"/>
    <col min="231" max="231" width="9" bestFit="1" customWidth="1"/>
    <col min="232" max="233" width="9.109375" bestFit="1" customWidth="1"/>
    <col min="234" max="234" width="12.109375" bestFit="1" customWidth="1"/>
    <col min="235" max="235" width="12.44140625" bestFit="1" customWidth="1"/>
    <col min="245" max="247" width="9.109375" bestFit="1" customWidth="1"/>
    <col min="248" max="248" width="13.21875" bestFit="1" customWidth="1"/>
    <col min="249" max="249" width="12.109375" bestFit="1" customWidth="1"/>
    <col min="287" max="287" width="11.5546875" bestFit="1" customWidth="1"/>
    <col min="288" max="291" width="9" bestFit="1" customWidth="1"/>
  </cols>
  <sheetData>
    <row r="1" spans="1:267" s="39" customFormat="1" ht="61.8" customHeight="1" thickBot="1" x14ac:dyDescent="0.35">
      <c r="A1" s="121" t="s">
        <v>84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9"/>
      <c r="AA1" s="125" t="s">
        <v>85</v>
      </c>
      <c r="AB1" s="126"/>
      <c r="AC1" s="126"/>
      <c r="AD1" s="126"/>
      <c r="AE1" s="126"/>
      <c r="AF1" s="126"/>
      <c r="AG1" s="126"/>
      <c r="AH1" s="126"/>
      <c r="AI1" s="130"/>
      <c r="AJ1" s="123" t="s">
        <v>86</v>
      </c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71"/>
      <c r="BI1" s="71"/>
      <c r="BJ1" s="71"/>
      <c r="BK1" s="71"/>
      <c r="BL1" s="71"/>
      <c r="BM1" s="71"/>
      <c r="BN1" s="71"/>
      <c r="BO1" s="127" t="s">
        <v>120</v>
      </c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73"/>
      <c r="CQ1" s="73"/>
      <c r="CR1" s="73"/>
      <c r="CS1" s="73"/>
      <c r="CT1" s="73"/>
      <c r="CU1" s="73"/>
      <c r="CV1" s="73"/>
      <c r="CW1" s="79"/>
      <c r="CX1" s="79"/>
      <c r="CY1" s="79"/>
      <c r="CZ1" s="125" t="s">
        <v>121</v>
      </c>
      <c r="DA1" s="126"/>
      <c r="DB1" s="126"/>
      <c r="DC1" s="126"/>
      <c r="DD1" s="126"/>
      <c r="DE1" s="126"/>
      <c r="DF1" s="126"/>
      <c r="DG1" s="126"/>
      <c r="DH1" s="126"/>
      <c r="DI1" s="126"/>
      <c r="DJ1" s="126"/>
      <c r="DK1" s="126"/>
      <c r="DL1" s="126"/>
      <c r="DM1" s="126"/>
      <c r="DN1" s="126"/>
      <c r="DO1" s="126"/>
      <c r="DP1" s="126"/>
      <c r="DQ1" s="126"/>
      <c r="DR1" s="126"/>
      <c r="DS1" s="126"/>
      <c r="DT1" s="126"/>
      <c r="DU1" s="126"/>
      <c r="DV1" s="126"/>
      <c r="DW1" s="126"/>
      <c r="DX1" s="126"/>
      <c r="DY1" s="126"/>
      <c r="DZ1" s="126"/>
      <c r="EA1" s="72"/>
      <c r="EB1" s="72"/>
      <c r="EC1" s="72"/>
      <c r="ED1" s="72"/>
      <c r="EE1" s="72"/>
      <c r="EF1" s="72"/>
      <c r="EG1" s="72"/>
      <c r="EH1" s="78"/>
      <c r="EI1" s="78"/>
      <c r="EJ1" s="78"/>
      <c r="EK1" s="123" t="s">
        <v>122</v>
      </c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71"/>
      <c r="FM1" s="71"/>
      <c r="FN1" s="71"/>
      <c r="FO1" s="71"/>
      <c r="FP1" s="71"/>
      <c r="FQ1" s="71"/>
      <c r="FR1" s="71"/>
      <c r="FS1" s="77"/>
      <c r="FT1" s="77"/>
      <c r="FU1" s="77"/>
      <c r="FV1" s="121" t="s">
        <v>123</v>
      </c>
      <c r="FW1" s="122"/>
      <c r="FX1" s="122"/>
      <c r="FY1" s="122"/>
      <c r="FZ1" s="122"/>
      <c r="GA1" s="122"/>
      <c r="GB1" s="122"/>
      <c r="GC1" s="122"/>
      <c r="GD1" s="122"/>
      <c r="GE1" s="122"/>
      <c r="GF1" s="122"/>
      <c r="GG1" s="122"/>
      <c r="GH1" s="122"/>
      <c r="GI1" s="122"/>
      <c r="GJ1" s="122"/>
      <c r="GK1" s="122"/>
      <c r="GL1" s="122"/>
      <c r="GM1" s="122"/>
      <c r="GN1" s="122"/>
      <c r="GO1" s="122"/>
      <c r="GP1" s="122"/>
      <c r="GQ1" s="122"/>
      <c r="GR1" s="122"/>
      <c r="GS1" s="122"/>
      <c r="GT1" s="122"/>
      <c r="GU1" s="122"/>
      <c r="GV1" s="122"/>
      <c r="GW1" s="86"/>
      <c r="GX1" s="84"/>
      <c r="GY1" s="84"/>
      <c r="GZ1" s="84"/>
      <c r="HA1" s="84"/>
      <c r="HB1" s="84"/>
      <c r="HC1" s="84"/>
      <c r="HD1" s="84"/>
      <c r="HE1" s="84"/>
      <c r="HF1" s="85"/>
      <c r="HG1" s="80"/>
    </row>
    <row r="2" spans="1:267" ht="30" customHeight="1" thickBot="1" x14ac:dyDescent="0.35">
      <c r="A2" s="108" t="s">
        <v>225</v>
      </c>
      <c r="B2" s="109"/>
      <c r="C2" s="109"/>
      <c r="D2" s="109"/>
      <c r="E2" s="110"/>
      <c r="AB2" s="108" t="s">
        <v>225</v>
      </c>
      <c r="AC2" s="109"/>
      <c r="AD2" s="109"/>
      <c r="AE2" s="109"/>
      <c r="AF2" s="110"/>
      <c r="AK2" s="108" t="s">
        <v>225</v>
      </c>
      <c r="AL2" s="109"/>
      <c r="AM2" s="109"/>
      <c r="AN2" s="109"/>
      <c r="AO2" s="110"/>
      <c r="AQ2" s="115" t="s">
        <v>119</v>
      </c>
      <c r="AR2" s="116"/>
      <c r="AS2" s="116"/>
      <c r="AT2" s="116"/>
      <c r="AU2" s="117"/>
      <c r="BP2" s="108" t="s">
        <v>225</v>
      </c>
      <c r="BQ2" s="109"/>
      <c r="BR2" s="109"/>
      <c r="BS2" s="109"/>
      <c r="BT2" s="110"/>
      <c r="BX2" s="115" t="s">
        <v>119</v>
      </c>
      <c r="BY2" s="116"/>
      <c r="BZ2" s="116"/>
      <c r="CA2" s="116"/>
      <c r="CB2" s="117"/>
      <c r="CQ2" s="108" t="s">
        <v>225</v>
      </c>
      <c r="CR2" s="109"/>
      <c r="CS2" s="109"/>
      <c r="CT2" s="109"/>
      <c r="CU2" s="110"/>
      <c r="CV2" s="75"/>
      <c r="CW2" s="75"/>
      <c r="CX2" s="75"/>
      <c r="CY2" s="75"/>
      <c r="CZ2" s="38"/>
      <c r="DA2" s="108" t="s">
        <v>225</v>
      </c>
      <c r="DB2" s="109"/>
      <c r="DC2" s="109"/>
      <c r="DD2" s="109"/>
      <c r="DE2" s="110"/>
      <c r="DF2" s="33"/>
      <c r="DG2" s="33"/>
      <c r="DH2" s="33"/>
      <c r="DI2" s="115" t="s">
        <v>119</v>
      </c>
      <c r="DJ2" s="116"/>
      <c r="DK2" s="116"/>
      <c r="DL2" s="116"/>
      <c r="DM2" s="117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4"/>
      <c r="EA2" s="33"/>
      <c r="EB2" s="108" t="s">
        <v>225</v>
      </c>
      <c r="EC2" s="109"/>
      <c r="ED2" s="109"/>
      <c r="EE2" s="109"/>
      <c r="EF2" s="110"/>
      <c r="EG2" s="75"/>
      <c r="EH2" s="75"/>
      <c r="EI2" s="75"/>
      <c r="EJ2" s="75"/>
      <c r="EK2" s="38"/>
      <c r="EL2" s="108" t="s">
        <v>225</v>
      </c>
      <c r="EM2" s="109"/>
      <c r="EN2" s="109"/>
      <c r="EO2" s="109"/>
      <c r="EP2" s="110"/>
      <c r="EQ2" s="33"/>
      <c r="ER2" s="33"/>
      <c r="ES2" s="33"/>
      <c r="ET2" s="115" t="s">
        <v>119</v>
      </c>
      <c r="EU2" s="116"/>
      <c r="EV2" s="116"/>
      <c r="EW2" s="116"/>
      <c r="EX2" s="117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4"/>
      <c r="FL2" s="33"/>
      <c r="FM2" s="108" t="s">
        <v>225</v>
      </c>
      <c r="FN2" s="109"/>
      <c r="FO2" s="109"/>
      <c r="FP2" s="109"/>
      <c r="FQ2" s="110"/>
      <c r="FR2" s="75"/>
      <c r="FS2" s="75"/>
      <c r="FT2" s="75"/>
      <c r="FU2" s="75"/>
      <c r="FV2" s="38"/>
      <c r="FW2" s="108" t="s">
        <v>225</v>
      </c>
      <c r="FX2" s="109"/>
      <c r="FY2" s="109"/>
      <c r="FZ2" s="109"/>
      <c r="GA2" s="110"/>
      <c r="GB2" s="33"/>
      <c r="GC2" s="33"/>
      <c r="GD2" s="33"/>
      <c r="GE2" s="115" t="s">
        <v>119</v>
      </c>
      <c r="GF2" s="116"/>
      <c r="GG2" s="116"/>
      <c r="GH2" s="116"/>
      <c r="GI2" s="117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87"/>
      <c r="GX2" s="105" t="s">
        <v>225</v>
      </c>
      <c r="GY2" s="106"/>
      <c r="GZ2" s="106"/>
      <c r="HA2" s="106"/>
      <c r="HB2" s="107"/>
      <c r="HC2" s="88"/>
      <c r="HD2" s="88"/>
      <c r="HE2" s="88"/>
      <c r="HF2" s="89"/>
      <c r="HG2" s="33"/>
    </row>
    <row r="3" spans="1:267" ht="30" customHeight="1" thickBot="1" x14ac:dyDescent="0.35">
      <c r="A3" s="35"/>
      <c r="B3" s="10" t="s">
        <v>0</v>
      </c>
      <c r="C3" s="10" t="s">
        <v>1</v>
      </c>
      <c r="D3" s="10" t="s">
        <v>2</v>
      </c>
      <c r="E3" s="11" t="s">
        <v>3</v>
      </c>
      <c r="AB3" s="9"/>
      <c r="AC3" s="20" t="s">
        <v>0</v>
      </c>
      <c r="AD3" s="20" t="s">
        <v>1</v>
      </c>
      <c r="AE3" s="20" t="s">
        <v>2</v>
      </c>
      <c r="AF3" s="21" t="s">
        <v>3</v>
      </c>
      <c r="AK3" s="9"/>
      <c r="AL3" s="20" t="s">
        <v>0</v>
      </c>
      <c r="AM3" s="20" t="s">
        <v>1</v>
      </c>
      <c r="AN3" s="20" t="s">
        <v>2</v>
      </c>
      <c r="AO3" s="21" t="s">
        <v>3</v>
      </c>
      <c r="AQ3" s="41"/>
      <c r="AR3" s="42" t="s">
        <v>0</v>
      </c>
      <c r="AS3" s="42" t="s">
        <v>1</v>
      </c>
      <c r="AT3" s="42" t="s">
        <v>2</v>
      </c>
      <c r="AU3" s="43" t="s">
        <v>3</v>
      </c>
      <c r="BI3" s="108" t="s">
        <v>225</v>
      </c>
      <c r="BJ3" s="109"/>
      <c r="BK3" s="109"/>
      <c r="BL3" s="109"/>
      <c r="BM3" s="110"/>
      <c r="BN3" s="75"/>
      <c r="BP3" s="9"/>
      <c r="BQ3" s="20" t="s">
        <v>0</v>
      </c>
      <c r="BR3" s="20" t="s">
        <v>1</v>
      </c>
      <c r="BS3" s="20" t="s">
        <v>2</v>
      </c>
      <c r="BT3" s="21" t="s">
        <v>3</v>
      </c>
      <c r="BX3" s="41"/>
      <c r="BY3" s="42" t="s">
        <v>0</v>
      </c>
      <c r="BZ3" s="42" t="s">
        <v>1</v>
      </c>
      <c r="CA3" s="42" t="s">
        <v>2</v>
      </c>
      <c r="CB3" s="43" t="s">
        <v>3</v>
      </c>
      <c r="CQ3" s="9"/>
      <c r="CR3" s="20" t="s">
        <v>0</v>
      </c>
      <c r="CS3" s="20" t="s">
        <v>1</v>
      </c>
      <c r="CT3" s="20" t="s">
        <v>2</v>
      </c>
      <c r="CU3" s="21" t="s">
        <v>3</v>
      </c>
      <c r="CV3" s="75"/>
      <c r="CW3" s="75"/>
      <c r="CX3" s="75"/>
      <c r="CY3" s="75"/>
      <c r="CZ3" s="38"/>
      <c r="DA3" s="9"/>
      <c r="DB3" s="20" t="s">
        <v>0</v>
      </c>
      <c r="DC3" s="20" t="s">
        <v>1</v>
      </c>
      <c r="DD3" s="20" t="s">
        <v>2</v>
      </c>
      <c r="DE3" s="21" t="s">
        <v>3</v>
      </c>
      <c r="DF3" s="33"/>
      <c r="DG3" s="33"/>
      <c r="DH3" s="33"/>
      <c r="DI3" s="41"/>
      <c r="DJ3" s="42" t="s">
        <v>0</v>
      </c>
      <c r="DK3" s="42" t="s">
        <v>1</v>
      </c>
      <c r="DL3" s="42" t="s">
        <v>2</v>
      </c>
      <c r="DM3" s="43" t="s">
        <v>3</v>
      </c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4"/>
      <c r="EA3" s="33"/>
      <c r="EB3" s="9"/>
      <c r="EC3" s="20" t="s">
        <v>0</v>
      </c>
      <c r="ED3" s="20" t="s">
        <v>1</v>
      </c>
      <c r="EE3" s="20" t="s">
        <v>2</v>
      </c>
      <c r="EF3" s="21" t="s">
        <v>3</v>
      </c>
      <c r="EG3" s="75"/>
      <c r="EH3" s="75"/>
      <c r="EI3" s="75"/>
      <c r="EJ3" s="75"/>
      <c r="EK3" s="38"/>
      <c r="EL3" s="9"/>
      <c r="EM3" s="20" t="s">
        <v>0</v>
      </c>
      <c r="EN3" s="20" t="s">
        <v>1</v>
      </c>
      <c r="EO3" s="20" t="s">
        <v>2</v>
      </c>
      <c r="EP3" s="21" t="s">
        <v>3</v>
      </c>
      <c r="EQ3" s="33"/>
      <c r="ER3" s="33"/>
      <c r="ES3" s="33"/>
      <c r="ET3" s="41"/>
      <c r="EU3" s="42" t="s">
        <v>0</v>
      </c>
      <c r="EV3" s="42" t="s">
        <v>1</v>
      </c>
      <c r="EW3" s="42" t="s">
        <v>2</v>
      </c>
      <c r="EX3" s="43" t="s">
        <v>3</v>
      </c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4"/>
      <c r="FL3" s="33"/>
      <c r="FM3" s="9"/>
      <c r="FN3" s="20" t="s">
        <v>0</v>
      </c>
      <c r="FO3" s="20" t="s">
        <v>1</v>
      </c>
      <c r="FP3" s="20" t="s">
        <v>2</v>
      </c>
      <c r="FQ3" s="21" t="s">
        <v>3</v>
      </c>
      <c r="FR3" s="75"/>
      <c r="FS3" s="75"/>
      <c r="FT3" s="75"/>
      <c r="FU3" s="75"/>
      <c r="FV3" s="38"/>
      <c r="FW3" s="9"/>
      <c r="FX3" s="20" t="s">
        <v>0</v>
      </c>
      <c r="FY3" s="20" t="s">
        <v>1</v>
      </c>
      <c r="FZ3" s="20" t="s">
        <v>2</v>
      </c>
      <c r="GA3" s="21" t="s">
        <v>3</v>
      </c>
      <c r="GB3" s="33"/>
      <c r="GC3" s="33"/>
      <c r="GD3" s="33"/>
      <c r="GE3" s="41"/>
      <c r="GF3" s="42" t="s">
        <v>0</v>
      </c>
      <c r="GG3" s="42" t="s">
        <v>1</v>
      </c>
      <c r="GH3" s="42" t="s">
        <v>2</v>
      </c>
      <c r="GI3" s="43" t="s">
        <v>3</v>
      </c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8"/>
      <c r="GX3" s="35"/>
      <c r="GY3" s="20" t="s">
        <v>0</v>
      </c>
      <c r="GZ3" s="20" t="s">
        <v>1</v>
      </c>
      <c r="HA3" s="20" t="s">
        <v>2</v>
      </c>
      <c r="HB3" s="95" t="s">
        <v>3</v>
      </c>
      <c r="HC3" s="66"/>
      <c r="HD3" s="66"/>
      <c r="HE3" s="66"/>
      <c r="HF3" s="60"/>
      <c r="HG3" s="33"/>
    </row>
    <row r="4" spans="1:267" ht="30" customHeight="1" thickBot="1" x14ac:dyDescent="0.35">
      <c r="A4" s="36" t="s">
        <v>4</v>
      </c>
      <c r="B4" s="2" t="s">
        <v>226</v>
      </c>
      <c r="C4" s="2" t="s">
        <v>227</v>
      </c>
      <c r="D4" s="3">
        <f>AVERAGE(0.918,0.312)</f>
        <v>0.61499999999999999</v>
      </c>
      <c r="E4" s="4">
        <v>0.24</v>
      </c>
      <c r="AB4" s="18" t="s">
        <v>4</v>
      </c>
      <c r="AC4" s="22" t="s">
        <v>28</v>
      </c>
      <c r="AD4" s="23" t="s">
        <v>27</v>
      </c>
      <c r="AE4" s="24" t="s">
        <v>26</v>
      </c>
      <c r="AF4" s="25" t="s">
        <v>25</v>
      </c>
      <c r="AK4" s="18" t="s">
        <v>4</v>
      </c>
      <c r="AL4" s="12">
        <v>0.66400000000000003</v>
      </c>
      <c r="AM4" s="13">
        <v>0.71099999999999997</v>
      </c>
      <c r="AN4" s="16">
        <f>AVERAGE(0.88,0.402)</f>
        <v>0.64100000000000001</v>
      </c>
      <c r="AO4" s="14">
        <v>0.29299999999999998</v>
      </c>
      <c r="AQ4" s="18" t="s">
        <v>4</v>
      </c>
      <c r="AR4" s="69">
        <f t="shared" ref="AR4:AU11" si="0">AL4-B4</f>
        <v>2.1000000000000019E-2</v>
      </c>
      <c r="AS4" s="12">
        <f t="shared" si="0"/>
        <v>1.0000000000000009E-3</v>
      </c>
      <c r="AT4" s="69">
        <f t="shared" si="0"/>
        <v>2.6000000000000023E-2</v>
      </c>
      <c r="AU4" s="69">
        <f t="shared" si="0"/>
        <v>5.2999999999999992E-2</v>
      </c>
      <c r="BI4" s="9"/>
      <c r="BJ4" s="20" t="s">
        <v>0</v>
      </c>
      <c r="BK4" s="20" t="s">
        <v>1</v>
      </c>
      <c r="BL4" s="20" t="s">
        <v>2</v>
      </c>
      <c r="BM4" s="21" t="s">
        <v>3</v>
      </c>
      <c r="BN4" s="75"/>
      <c r="BP4" s="18" t="s">
        <v>4</v>
      </c>
      <c r="BQ4" s="12">
        <v>0.64800000000000002</v>
      </c>
      <c r="BR4" s="13">
        <v>0.70699999999999996</v>
      </c>
      <c r="BS4" s="16">
        <f>AVERAGE(0.9,0.343)</f>
        <v>0.62150000000000005</v>
      </c>
      <c r="BT4" s="14">
        <v>0.254</v>
      </c>
      <c r="BX4" s="18" t="s">
        <v>4</v>
      </c>
      <c r="BY4" s="69">
        <f t="shared" ref="BY4:CB11" si="1">BQ4-AL4</f>
        <v>-1.6000000000000014E-2</v>
      </c>
      <c r="BZ4" s="12">
        <f t="shared" si="1"/>
        <v>-4.0000000000000036E-3</v>
      </c>
      <c r="CA4" s="69">
        <f t="shared" si="1"/>
        <v>-1.9499999999999962E-2</v>
      </c>
      <c r="CB4" s="69">
        <f t="shared" si="1"/>
        <v>-3.8999999999999979E-2</v>
      </c>
      <c r="CQ4" s="18" t="s">
        <v>4</v>
      </c>
      <c r="CR4" s="12" t="s">
        <v>470</v>
      </c>
      <c r="CS4" s="13" t="s">
        <v>450</v>
      </c>
      <c r="CT4" s="16" t="s">
        <v>457</v>
      </c>
      <c r="CU4" s="14" t="s">
        <v>463</v>
      </c>
      <c r="CV4" s="75"/>
      <c r="CW4" s="75"/>
      <c r="CX4" s="75"/>
      <c r="CY4" s="75"/>
      <c r="CZ4" s="38"/>
      <c r="DA4" s="18" t="s">
        <v>4</v>
      </c>
      <c r="DB4" s="12">
        <v>0.64800000000000002</v>
      </c>
      <c r="DC4" s="13">
        <v>0.70699999999999996</v>
      </c>
      <c r="DD4" s="16">
        <f>AVERAGE(0.9,0.343)</f>
        <v>0.62150000000000005</v>
      </c>
      <c r="DE4" s="14">
        <v>0.254</v>
      </c>
      <c r="DF4" s="33"/>
      <c r="DG4" s="33"/>
      <c r="DH4" s="33"/>
      <c r="DI4" s="18" t="s">
        <v>4</v>
      </c>
      <c r="DJ4" s="12">
        <f t="shared" ref="DJ4:DM11" si="2">DB4-BT4</f>
        <v>0.39400000000000002</v>
      </c>
      <c r="DK4" s="12">
        <f t="shared" si="2"/>
        <v>0.70699999999999996</v>
      </c>
      <c r="DL4" s="12">
        <f t="shared" si="2"/>
        <v>0.62150000000000005</v>
      </c>
      <c r="DM4" s="12">
        <f t="shared" si="2"/>
        <v>0.254</v>
      </c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4"/>
      <c r="EA4" s="33"/>
      <c r="EB4" s="18" t="s">
        <v>4</v>
      </c>
      <c r="EC4" s="12" t="s">
        <v>470</v>
      </c>
      <c r="ED4" s="13" t="s">
        <v>450</v>
      </c>
      <c r="EE4" s="16" t="s">
        <v>457</v>
      </c>
      <c r="EF4" s="14" t="s">
        <v>463</v>
      </c>
      <c r="EG4" s="75"/>
      <c r="EH4" s="75"/>
      <c r="EI4" s="75"/>
      <c r="EJ4" s="75"/>
      <c r="EK4" s="38"/>
      <c r="EL4" s="18" t="s">
        <v>4</v>
      </c>
      <c r="EM4" s="12">
        <v>0.65500000000000003</v>
      </c>
      <c r="EN4" s="13">
        <v>0.71</v>
      </c>
      <c r="EO4" s="16">
        <f>AVERAGE(0.92,0.335)</f>
        <v>0.62750000000000006</v>
      </c>
      <c r="EP4" s="14">
        <v>0.26700000000000002</v>
      </c>
      <c r="EQ4" s="33"/>
      <c r="ER4" s="33"/>
      <c r="ES4" s="33"/>
      <c r="ET4" s="18" t="s">
        <v>4</v>
      </c>
      <c r="EU4" s="12">
        <f>EM4-DB4</f>
        <v>7.0000000000000062E-3</v>
      </c>
      <c r="EV4" s="12">
        <f>EN4-DC4</f>
        <v>3.0000000000000027E-3</v>
      </c>
      <c r="EW4" s="12">
        <f>EO4-DD4</f>
        <v>6.0000000000000053E-3</v>
      </c>
      <c r="EX4" s="12">
        <f>EP4-DE4</f>
        <v>1.3000000000000012E-2</v>
      </c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4"/>
      <c r="FL4" s="33"/>
      <c r="FM4" s="18" t="s">
        <v>4</v>
      </c>
      <c r="FN4" s="12" t="s">
        <v>228</v>
      </c>
      <c r="FO4" s="13" t="s">
        <v>229</v>
      </c>
      <c r="FP4" s="16" t="s">
        <v>230</v>
      </c>
      <c r="FQ4" s="14" t="s">
        <v>231</v>
      </c>
      <c r="FR4" s="75"/>
      <c r="FS4" s="75"/>
      <c r="FT4" s="75"/>
      <c r="FU4" s="75"/>
      <c r="FV4" s="38"/>
      <c r="FW4" s="18" t="s">
        <v>4</v>
      </c>
      <c r="FX4" s="12">
        <v>0.66200000000000003</v>
      </c>
      <c r="FY4" s="13">
        <v>0.70299999999999996</v>
      </c>
      <c r="FZ4" s="16">
        <f>AVERAGE(0.771,0.531)</f>
        <v>0.65100000000000002</v>
      </c>
      <c r="GA4" s="14">
        <v>0.30599999999999999</v>
      </c>
      <c r="GB4" s="33"/>
      <c r="GC4" s="33"/>
      <c r="GD4" s="33"/>
      <c r="GE4" s="18" t="s">
        <v>4</v>
      </c>
      <c r="GF4" s="12">
        <f>FX4-EM4</f>
        <v>7.0000000000000062E-3</v>
      </c>
      <c r="GG4" s="12">
        <f t="shared" ref="GG4:GG5" si="3">FY4-EN4</f>
        <v>-7.0000000000000062E-3</v>
      </c>
      <c r="GH4" s="12">
        <f t="shared" ref="GH4:GH7" si="4">FZ4-EO4</f>
        <v>2.3499999999999965E-2</v>
      </c>
      <c r="GI4" s="12">
        <f t="shared" ref="GI4:GI10" si="5">GA4-EP4</f>
        <v>3.8999999999999979E-2</v>
      </c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8"/>
      <c r="GX4" s="96" t="s">
        <v>4</v>
      </c>
      <c r="GY4" s="12" t="s">
        <v>325</v>
      </c>
      <c r="GZ4" s="13" t="s">
        <v>324</v>
      </c>
      <c r="HA4" s="16" t="s">
        <v>323</v>
      </c>
      <c r="HB4" s="97" t="s">
        <v>322</v>
      </c>
      <c r="HC4" s="65"/>
      <c r="HD4" s="65"/>
      <c r="HE4" s="65"/>
      <c r="HF4" s="60"/>
      <c r="HG4" s="33"/>
      <c r="HH4" s="18" t="s">
        <v>4</v>
      </c>
      <c r="HI4" s="2">
        <v>0.64300000000000002</v>
      </c>
      <c r="HJ4" s="12">
        <v>0.66400000000000003</v>
      </c>
      <c r="HK4" s="12">
        <v>0.64800000000000002</v>
      </c>
      <c r="HL4" s="12">
        <v>0.64800000000000002</v>
      </c>
      <c r="HM4" s="12">
        <v>0.65500000000000003</v>
      </c>
      <c r="HN4" s="12">
        <v>0.66200000000000003</v>
      </c>
      <c r="HW4" s="18" t="s">
        <v>4</v>
      </c>
      <c r="HX4" s="2">
        <v>0.71</v>
      </c>
      <c r="HY4" s="13">
        <v>0.71099999999999997</v>
      </c>
      <c r="HZ4" s="13">
        <v>0.70699999999999996</v>
      </c>
      <c r="IA4" s="13">
        <v>0.70699999999999996</v>
      </c>
      <c r="IB4" s="13">
        <v>0.71</v>
      </c>
      <c r="IC4" s="13">
        <v>0.70299999999999996</v>
      </c>
      <c r="IL4" s="18" t="s">
        <v>4</v>
      </c>
      <c r="IM4" s="3">
        <v>0.61499999999999999</v>
      </c>
      <c r="IN4" s="16">
        <v>0.64100000000000001</v>
      </c>
      <c r="IO4" s="16">
        <v>0.62150000000000005</v>
      </c>
      <c r="IP4" s="16">
        <v>0.62150000000000005</v>
      </c>
      <c r="IQ4" s="16">
        <v>0.62750000000000006</v>
      </c>
      <c r="IR4" s="16">
        <v>0.65100000000000002</v>
      </c>
      <c r="JA4" s="18" t="s">
        <v>4</v>
      </c>
      <c r="JB4" s="4">
        <v>0.24</v>
      </c>
      <c r="JC4" s="14">
        <v>0.29299999999999998</v>
      </c>
      <c r="JD4" s="14">
        <v>0.254</v>
      </c>
      <c r="JE4" s="14">
        <v>0.254</v>
      </c>
      <c r="JF4" s="14">
        <v>0.26700000000000002</v>
      </c>
      <c r="JG4" s="14">
        <v>0.30599999999999999</v>
      </c>
    </row>
    <row r="5" spans="1:267" ht="30" customHeight="1" thickBot="1" x14ac:dyDescent="0.35">
      <c r="A5" s="36" t="s">
        <v>5</v>
      </c>
      <c r="B5" s="2">
        <v>0.60499999999999998</v>
      </c>
      <c r="C5" s="2">
        <v>0.63600000000000001</v>
      </c>
      <c r="D5" s="3">
        <f>AVERAGE(0.68,0.515)</f>
        <v>0.59750000000000003</v>
      </c>
      <c r="E5" s="4">
        <v>0.19700000000000001</v>
      </c>
      <c r="AB5" s="18" t="s">
        <v>5</v>
      </c>
      <c r="AC5" s="26" t="s">
        <v>32</v>
      </c>
      <c r="AD5" s="2" t="s">
        <v>31</v>
      </c>
      <c r="AE5" s="3" t="s">
        <v>30</v>
      </c>
      <c r="AF5" s="27" t="s">
        <v>29</v>
      </c>
      <c r="AK5" s="18" t="s">
        <v>5</v>
      </c>
      <c r="AL5" s="15">
        <v>0.60099999999999998</v>
      </c>
      <c r="AM5" s="2">
        <v>0.64700000000000002</v>
      </c>
      <c r="AN5" s="3">
        <f>AVERAGE(0.58,0.627)</f>
        <v>0.60349999999999993</v>
      </c>
      <c r="AO5" s="4">
        <v>0.20499999999999999</v>
      </c>
      <c r="AQ5" s="18" t="s">
        <v>5</v>
      </c>
      <c r="AR5" s="12">
        <f t="shared" si="0"/>
        <v>-4.0000000000000036E-3</v>
      </c>
      <c r="AS5" s="12">
        <f t="shared" si="0"/>
        <v>1.100000000000001E-2</v>
      </c>
      <c r="AT5" s="12">
        <f t="shared" si="0"/>
        <v>5.9999999999998943E-3</v>
      </c>
      <c r="AU5" s="12">
        <f t="shared" si="0"/>
        <v>7.9999999999999793E-3</v>
      </c>
      <c r="BI5" s="18" t="s">
        <v>4</v>
      </c>
      <c r="BJ5" s="12" t="s">
        <v>380</v>
      </c>
      <c r="BK5" s="13" t="s">
        <v>357</v>
      </c>
      <c r="BL5" s="16" t="s">
        <v>364</v>
      </c>
      <c r="BM5" s="14" t="s">
        <v>372</v>
      </c>
      <c r="BN5" s="75"/>
      <c r="BP5" s="18" t="s">
        <v>5</v>
      </c>
      <c r="BQ5" s="15">
        <v>0.628</v>
      </c>
      <c r="BR5" s="2">
        <v>0.68799999999999994</v>
      </c>
      <c r="BS5" s="3">
        <f>AVERAGE(0.558,0.713)</f>
        <v>0.63549999999999995</v>
      </c>
      <c r="BT5" s="4">
        <v>0.26500000000000001</v>
      </c>
      <c r="BX5" s="18" t="s">
        <v>5</v>
      </c>
      <c r="BY5" s="12">
        <f t="shared" si="1"/>
        <v>2.7000000000000024E-2</v>
      </c>
      <c r="BZ5" s="12">
        <f t="shared" si="1"/>
        <v>4.0999999999999925E-2</v>
      </c>
      <c r="CA5" s="69">
        <f t="shared" si="1"/>
        <v>3.2000000000000028E-2</v>
      </c>
      <c r="CB5" s="69">
        <f t="shared" si="1"/>
        <v>6.0000000000000026E-2</v>
      </c>
      <c r="CQ5" s="18" t="s">
        <v>5</v>
      </c>
      <c r="CR5" s="15" t="s">
        <v>444</v>
      </c>
      <c r="CS5" s="2" t="s">
        <v>451</v>
      </c>
      <c r="CT5" s="3" t="s">
        <v>458</v>
      </c>
      <c r="CU5" s="4" t="s">
        <v>464</v>
      </c>
      <c r="CV5" s="75"/>
      <c r="CW5" s="75"/>
      <c r="CX5" s="75"/>
      <c r="CY5" s="75"/>
      <c r="CZ5" s="38"/>
      <c r="DA5" s="18" t="s">
        <v>5</v>
      </c>
      <c r="DB5" s="15">
        <v>0.64400000000000002</v>
      </c>
      <c r="DC5" s="2">
        <v>0.68600000000000005</v>
      </c>
      <c r="DD5" s="3">
        <f>AVERAGE(0.64,0.649)</f>
        <v>0.64450000000000007</v>
      </c>
      <c r="DE5" s="4">
        <v>0.28699999999999998</v>
      </c>
      <c r="DF5" s="33"/>
      <c r="DG5" s="33"/>
      <c r="DH5" s="33"/>
      <c r="DI5" s="18" t="s">
        <v>5</v>
      </c>
      <c r="DJ5" s="69">
        <f t="shared" si="2"/>
        <v>0.379</v>
      </c>
      <c r="DK5" s="12">
        <f t="shared" si="2"/>
        <v>0.68600000000000005</v>
      </c>
      <c r="DL5" s="12">
        <f t="shared" si="2"/>
        <v>0.64450000000000007</v>
      </c>
      <c r="DM5" s="12">
        <f t="shared" si="2"/>
        <v>0.28699999999999998</v>
      </c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4"/>
      <c r="EA5" s="33"/>
      <c r="EB5" s="18" t="s">
        <v>5</v>
      </c>
      <c r="EC5" s="15" t="s">
        <v>526</v>
      </c>
      <c r="ED5" s="2" t="s">
        <v>533</v>
      </c>
      <c r="EE5" s="3" t="s">
        <v>538</v>
      </c>
      <c r="EF5" s="4" t="s">
        <v>544</v>
      </c>
      <c r="EG5" s="75"/>
      <c r="EH5" s="75"/>
      <c r="EI5" s="75"/>
      <c r="EJ5" s="75"/>
      <c r="EK5" s="38"/>
      <c r="EL5" s="18" t="s">
        <v>5</v>
      </c>
      <c r="EM5" s="15">
        <v>0.66600000000000004</v>
      </c>
      <c r="EN5" s="2">
        <v>0.70199999999999996</v>
      </c>
      <c r="EO5" s="3">
        <f>AVERAGE(0.829,0.469)</f>
        <v>0.64900000000000002</v>
      </c>
      <c r="EP5" s="4">
        <v>0.30599999999999999</v>
      </c>
      <c r="EQ5" s="33"/>
      <c r="ER5" s="33"/>
      <c r="ES5" s="33"/>
      <c r="ET5" s="18" t="s">
        <v>5</v>
      </c>
      <c r="EU5" s="12">
        <f t="shared" ref="EU5:EU11" si="6">EM5-DB5</f>
        <v>2.200000000000002E-2</v>
      </c>
      <c r="EV5" s="12">
        <f t="shared" ref="EV5:EX11" si="7">EN5-DC5</f>
        <v>1.5999999999999903E-2</v>
      </c>
      <c r="EW5" s="12">
        <f t="shared" si="7"/>
        <v>4.4999999999999485E-3</v>
      </c>
      <c r="EX5" s="12">
        <f t="shared" si="7"/>
        <v>1.9000000000000017E-2</v>
      </c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4"/>
      <c r="FL5" s="33"/>
      <c r="FM5" s="18" t="s">
        <v>5</v>
      </c>
      <c r="FN5" s="15" t="s">
        <v>232</v>
      </c>
      <c r="FO5" s="2" t="s">
        <v>233</v>
      </c>
      <c r="FP5" s="3" t="s">
        <v>234</v>
      </c>
      <c r="FQ5" s="4" t="s">
        <v>235</v>
      </c>
      <c r="FR5" s="75"/>
      <c r="FS5" s="75"/>
      <c r="FT5" s="75"/>
      <c r="FU5" s="75"/>
      <c r="FV5" s="38"/>
      <c r="FW5" s="18" t="s">
        <v>5</v>
      </c>
      <c r="FX5" s="15">
        <v>0.64600000000000002</v>
      </c>
      <c r="FY5" s="2">
        <v>0.69399999999999995</v>
      </c>
      <c r="FZ5" s="3">
        <f>AVERAGE(0.724,0.552)</f>
        <v>0.63800000000000001</v>
      </c>
      <c r="GA5" s="4">
        <v>0.27900000000000003</v>
      </c>
      <c r="GB5" s="33"/>
      <c r="GC5" s="33"/>
      <c r="GD5" s="33"/>
      <c r="GE5" s="18" t="s">
        <v>5</v>
      </c>
      <c r="GF5" s="69">
        <f t="shared" ref="GF5:GF11" si="8">FX5-EM5</f>
        <v>-2.0000000000000018E-2</v>
      </c>
      <c r="GG5" s="12">
        <f t="shared" si="3"/>
        <v>-8.0000000000000071E-3</v>
      </c>
      <c r="GH5" s="12">
        <f t="shared" si="4"/>
        <v>-1.100000000000001E-2</v>
      </c>
      <c r="GI5" s="12">
        <f t="shared" si="5"/>
        <v>-2.6999999999999968E-2</v>
      </c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8"/>
      <c r="GX5" s="96" t="s">
        <v>5</v>
      </c>
      <c r="GY5" s="15" t="s">
        <v>329</v>
      </c>
      <c r="GZ5" s="2" t="s">
        <v>328</v>
      </c>
      <c r="HA5" s="3" t="s">
        <v>327</v>
      </c>
      <c r="HB5" s="27" t="s">
        <v>326</v>
      </c>
      <c r="HC5" s="65"/>
      <c r="HD5" s="65"/>
      <c r="HE5" s="65"/>
      <c r="HF5" s="60"/>
      <c r="HG5" s="33"/>
      <c r="HH5" s="18" t="s">
        <v>5</v>
      </c>
      <c r="HI5" s="2">
        <v>0.60499999999999998</v>
      </c>
      <c r="HJ5" s="15">
        <v>0.60099999999999998</v>
      </c>
      <c r="HK5" s="15">
        <v>0.628</v>
      </c>
      <c r="HL5" s="15">
        <v>0.64400000000000002</v>
      </c>
      <c r="HM5" s="15">
        <v>0.66600000000000004</v>
      </c>
      <c r="HN5" s="15">
        <v>0.64600000000000002</v>
      </c>
      <c r="HW5" s="18" t="s">
        <v>5</v>
      </c>
      <c r="HX5" s="2">
        <v>0.63600000000000001</v>
      </c>
      <c r="HY5" s="2">
        <v>0.64700000000000002</v>
      </c>
      <c r="HZ5" s="2">
        <v>0.68799999999999994</v>
      </c>
      <c r="IA5" s="2">
        <v>0.68600000000000005</v>
      </c>
      <c r="IB5" s="2">
        <v>0.70199999999999996</v>
      </c>
      <c r="IC5" s="2">
        <v>0.69399999999999995</v>
      </c>
      <c r="IL5" s="18" t="s">
        <v>5</v>
      </c>
      <c r="IM5" s="3">
        <v>0.59750000000000003</v>
      </c>
      <c r="IN5" s="3">
        <v>0.60349999999999993</v>
      </c>
      <c r="IO5" s="3">
        <v>0.63549999999999995</v>
      </c>
      <c r="IP5" s="3">
        <v>0.64450000000000007</v>
      </c>
      <c r="IQ5" s="3">
        <v>0.64900000000000002</v>
      </c>
      <c r="IR5" s="3">
        <v>0.63800000000000001</v>
      </c>
      <c r="JA5" s="18" t="s">
        <v>5</v>
      </c>
      <c r="JB5" s="4">
        <v>0.19700000000000001</v>
      </c>
      <c r="JC5" s="4">
        <v>0.20499999999999999</v>
      </c>
      <c r="JD5" s="4">
        <v>0.26500000000000001</v>
      </c>
      <c r="JE5" s="4">
        <v>0.28699999999999998</v>
      </c>
      <c r="JF5" s="4">
        <v>0.30599999999999999</v>
      </c>
      <c r="JG5" s="4">
        <v>0.27900000000000003</v>
      </c>
    </row>
    <row r="6" spans="1:267" ht="30" customHeight="1" thickBot="1" x14ac:dyDescent="0.35">
      <c r="A6" s="36" t="s">
        <v>6</v>
      </c>
      <c r="B6" s="2">
        <v>0.60899999999999999</v>
      </c>
      <c r="C6" s="2">
        <v>0.60499999999999998</v>
      </c>
      <c r="D6" s="3">
        <f>AVERAGE(0.647,0.563)</f>
        <v>0.60499999999999998</v>
      </c>
      <c r="E6" s="4">
        <v>0.21</v>
      </c>
      <c r="AB6" s="18" t="s">
        <v>6</v>
      </c>
      <c r="AC6" s="26" t="s">
        <v>35</v>
      </c>
      <c r="AD6" s="2" t="s">
        <v>34</v>
      </c>
      <c r="AE6" s="3" t="s">
        <v>34</v>
      </c>
      <c r="AF6" s="27" t="s">
        <v>33</v>
      </c>
      <c r="AK6" s="18" t="s">
        <v>6</v>
      </c>
      <c r="AL6" s="15">
        <v>0.62</v>
      </c>
      <c r="AM6" s="2">
        <v>0.62</v>
      </c>
      <c r="AN6" s="3">
        <f>AVERAGE(0.622,0.617)</f>
        <v>0.61949999999999994</v>
      </c>
      <c r="AO6" s="4">
        <v>0.23799999999999999</v>
      </c>
      <c r="AQ6" s="18" t="s">
        <v>6</v>
      </c>
      <c r="AR6" s="12">
        <f t="shared" si="0"/>
        <v>1.100000000000001E-2</v>
      </c>
      <c r="AS6" s="12">
        <f t="shared" si="0"/>
        <v>1.5000000000000013E-2</v>
      </c>
      <c r="AT6" s="12">
        <f t="shared" si="0"/>
        <v>1.4499999999999957E-2</v>
      </c>
      <c r="AU6" s="12">
        <f t="shared" si="0"/>
        <v>2.7999999999999997E-2</v>
      </c>
      <c r="BI6" s="18" t="s">
        <v>5</v>
      </c>
      <c r="BJ6" s="15" t="s">
        <v>351</v>
      </c>
      <c r="BK6" s="2" t="s">
        <v>358</v>
      </c>
      <c r="BL6" s="81" t="s">
        <v>365</v>
      </c>
      <c r="BM6" s="4" t="s">
        <v>373</v>
      </c>
      <c r="BN6" s="75"/>
      <c r="BP6" s="18" t="s">
        <v>6</v>
      </c>
      <c r="BQ6" s="15">
        <v>0.625</v>
      </c>
      <c r="BR6" s="2">
        <v>0.626</v>
      </c>
      <c r="BS6" s="3">
        <f>AVERAGE(0.616,0.636)</f>
        <v>0.626</v>
      </c>
      <c r="BT6" s="4">
        <v>0.249</v>
      </c>
      <c r="BX6" s="18" t="s">
        <v>6</v>
      </c>
      <c r="BY6" s="12">
        <f t="shared" si="1"/>
        <v>5.0000000000000044E-3</v>
      </c>
      <c r="BZ6" s="12">
        <f t="shared" si="1"/>
        <v>6.0000000000000053E-3</v>
      </c>
      <c r="CA6" s="12">
        <f t="shared" si="1"/>
        <v>6.5000000000000613E-3</v>
      </c>
      <c r="CB6" s="12">
        <f t="shared" si="1"/>
        <v>1.100000000000001E-2</v>
      </c>
      <c r="CQ6" s="18" t="s">
        <v>6</v>
      </c>
      <c r="CR6" s="15" t="s">
        <v>445</v>
      </c>
      <c r="CS6" s="2" t="s">
        <v>452</v>
      </c>
      <c r="CT6" s="3" t="s">
        <v>452</v>
      </c>
      <c r="CU6" s="4" t="s">
        <v>465</v>
      </c>
      <c r="CV6" s="75"/>
      <c r="CW6" s="75"/>
      <c r="CX6" s="75"/>
      <c r="CY6" s="75"/>
      <c r="CZ6" s="38"/>
      <c r="DA6" s="18" t="s">
        <v>6</v>
      </c>
      <c r="DB6" s="15">
        <v>0.65700000000000003</v>
      </c>
      <c r="DC6" s="2">
        <v>0.68799999999999994</v>
      </c>
      <c r="DD6" s="3">
        <f>AVERAGE(0.658,0.657)</f>
        <v>0.65749999999999997</v>
      </c>
      <c r="DE6" s="4">
        <v>0.313</v>
      </c>
      <c r="DF6" s="33"/>
      <c r="DG6" s="33"/>
      <c r="DH6" s="33"/>
      <c r="DI6" s="18" t="s">
        <v>6</v>
      </c>
      <c r="DJ6" s="69">
        <f t="shared" si="2"/>
        <v>0.40800000000000003</v>
      </c>
      <c r="DK6" s="69">
        <f t="shared" si="2"/>
        <v>0.68799999999999994</v>
      </c>
      <c r="DL6" s="69">
        <f t="shared" si="2"/>
        <v>0.65749999999999997</v>
      </c>
      <c r="DM6" s="69">
        <f t="shared" si="2"/>
        <v>0.313</v>
      </c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4"/>
      <c r="EA6" s="33"/>
      <c r="EB6" s="18" t="s">
        <v>6</v>
      </c>
      <c r="EC6" s="15" t="s">
        <v>527</v>
      </c>
      <c r="ED6" s="2" t="s">
        <v>241</v>
      </c>
      <c r="EE6" s="3" t="s">
        <v>539</v>
      </c>
      <c r="EF6" s="4" t="s">
        <v>545</v>
      </c>
      <c r="EG6" s="75"/>
      <c r="EH6" s="75"/>
      <c r="EI6" s="75"/>
      <c r="EJ6" s="75"/>
      <c r="EK6" s="38"/>
      <c r="EL6" s="18" t="s">
        <v>6</v>
      </c>
      <c r="EM6" s="15">
        <v>0.64900000000000002</v>
      </c>
      <c r="EN6" s="2">
        <v>0.69599999999999995</v>
      </c>
      <c r="EO6" s="3">
        <f>AVERAGE(0.687,0.603)</f>
        <v>0.64500000000000002</v>
      </c>
      <c r="EP6" s="4">
        <v>0.28899999999999998</v>
      </c>
      <c r="EQ6" s="33"/>
      <c r="ER6" s="33"/>
      <c r="ES6" s="33"/>
      <c r="ET6" s="18" t="s">
        <v>6</v>
      </c>
      <c r="EU6" s="12">
        <f t="shared" si="6"/>
        <v>-8.0000000000000071E-3</v>
      </c>
      <c r="EV6" s="12">
        <f t="shared" si="7"/>
        <v>8.0000000000000071E-3</v>
      </c>
      <c r="EW6" s="12">
        <f t="shared" si="7"/>
        <v>-1.2499999999999956E-2</v>
      </c>
      <c r="EX6" s="12">
        <f t="shared" si="7"/>
        <v>-2.4000000000000021E-2</v>
      </c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4"/>
      <c r="FL6" s="33"/>
      <c r="FM6" s="18" t="s">
        <v>6</v>
      </c>
      <c r="FN6" s="15" t="s">
        <v>236</v>
      </c>
      <c r="FO6" s="2" t="s">
        <v>237</v>
      </c>
      <c r="FP6" s="3" t="s">
        <v>238</v>
      </c>
      <c r="FQ6" s="4" t="s">
        <v>239</v>
      </c>
      <c r="FR6" s="75"/>
      <c r="FS6" s="75"/>
      <c r="FT6" s="75"/>
      <c r="FU6" s="75"/>
      <c r="FV6" s="38"/>
      <c r="FW6" s="18" t="s">
        <v>6</v>
      </c>
      <c r="FX6" s="15">
        <v>0.65400000000000003</v>
      </c>
      <c r="FY6" s="2">
        <v>0.69599999999999995</v>
      </c>
      <c r="FZ6" s="3">
        <f>AVERAGE(0.622,0.692)</f>
        <v>0.65700000000000003</v>
      </c>
      <c r="GA6" s="4">
        <v>0.31</v>
      </c>
      <c r="GB6" s="33"/>
      <c r="GC6" s="33"/>
      <c r="GD6" s="33"/>
      <c r="GE6" s="18" t="s">
        <v>6</v>
      </c>
      <c r="GF6" s="12">
        <f t="shared" si="8"/>
        <v>5.0000000000000044E-3</v>
      </c>
      <c r="GG6" s="12">
        <f>FY6-EN6</f>
        <v>0</v>
      </c>
      <c r="GH6" s="12">
        <f t="shared" si="4"/>
        <v>1.2000000000000011E-2</v>
      </c>
      <c r="GI6" s="12">
        <f t="shared" si="5"/>
        <v>2.1000000000000019E-2</v>
      </c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8"/>
      <c r="GX6" s="96" t="s">
        <v>6</v>
      </c>
      <c r="GY6" s="15" t="s">
        <v>333</v>
      </c>
      <c r="GZ6" s="2" t="s">
        <v>332</v>
      </c>
      <c r="HA6" s="3" t="s">
        <v>331</v>
      </c>
      <c r="HB6" s="27" t="s">
        <v>330</v>
      </c>
      <c r="HC6" s="65"/>
      <c r="HD6" s="65"/>
      <c r="HE6" s="65"/>
      <c r="HF6" s="60"/>
      <c r="HG6" s="33"/>
      <c r="HH6" s="18" t="s">
        <v>6</v>
      </c>
      <c r="HI6" s="2">
        <v>0.60899999999999999</v>
      </c>
      <c r="HJ6" s="15">
        <v>0.62</v>
      </c>
      <c r="HK6" s="15">
        <v>0.625</v>
      </c>
      <c r="HL6" s="15">
        <v>0.65700000000000003</v>
      </c>
      <c r="HM6" s="15">
        <v>0.64900000000000002</v>
      </c>
      <c r="HN6" s="15">
        <v>0.65400000000000003</v>
      </c>
      <c r="HW6" s="18" t="s">
        <v>6</v>
      </c>
      <c r="HX6" s="2">
        <v>0.60499999999999998</v>
      </c>
      <c r="HY6" s="2">
        <v>0.62</v>
      </c>
      <c r="HZ6" s="2">
        <v>0.626</v>
      </c>
      <c r="IA6" s="2">
        <v>0.68799999999999994</v>
      </c>
      <c r="IB6" s="2">
        <v>0.69599999999999995</v>
      </c>
      <c r="IC6" s="2">
        <v>0.69599999999999995</v>
      </c>
      <c r="IL6" s="18" t="s">
        <v>6</v>
      </c>
      <c r="IM6" s="3">
        <v>0.60499999999999998</v>
      </c>
      <c r="IN6" s="3">
        <v>0.61949999999999994</v>
      </c>
      <c r="IO6" s="3">
        <v>0.626</v>
      </c>
      <c r="IP6" s="3">
        <v>0.65749999999999997</v>
      </c>
      <c r="IQ6" s="3">
        <v>0.64500000000000002</v>
      </c>
      <c r="IR6" s="3">
        <v>0.65700000000000003</v>
      </c>
      <c r="JA6" s="18" t="s">
        <v>6</v>
      </c>
      <c r="JB6" s="4">
        <v>0.21</v>
      </c>
      <c r="JC6" s="4">
        <v>0.23799999999999999</v>
      </c>
      <c r="JD6" s="4">
        <v>0.249</v>
      </c>
      <c r="JE6" s="4">
        <v>0.313</v>
      </c>
      <c r="JF6" s="4">
        <v>0.28899999999999998</v>
      </c>
      <c r="JG6" s="4">
        <v>0.31</v>
      </c>
    </row>
    <row r="7" spans="1:267" ht="30" customHeight="1" thickBot="1" x14ac:dyDescent="0.35">
      <c r="A7" s="36" t="s">
        <v>7</v>
      </c>
      <c r="B7" s="2">
        <v>0.65900000000000003</v>
      </c>
      <c r="C7" s="2">
        <v>0.73</v>
      </c>
      <c r="D7" s="3">
        <f>AVERAGE(0.751,0.547)</f>
        <v>0.64900000000000002</v>
      </c>
      <c r="E7" s="4">
        <v>0.30099999999999999</v>
      </c>
      <c r="AB7" s="18" t="s">
        <v>7</v>
      </c>
      <c r="AC7" s="26" t="s">
        <v>39</v>
      </c>
      <c r="AD7" s="2" t="s">
        <v>38</v>
      </c>
      <c r="AE7" s="3" t="s">
        <v>37</v>
      </c>
      <c r="AF7" s="27" t="s">
        <v>36</v>
      </c>
      <c r="AK7" s="18" t="s">
        <v>7</v>
      </c>
      <c r="AL7" s="15">
        <v>0.64600000000000002</v>
      </c>
      <c r="AM7" s="2">
        <v>0.70799999999999996</v>
      </c>
      <c r="AN7" s="3">
        <f>AVERAGE(0.633,0.663)</f>
        <v>0.64800000000000002</v>
      </c>
      <c r="AO7" s="4">
        <v>0.29299999999999998</v>
      </c>
      <c r="AQ7" s="18" t="s">
        <v>7</v>
      </c>
      <c r="AR7" s="12">
        <f t="shared" si="0"/>
        <v>-1.3000000000000012E-2</v>
      </c>
      <c r="AS7" s="69">
        <f t="shared" si="0"/>
        <v>-2.200000000000002E-2</v>
      </c>
      <c r="AT7" s="12">
        <f t="shared" si="0"/>
        <v>-1.0000000000000009E-3</v>
      </c>
      <c r="AU7" s="12">
        <f t="shared" si="0"/>
        <v>-8.0000000000000071E-3</v>
      </c>
      <c r="BI7" s="18" t="s">
        <v>6</v>
      </c>
      <c r="BJ7" s="15" t="s">
        <v>352</v>
      </c>
      <c r="BK7" s="2" t="s">
        <v>352</v>
      </c>
      <c r="BL7" s="3" t="s">
        <v>366</v>
      </c>
      <c r="BM7" s="4" t="s">
        <v>374</v>
      </c>
      <c r="BN7" s="75"/>
      <c r="BP7" s="18" t="s">
        <v>7</v>
      </c>
      <c r="BQ7" s="15">
        <v>0.63800000000000001</v>
      </c>
      <c r="BR7" s="2">
        <v>0.71099999999999997</v>
      </c>
      <c r="BS7" s="3">
        <f>AVERAGE(0.627,0.652)</f>
        <v>0.63949999999999996</v>
      </c>
      <c r="BT7" s="4">
        <v>0.27600000000000002</v>
      </c>
      <c r="BX7" s="18" t="s">
        <v>7</v>
      </c>
      <c r="BY7" s="69">
        <f t="shared" si="1"/>
        <v>-8.0000000000000071E-3</v>
      </c>
      <c r="BZ7" s="12">
        <f t="shared" si="1"/>
        <v>3.0000000000000027E-3</v>
      </c>
      <c r="CA7" s="69">
        <f t="shared" si="1"/>
        <v>-8.5000000000000631E-3</v>
      </c>
      <c r="CB7" s="69">
        <f t="shared" si="1"/>
        <v>-1.699999999999996E-2</v>
      </c>
      <c r="CQ7" s="18" t="s">
        <v>7</v>
      </c>
      <c r="CR7" s="15" t="s">
        <v>446</v>
      </c>
      <c r="CS7" s="2" t="s">
        <v>453</v>
      </c>
      <c r="CT7" s="3" t="s">
        <v>459</v>
      </c>
      <c r="CU7" s="4" t="s">
        <v>466</v>
      </c>
      <c r="CV7" s="75"/>
      <c r="CW7" s="75"/>
      <c r="CX7" s="75"/>
      <c r="CY7" s="75"/>
      <c r="CZ7" s="38"/>
      <c r="DA7" s="18" t="s">
        <v>7</v>
      </c>
      <c r="DB7" s="15">
        <v>0.65</v>
      </c>
      <c r="DC7" s="2">
        <v>0.69599999999999995</v>
      </c>
      <c r="DD7" s="3">
        <f>AVERAGE(0.62,0.687)</f>
        <v>0.65349999999999997</v>
      </c>
      <c r="DE7" s="4">
        <v>0.30199999999999999</v>
      </c>
      <c r="DF7" s="33"/>
      <c r="DG7" s="33"/>
      <c r="DH7" s="33"/>
      <c r="DI7" s="18" t="s">
        <v>7</v>
      </c>
      <c r="DJ7" s="12">
        <f t="shared" si="2"/>
        <v>0.374</v>
      </c>
      <c r="DK7" s="69">
        <f t="shared" si="2"/>
        <v>0.69599999999999995</v>
      </c>
      <c r="DL7" s="12">
        <f t="shared" si="2"/>
        <v>0.65349999999999997</v>
      </c>
      <c r="DM7" s="12">
        <f t="shared" si="2"/>
        <v>0.30199999999999999</v>
      </c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4"/>
      <c r="EA7" s="33"/>
      <c r="EB7" s="18" t="s">
        <v>7</v>
      </c>
      <c r="EC7" s="15" t="s">
        <v>528</v>
      </c>
      <c r="ED7" s="2" t="s">
        <v>274</v>
      </c>
      <c r="EE7" s="3" t="s">
        <v>333</v>
      </c>
      <c r="EF7" s="4" t="s">
        <v>546</v>
      </c>
      <c r="EG7" s="75"/>
      <c r="EH7" s="75"/>
      <c r="EI7" s="75"/>
      <c r="EJ7" s="75"/>
      <c r="EK7" s="38"/>
      <c r="EL7" s="18" t="s">
        <v>7</v>
      </c>
      <c r="EM7" s="15">
        <v>0.64800000000000002</v>
      </c>
      <c r="EN7" s="2">
        <v>0.71399999999999997</v>
      </c>
      <c r="EO7" s="3">
        <f>AVERAGE(0.658,0.636)</f>
        <v>0.64700000000000002</v>
      </c>
      <c r="EP7" s="4">
        <v>0.29099999999999998</v>
      </c>
      <c r="EQ7" s="33"/>
      <c r="ER7" s="33"/>
      <c r="ES7" s="33"/>
      <c r="ET7" s="18" t="s">
        <v>7</v>
      </c>
      <c r="EU7" s="12">
        <f t="shared" si="6"/>
        <v>-2.0000000000000018E-3</v>
      </c>
      <c r="EV7" s="69">
        <f t="shared" si="7"/>
        <v>1.8000000000000016E-2</v>
      </c>
      <c r="EW7" s="12">
        <f t="shared" si="7"/>
        <v>-6.4999999999999503E-3</v>
      </c>
      <c r="EX7" s="12">
        <f t="shared" si="7"/>
        <v>-1.100000000000001E-2</v>
      </c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4"/>
      <c r="FL7" s="33"/>
      <c r="FM7" s="18" t="s">
        <v>7</v>
      </c>
      <c r="FN7" s="15" t="s">
        <v>240</v>
      </c>
      <c r="FO7" s="2" t="s">
        <v>253</v>
      </c>
      <c r="FP7" s="3" t="s">
        <v>266</v>
      </c>
      <c r="FQ7" s="4" t="s">
        <v>279</v>
      </c>
      <c r="FR7" s="75"/>
      <c r="FS7" s="75"/>
      <c r="FT7" s="75"/>
      <c r="FU7" s="75"/>
      <c r="FV7" s="38"/>
      <c r="FW7" s="18" t="s">
        <v>7</v>
      </c>
      <c r="FX7" s="15">
        <v>0.64200000000000002</v>
      </c>
      <c r="FY7" s="2">
        <v>0.69699999999999995</v>
      </c>
      <c r="FZ7" s="3">
        <f>AVERAGE(0.627,0.66)</f>
        <v>0.64349999999999996</v>
      </c>
      <c r="GA7" s="4">
        <v>0.28299999999999997</v>
      </c>
      <c r="GB7" s="33"/>
      <c r="GC7" s="33"/>
      <c r="GD7" s="33"/>
      <c r="GE7" s="18" t="s">
        <v>7</v>
      </c>
      <c r="GF7" s="12">
        <f t="shared" si="8"/>
        <v>-6.0000000000000053E-3</v>
      </c>
      <c r="GG7" s="69">
        <f t="shared" ref="GG7:GG11" si="9">FY7-EN7</f>
        <v>-1.7000000000000015E-2</v>
      </c>
      <c r="GH7" s="12">
        <f t="shared" si="4"/>
        <v>-3.5000000000000586E-3</v>
      </c>
      <c r="GI7" s="12">
        <f t="shared" si="5"/>
        <v>-8.0000000000000071E-3</v>
      </c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8"/>
      <c r="GX7" s="96" t="s">
        <v>7</v>
      </c>
      <c r="GY7" s="15" t="s">
        <v>337</v>
      </c>
      <c r="GZ7" s="2" t="s">
        <v>336</v>
      </c>
      <c r="HA7" s="3" t="s">
        <v>335</v>
      </c>
      <c r="HB7" s="27" t="s">
        <v>334</v>
      </c>
      <c r="HC7" s="65"/>
      <c r="HD7" s="65"/>
      <c r="HE7" s="65"/>
      <c r="HF7" s="60"/>
      <c r="HG7" s="33"/>
      <c r="HH7" s="18" t="s">
        <v>7</v>
      </c>
      <c r="HI7" s="2">
        <v>0.65900000000000003</v>
      </c>
      <c r="HJ7" s="15">
        <v>0.64600000000000002</v>
      </c>
      <c r="HK7" s="15">
        <v>0.63800000000000001</v>
      </c>
      <c r="HL7" s="15">
        <v>0.65</v>
      </c>
      <c r="HM7" s="15">
        <v>0.64800000000000002</v>
      </c>
      <c r="HN7" s="15">
        <v>0.64200000000000002</v>
      </c>
      <c r="HW7" s="18" t="s">
        <v>7</v>
      </c>
      <c r="HX7" s="2">
        <v>0.73</v>
      </c>
      <c r="HY7" s="2">
        <v>0.70799999999999996</v>
      </c>
      <c r="HZ7" s="2">
        <v>0.71099999999999997</v>
      </c>
      <c r="IA7" s="2">
        <v>0.69599999999999995</v>
      </c>
      <c r="IB7" s="2">
        <v>0.71399999999999997</v>
      </c>
      <c r="IC7" s="2">
        <v>0.69699999999999995</v>
      </c>
      <c r="IL7" s="18" t="s">
        <v>7</v>
      </c>
      <c r="IM7" s="3">
        <v>0.64900000000000002</v>
      </c>
      <c r="IN7" s="3">
        <v>0.64800000000000002</v>
      </c>
      <c r="IO7" s="3">
        <v>0.63949999999999996</v>
      </c>
      <c r="IP7" s="3">
        <v>0.65349999999999997</v>
      </c>
      <c r="IQ7" s="3">
        <v>0.64700000000000002</v>
      </c>
      <c r="IR7" s="3">
        <v>0.64349999999999996</v>
      </c>
      <c r="JA7" s="18" t="s">
        <v>7</v>
      </c>
      <c r="JB7" s="4">
        <v>0.30099999999999999</v>
      </c>
      <c r="JC7" s="4">
        <v>0.29299999999999998</v>
      </c>
      <c r="JD7" s="4">
        <v>0.27600000000000002</v>
      </c>
      <c r="JE7" s="4">
        <v>0.30199999999999999</v>
      </c>
      <c r="JF7" s="4">
        <v>0.29099999999999998</v>
      </c>
      <c r="JG7" s="4">
        <v>0.28299999999999997</v>
      </c>
    </row>
    <row r="8" spans="1:267" ht="30" customHeight="1" thickBot="1" x14ac:dyDescent="0.35">
      <c r="A8" s="36" t="s">
        <v>8</v>
      </c>
      <c r="B8" s="2">
        <v>0.65700000000000003</v>
      </c>
      <c r="C8" s="2">
        <v>0.70699999999999996</v>
      </c>
      <c r="D8" s="3">
        <f>AVERAGE(0.856,0.418)</f>
        <v>0.63700000000000001</v>
      </c>
      <c r="E8" s="4">
        <v>0.28399999999999997</v>
      </c>
      <c r="AB8" s="18" t="s">
        <v>8</v>
      </c>
      <c r="AC8" s="26" t="s">
        <v>224</v>
      </c>
      <c r="AD8" s="2" t="s">
        <v>42</v>
      </c>
      <c r="AE8" s="3" t="s">
        <v>41</v>
      </c>
      <c r="AF8" s="27" t="s">
        <v>40</v>
      </c>
      <c r="AK8" s="18" t="s">
        <v>8</v>
      </c>
      <c r="AL8" s="15">
        <v>0.64600000000000002</v>
      </c>
      <c r="AM8" s="2">
        <v>0.69499999999999995</v>
      </c>
      <c r="AN8" s="3">
        <f>AVERAGE(0.698,0.584)</f>
        <v>0.64100000000000001</v>
      </c>
      <c r="AO8" s="4">
        <v>0.28299999999999997</v>
      </c>
      <c r="AQ8" s="18" t="s">
        <v>8</v>
      </c>
      <c r="AR8" s="12">
        <f t="shared" si="0"/>
        <v>-1.100000000000001E-2</v>
      </c>
      <c r="AS8" s="69">
        <f t="shared" si="0"/>
        <v>-1.2000000000000011E-2</v>
      </c>
      <c r="AT8" s="12">
        <f t="shared" si="0"/>
        <v>4.0000000000000036E-3</v>
      </c>
      <c r="AU8" s="12">
        <f t="shared" si="0"/>
        <v>-1.0000000000000009E-3</v>
      </c>
      <c r="BI8" s="18" t="s">
        <v>7</v>
      </c>
      <c r="BJ8" s="15" t="s">
        <v>353</v>
      </c>
      <c r="BK8" s="2" t="s">
        <v>359</v>
      </c>
      <c r="BL8" s="3" t="s">
        <v>367</v>
      </c>
      <c r="BM8" s="4" t="s">
        <v>375</v>
      </c>
      <c r="BN8" s="75"/>
      <c r="BP8" s="18" t="s">
        <v>8</v>
      </c>
      <c r="BQ8" s="15">
        <v>0.66200000000000003</v>
      </c>
      <c r="BR8" s="2">
        <v>0.72</v>
      </c>
      <c r="BS8" s="3">
        <f>AVERAGE(0.693,0.625)</f>
        <v>0.65900000000000003</v>
      </c>
      <c r="BT8" s="4">
        <v>0.318</v>
      </c>
      <c r="BX8" s="18" t="s">
        <v>8</v>
      </c>
      <c r="BY8" s="12">
        <f t="shared" si="1"/>
        <v>1.6000000000000014E-2</v>
      </c>
      <c r="BZ8" s="69">
        <f t="shared" si="1"/>
        <v>2.5000000000000022E-2</v>
      </c>
      <c r="CA8" s="12">
        <f t="shared" si="1"/>
        <v>1.8000000000000016E-2</v>
      </c>
      <c r="CB8" s="12">
        <f t="shared" si="1"/>
        <v>3.5000000000000031E-2</v>
      </c>
      <c r="CQ8" s="18" t="s">
        <v>8</v>
      </c>
      <c r="CR8" s="15" t="s">
        <v>447</v>
      </c>
      <c r="CS8" s="2" t="s">
        <v>454</v>
      </c>
      <c r="CT8" s="3" t="s">
        <v>460</v>
      </c>
      <c r="CU8" s="4" t="s">
        <v>467</v>
      </c>
      <c r="CV8" s="75"/>
      <c r="CW8" s="75"/>
      <c r="CX8" s="75"/>
      <c r="CY8" s="75"/>
      <c r="CZ8" s="38"/>
      <c r="DA8" s="18" t="s">
        <v>8</v>
      </c>
      <c r="DB8" s="15">
        <v>0.68</v>
      </c>
      <c r="DC8" s="2">
        <v>0.71599999999999997</v>
      </c>
      <c r="DD8" s="3">
        <f>AVERAGE(0.713,0.641)</f>
        <v>0.67700000000000005</v>
      </c>
      <c r="DE8" s="4">
        <v>0.35399999999999998</v>
      </c>
      <c r="DF8" s="33"/>
      <c r="DG8" s="33"/>
      <c r="DH8" s="33"/>
      <c r="DI8" s="18" t="s">
        <v>8</v>
      </c>
      <c r="DJ8" s="69">
        <f t="shared" si="2"/>
        <v>0.36200000000000004</v>
      </c>
      <c r="DK8" s="12">
        <f t="shared" si="2"/>
        <v>0.71599999999999997</v>
      </c>
      <c r="DL8" s="69">
        <f t="shared" si="2"/>
        <v>0.67700000000000005</v>
      </c>
      <c r="DM8" s="69">
        <f t="shared" si="2"/>
        <v>0.35399999999999998</v>
      </c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4"/>
      <c r="EA8" s="33"/>
      <c r="EB8" s="18" t="s">
        <v>8</v>
      </c>
      <c r="EC8" s="15" t="s">
        <v>529</v>
      </c>
      <c r="ED8" s="2" t="s">
        <v>534</v>
      </c>
      <c r="EE8" s="3" t="s">
        <v>540</v>
      </c>
      <c r="EF8" s="4" t="s">
        <v>547</v>
      </c>
      <c r="EG8" s="75"/>
      <c r="EH8" s="75"/>
      <c r="EI8" s="75"/>
      <c r="EJ8" s="75"/>
      <c r="EK8" s="38"/>
      <c r="EL8" s="18" t="s">
        <v>8</v>
      </c>
      <c r="EM8" s="15">
        <v>0.68799999999999994</v>
      </c>
      <c r="EN8" s="2">
        <v>0.73199999999999998</v>
      </c>
      <c r="EO8" s="3">
        <f>AVERAGE(0.742,0.622)</f>
        <v>0.68199999999999994</v>
      </c>
      <c r="EP8" s="4">
        <v>0.36599999999999999</v>
      </c>
      <c r="EQ8" s="33"/>
      <c r="ER8" s="33"/>
      <c r="ES8" s="33"/>
      <c r="ET8" s="18" t="s">
        <v>8</v>
      </c>
      <c r="EU8" s="12">
        <f t="shared" si="6"/>
        <v>7.9999999999998961E-3</v>
      </c>
      <c r="EV8" s="12">
        <f t="shared" si="7"/>
        <v>1.6000000000000014E-2</v>
      </c>
      <c r="EW8" s="12">
        <f t="shared" si="7"/>
        <v>4.9999999999998934E-3</v>
      </c>
      <c r="EX8" s="12">
        <f t="shared" si="7"/>
        <v>1.2000000000000011E-2</v>
      </c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4"/>
      <c r="FL8" s="33"/>
      <c r="FM8" s="18" t="s">
        <v>8</v>
      </c>
      <c r="FN8" s="15" t="s">
        <v>241</v>
      </c>
      <c r="FO8" s="2" t="s">
        <v>254</v>
      </c>
      <c r="FP8" s="3" t="s">
        <v>267</v>
      </c>
      <c r="FQ8" s="4" t="s">
        <v>280</v>
      </c>
      <c r="FR8" s="75"/>
      <c r="FS8" s="75"/>
      <c r="FT8" s="75"/>
      <c r="FU8" s="75"/>
      <c r="FV8" s="38"/>
      <c r="FW8" s="18" t="s">
        <v>8</v>
      </c>
      <c r="FX8" s="15">
        <v>0.66100000000000003</v>
      </c>
      <c r="FY8" s="2">
        <v>0.70199999999999996</v>
      </c>
      <c r="FZ8" s="3">
        <f>AVERAGE(0.729,0.579)</f>
        <v>0.65399999999999991</v>
      </c>
      <c r="GA8" s="4">
        <v>0.31</v>
      </c>
      <c r="GB8" s="33"/>
      <c r="GC8" s="33"/>
      <c r="GD8" s="33"/>
      <c r="GE8" s="18" t="s">
        <v>8</v>
      </c>
      <c r="GF8" s="12">
        <f t="shared" si="8"/>
        <v>-2.6999999999999913E-2</v>
      </c>
      <c r="GG8" s="69">
        <f t="shared" si="9"/>
        <v>-3.0000000000000027E-2</v>
      </c>
      <c r="GH8" s="12">
        <f>FZ8-EO8</f>
        <v>-2.8000000000000025E-2</v>
      </c>
      <c r="GI8" s="12">
        <f t="shared" si="5"/>
        <v>-5.5999999999999994E-2</v>
      </c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8"/>
      <c r="GX8" s="96" t="s">
        <v>8</v>
      </c>
      <c r="GY8" s="15" t="s">
        <v>341</v>
      </c>
      <c r="GZ8" s="2" t="s">
        <v>340</v>
      </c>
      <c r="HA8" s="3" t="s">
        <v>339</v>
      </c>
      <c r="HB8" s="27" t="s">
        <v>338</v>
      </c>
      <c r="HC8" s="65"/>
      <c r="HD8" s="65"/>
      <c r="HE8" s="65"/>
      <c r="HF8" s="60"/>
      <c r="HG8" s="33"/>
      <c r="HH8" s="18" t="s">
        <v>8</v>
      </c>
      <c r="HI8" s="2">
        <v>0.65700000000000003</v>
      </c>
      <c r="HJ8" s="15">
        <v>0.64600000000000002</v>
      </c>
      <c r="HK8" s="15">
        <v>0.66200000000000003</v>
      </c>
      <c r="HL8" s="15">
        <v>0.68</v>
      </c>
      <c r="HM8" s="15">
        <v>0.68799999999999994</v>
      </c>
      <c r="HN8" s="15">
        <v>0.66100000000000003</v>
      </c>
      <c r="HW8" s="18" t="s">
        <v>8</v>
      </c>
      <c r="HX8" s="2">
        <v>0.70699999999999996</v>
      </c>
      <c r="HY8" s="2">
        <v>0.69499999999999995</v>
      </c>
      <c r="HZ8" s="2">
        <v>0.72</v>
      </c>
      <c r="IA8" s="2">
        <v>0.71599999999999997</v>
      </c>
      <c r="IB8" s="2">
        <v>0.73199999999999998</v>
      </c>
      <c r="IC8" s="2">
        <v>0.70199999999999996</v>
      </c>
      <c r="IL8" s="18" t="s">
        <v>8</v>
      </c>
      <c r="IM8" s="3">
        <v>0.63700000000000001</v>
      </c>
      <c r="IN8" s="3">
        <v>0.64100000000000001</v>
      </c>
      <c r="IO8" s="3">
        <v>0.65900000000000003</v>
      </c>
      <c r="IP8" s="3">
        <v>0.67700000000000005</v>
      </c>
      <c r="IQ8" s="3">
        <v>0.68199999999999994</v>
      </c>
      <c r="IR8" s="3">
        <v>0.65399999999999991</v>
      </c>
      <c r="JA8" s="18" t="s">
        <v>8</v>
      </c>
      <c r="JB8" s="4">
        <v>0.28399999999999997</v>
      </c>
      <c r="JC8" s="4">
        <v>0.28299999999999997</v>
      </c>
      <c r="JD8" s="4">
        <v>0.318</v>
      </c>
      <c r="JE8" s="4">
        <v>0.35399999999999998</v>
      </c>
      <c r="JF8" s="4">
        <v>0.36599999999999999</v>
      </c>
      <c r="JG8" s="4">
        <v>0.31</v>
      </c>
    </row>
    <row r="9" spans="1:267" ht="30" customHeight="1" thickBot="1" x14ac:dyDescent="0.35">
      <c r="A9" s="36" t="s">
        <v>9</v>
      </c>
      <c r="B9" s="2">
        <v>0.67600000000000005</v>
      </c>
      <c r="C9" s="2">
        <v>0.70499999999999996</v>
      </c>
      <c r="D9" s="3">
        <f>AVERAGE(0.769,0.563)</f>
        <v>0.66599999999999993</v>
      </c>
      <c r="E9" s="4">
        <v>0.33600000000000002</v>
      </c>
      <c r="AB9" s="18" t="s">
        <v>9</v>
      </c>
      <c r="AC9" s="26" t="s">
        <v>223</v>
      </c>
      <c r="AD9" s="2" t="s">
        <v>45</v>
      </c>
      <c r="AE9" s="3" t="s">
        <v>44</v>
      </c>
      <c r="AF9" s="27" t="s">
        <v>43</v>
      </c>
      <c r="AK9" s="18" t="s">
        <v>9</v>
      </c>
      <c r="AL9" s="15">
        <v>0.65200000000000002</v>
      </c>
      <c r="AM9" s="2">
        <v>0.68500000000000005</v>
      </c>
      <c r="AN9" s="3">
        <f>AVERAGE(0.671,0.63)</f>
        <v>0.65050000000000008</v>
      </c>
      <c r="AO9" s="4">
        <v>0.3</v>
      </c>
      <c r="AQ9" s="18" t="s">
        <v>9</v>
      </c>
      <c r="AR9" s="12">
        <f t="shared" si="0"/>
        <v>-2.4000000000000021E-2</v>
      </c>
      <c r="AS9" s="12">
        <f t="shared" si="0"/>
        <v>-1.9999999999999907E-2</v>
      </c>
      <c r="AT9" s="12">
        <f t="shared" si="0"/>
        <v>-1.5499999999999847E-2</v>
      </c>
      <c r="AU9" s="12">
        <f t="shared" si="0"/>
        <v>-3.6000000000000032E-2</v>
      </c>
      <c r="BI9" s="18" t="s">
        <v>8</v>
      </c>
      <c r="BJ9" s="15" t="s">
        <v>353</v>
      </c>
      <c r="BK9" s="2" t="s">
        <v>360</v>
      </c>
      <c r="BL9" s="3" t="s">
        <v>368</v>
      </c>
      <c r="BM9" s="4" t="s">
        <v>376</v>
      </c>
      <c r="BN9" s="75"/>
      <c r="BP9" s="18" t="s">
        <v>9</v>
      </c>
      <c r="BQ9" s="15">
        <v>0.65500000000000003</v>
      </c>
      <c r="BR9" s="2">
        <v>0.70799999999999996</v>
      </c>
      <c r="BS9" s="3">
        <f>AVERAGE(0.68,0.624)</f>
        <v>0.65200000000000002</v>
      </c>
      <c r="BT9" s="4">
        <v>0.30399999999999999</v>
      </c>
      <c r="BX9" s="18" t="s">
        <v>9</v>
      </c>
      <c r="BY9" s="12">
        <f t="shared" si="1"/>
        <v>3.0000000000000027E-3</v>
      </c>
      <c r="BZ9" s="69">
        <f t="shared" si="1"/>
        <v>2.2999999999999909E-2</v>
      </c>
      <c r="CA9" s="12">
        <f t="shared" si="1"/>
        <v>1.4999999999999458E-3</v>
      </c>
      <c r="CB9" s="12">
        <f t="shared" si="1"/>
        <v>4.0000000000000036E-3</v>
      </c>
      <c r="CQ9" s="18" t="s">
        <v>9</v>
      </c>
      <c r="CR9" s="15" t="s">
        <v>448</v>
      </c>
      <c r="CS9" s="2" t="s">
        <v>455</v>
      </c>
      <c r="CT9" s="3" t="s">
        <v>461</v>
      </c>
      <c r="CU9" s="4" t="s">
        <v>468</v>
      </c>
      <c r="CV9" s="75"/>
      <c r="CW9" s="75"/>
      <c r="CX9" s="75"/>
      <c r="CY9" s="75"/>
      <c r="CZ9" s="38"/>
      <c r="DA9" s="18" t="s">
        <v>9</v>
      </c>
      <c r="DB9" s="15">
        <v>0.67</v>
      </c>
      <c r="DC9" s="2">
        <v>0.72199999999999998</v>
      </c>
      <c r="DD9" s="3">
        <f>AVERAGE(0.693,0.641)</f>
        <v>0.66700000000000004</v>
      </c>
      <c r="DE9" s="4">
        <v>0.33400000000000002</v>
      </c>
      <c r="DF9" s="33"/>
      <c r="DG9" s="33"/>
      <c r="DH9" s="33"/>
      <c r="DI9" s="18" t="s">
        <v>9</v>
      </c>
      <c r="DJ9" s="12">
        <f t="shared" si="2"/>
        <v>0.36600000000000005</v>
      </c>
      <c r="DK9" s="69">
        <f t="shared" si="2"/>
        <v>0.72199999999999998</v>
      </c>
      <c r="DL9" s="12">
        <f t="shared" si="2"/>
        <v>0.66700000000000004</v>
      </c>
      <c r="DM9" s="12">
        <f t="shared" si="2"/>
        <v>0.33400000000000002</v>
      </c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4"/>
      <c r="EA9" s="33"/>
      <c r="EB9" s="18" t="s">
        <v>9</v>
      </c>
      <c r="EC9" s="15" t="s">
        <v>530</v>
      </c>
      <c r="ED9" s="2" t="s">
        <v>535</v>
      </c>
      <c r="EE9" s="3" t="s">
        <v>541</v>
      </c>
      <c r="EF9" s="4" t="s">
        <v>548</v>
      </c>
      <c r="EG9" s="75"/>
      <c r="EH9" s="75"/>
      <c r="EI9" s="75"/>
      <c r="EJ9" s="75"/>
      <c r="EK9" s="38"/>
      <c r="EL9" s="18" t="s">
        <v>9</v>
      </c>
      <c r="EM9" s="15">
        <v>0.68700000000000006</v>
      </c>
      <c r="EN9" s="2">
        <v>0.72899999999999998</v>
      </c>
      <c r="EO9" s="3">
        <f>AVERAGE(0.738,0.625)</f>
        <v>0.68149999999999999</v>
      </c>
      <c r="EP9" s="4">
        <v>0.36399999999999999</v>
      </c>
      <c r="EQ9" s="33"/>
      <c r="ER9" s="33"/>
      <c r="ES9" s="33"/>
      <c r="ET9" s="18" t="s">
        <v>9</v>
      </c>
      <c r="EU9" s="12">
        <f t="shared" si="6"/>
        <v>1.7000000000000015E-2</v>
      </c>
      <c r="EV9" s="12">
        <f t="shared" si="7"/>
        <v>7.0000000000000062E-3</v>
      </c>
      <c r="EW9" s="12">
        <f t="shared" si="7"/>
        <v>1.4499999999999957E-2</v>
      </c>
      <c r="EX9" s="12">
        <f t="shared" si="7"/>
        <v>2.9999999999999971E-2</v>
      </c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4"/>
      <c r="FL9" s="33"/>
      <c r="FM9" s="18" t="s">
        <v>9</v>
      </c>
      <c r="FN9" s="15" t="s">
        <v>242</v>
      </c>
      <c r="FO9" s="2" t="s">
        <v>255</v>
      </c>
      <c r="FP9" s="3" t="s">
        <v>268</v>
      </c>
      <c r="FQ9" s="4" t="s">
        <v>281</v>
      </c>
      <c r="FR9" s="75"/>
      <c r="FS9" s="75"/>
      <c r="FT9" s="75"/>
      <c r="FU9" s="75"/>
      <c r="FV9" s="38"/>
      <c r="FW9" s="18" t="s">
        <v>9</v>
      </c>
      <c r="FX9" s="15">
        <v>0.65600000000000003</v>
      </c>
      <c r="FY9" s="2">
        <v>0.70499999999999996</v>
      </c>
      <c r="FZ9" s="3">
        <f>AVERAGE(0.68,0.627)</f>
        <v>0.65349999999999997</v>
      </c>
      <c r="GA9" s="4">
        <v>0.30599999999999999</v>
      </c>
      <c r="GB9" s="33"/>
      <c r="GC9" s="33"/>
      <c r="GD9" s="33"/>
      <c r="GE9" s="18" t="s">
        <v>9</v>
      </c>
      <c r="GF9" s="69">
        <f t="shared" si="8"/>
        <v>-3.1000000000000028E-2</v>
      </c>
      <c r="GG9" s="69">
        <f t="shared" si="9"/>
        <v>-2.4000000000000021E-2</v>
      </c>
      <c r="GH9" s="69">
        <f t="shared" ref="GH9:GH11" si="10">FZ9-EO9</f>
        <v>-2.8000000000000025E-2</v>
      </c>
      <c r="GI9" s="69">
        <f t="shared" si="5"/>
        <v>-5.7999999999999996E-2</v>
      </c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8"/>
      <c r="GX9" s="96" t="s">
        <v>9</v>
      </c>
      <c r="GY9" s="15" t="s">
        <v>222</v>
      </c>
      <c r="GZ9" s="2" t="s">
        <v>344</v>
      </c>
      <c r="HA9" s="3" t="s">
        <v>343</v>
      </c>
      <c r="HB9" s="27" t="s">
        <v>342</v>
      </c>
      <c r="HC9" s="65"/>
      <c r="HD9" s="65"/>
      <c r="HE9" s="65"/>
      <c r="HF9" s="60"/>
      <c r="HG9" s="33"/>
      <c r="HH9" s="18" t="s">
        <v>9</v>
      </c>
      <c r="HI9" s="2">
        <v>0.67600000000000005</v>
      </c>
      <c r="HJ9" s="15">
        <v>0.65200000000000002</v>
      </c>
      <c r="HK9" s="15">
        <v>0.65500000000000003</v>
      </c>
      <c r="HL9" s="15">
        <v>0.67</v>
      </c>
      <c r="HM9" s="15">
        <v>0.68700000000000006</v>
      </c>
      <c r="HN9" s="15">
        <v>0.65600000000000003</v>
      </c>
      <c r="HW9" s="18" t="s">
        <v>9</v>
      </c>
      <c r="HX9" s="2">
        <v>0.70499999999999996</v>
      </c>
      <c r="HY9" s="2">
        <v>0.68500000000000005</v>
      </c>
      <c r="HZ9" s="2">
        <v>0.70799999999999996</v>
      </c>
      <c r="IA9" s="2">
        <v>0.72199999999999998</v>
      </c>
      <c r="IB9" s="2">
        <v>0.72899999999999998</v>
      </c>
      <c r="IC9" s="2">
        <v>0.70499999999999996</v>
      </c>
      <c r="IL9" s="18" t="s">
        <v>9</v>
      </c>
      <c r="IM9" s="3">
        <v>0.66599999999999993</v>
      </c>
      <c r="IN9" s="3">
        <v>0.65050000000000008</v>
      </c>
      <c r="IO9" s="3">
        <v>0.65200000000000002</v>
      </c>
      <c r="IP9" s="3">
        <v>0.66700000000000004</v>
      </c>
      <c r="IQ9" s="3">
        <v>0.68149999999999999</v>
      </c>
      <c r="IR9" s="3">
        <v>0.65349999999999997</v>
      </c>
      <c r="JA9" s="18" t="s">
        <v>9</v>
      </c>
      <c r="JB9" s="4">
        <v>0.33600000000000002</v>
      </c>
      <c r="JC9" s="4">
        <v>0.3</v>
      </c>
      <c r="JD9" s="4">
        <v>0.30399999999999999</v>
      </c>
      <c r="JE9" s="4">
        <v>0.33400000000000002</v>
      </c>
      <c r="JF9" s="4">
        <v>0.36399999999999999</v>
      </c>
      <c r="JG9" s="4">
        <v>0.30599999999999999</v>
      </c>
    </row>
    <row r="10" spans="1:267" ht="30" customHeight="1" thickBot="1" x14ac:dyDescent="0.35">
      <c r="A10" s="36" t="s">
        <v>10</v>
      </c>
      <c r="B10" s="2">
        <v>0.65600000000000003</v>
      </c>
      <c r="C10" s="2">
        <v>0.70799999999999996</v>
      </c>
      <c r="D10" s="3">
        <f>AVERAGE(0.731,0.566)</f>
        <v>0.64849999999999997</v>
      </c>
      <c r="E10" s="4">
        <v>0.29899999999999999</v>
      </c>
      <c r="AB10" s="18" t="s">
        <v>10</v>
      </c>
      <c r="AC10" s="26" t="s">
        <v>222</v>
      </c>
      <c r="AD10" s="2" t="s">
        <v>48</v>
      </c>
      <c r="AE10" s="3" t="s">
        <v>47</v>
      </c>
      <c r="AF10" s="27" t="s">
        <v>46</v>
      </c>
      <c r="AK10" s="18" t="s">
        <v>10</v>
      </c>
      <c r="AL10" s="15">
        <v>0.64500000000000002</v>
      </c>
      <c r="AM10" s="2">
        <v>0.70499999999999996</v>
      </c>
      <c r="AN10" s="3">
        <f>AVERAGE(0.638,0.654)</f>
        <v>0.64600000000000002</v>
      </c>
      <c r="AO10" s="4">
        <v>0.28899999999999998</v>
      </c>
      <c r="AQ10" s="18" t="s">
        <v>10</v>
      </c>
      <c r="AR10" s="12">
        <f t="shared" si="0"/>
        <v>-1.100000000000001E-2</v>
      </c>
      <c r="AS10" s="12">
        <f t="shared" si="0"/>
        <v>-3.0000000000000027E-3</v>
      </c>
      <c r="AT10" s="12">
        <f t="shared" si="0"/>
        <v>-2.4999999999999467E-3</v>
      </c>
      <c r="AU10" s="12">
        <f t="shared" si="0"/>
        <v>-1.0000000000000009E-2</v>
      </c>
      <c r="BI10" s="18" t="s">
        <v>9</v>
      </c>
      <c r="BJ10" s="15" t="s">
        <v>354</v>
      </c>
      <c r="BK10" s="2" t="s">
        <v>361</v>
      </c>
      <c r="BL10" s="3" t="s">
        <v>369</v>
      </c>
      <c r="BM10" s="4" t="s">
        <v>377</v>
      </c>
      <c r="BN10" s="75"/>
      <c r="BP10" s="18" t="s">
        <v>10</v>
      </c>
      <c r="BQ10" s="15">
        <v>0.64500000000000002</v>
      </c>
      <c r="BR10" s="2">
        <v>0.70499999999999996</v>
      </c>
      <c r="BS10" s="3">
        <f>AVERAGE(0.638,0.654)</f>
        <v>0.64600000000000002</v>
      </c>
      <c r="BT10" s="4">
        <v>0.28899999999999998</v>
      </c>
      <c r="BX10" s="18" t="s">
        <v>10</v>
      </c>
      <c r="BY10" s="12">
        <f t="shared" si="1"/>
        <v>0</v>
      </c>
      <c r="BZ10" s="12">
        <f t="shared" si="1"/>
        <v>0</v>
      </c>
      <c r="CA10" s="12">
        <f t="shared" si="1"/>
        <v>0</v>
      </c>
      <c r="CB10" s="12">
        <f t="shared" si="1"/>
        <v>0</v>
      </c>
      <c r="CQ10" s="18" t="s">
        <v>10</v>
      </c>
      <c r="CR10" s="15" t="s">
        <v>355</v>
      </c>
      <c r="CS10" s="2" t="s">
        <v>362</v>
      </c>
      <c r="CT10" s="3" t="s">
        <v>370</v>
      </c>
      <c r="CU10" s="4" t="s">
        <v>378</v>
      </c>
      <c r="CV10" s="75"/>
      <c r="CW10" s="75"/>
      <c r="CX10" s="75"/>
      <c r="CY10" s="75"/>
      <c r="CZ10" s="38"/>
      <c r="DA10" s="18" t="s">
        <v>10</v>
      </c>
      <c r="DB10" s="15">
        <v>0.65100000000000002</v>
      </c>
      <c r="DC10" s="2">
        <v>0.70399999999999996</v>
      </c>
      <c r="DD10" s="3">
        <f>AVERAGE(0.638,0.668)</f>
        <v>0.65300000000000002</v>
      </c>
      <c r="DE10" s="4">
        <v>0.30199999999999999</v>
      </c>
      <c r="DF10" s="33"/>
      <c r="DG10" s="33"/>
      <c r="DH10" s="33"/>
      <c r="DI10" s="18" t="s">
        <v>10</v>
      </c>
      <c r="DJ10" s="12">
        <f t="shared" si="2"/>
        <v>0.36200000000000004</v>
      </c>
      <c r="DK10" s="12">
        <f t="shared" si="2"/>
        <v>0.70399999999999996</v>
      </c>
      <c r="DL10" s="12">
        <f t="shared" si="2"/>
        <v>0.65300000000000002</v>
      </c>
      <c r="DM10" s="12">
        <f t="shared" si="2"/>
        <v>0.30199999999999999</v>
      </c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4"/>
      <c r="EA10" s="33"/>
      <c r="EB10" s="18" t="s">
        <v>10</v>
      </c>
      <c r="EC10" s="15" t="s">
        <v>531</v>
      </c>
      <c r="ED10" s="2" t="s">
        <v>536</v>
      </c>
      <c r="EE10" s="3" t="s">
        <v>542</v>
      </c>
      <c r="EF10" s="4" t="s">
        <v>549</v>
      </c>
      <c r="EG10" s="75"/>
      <c r="EH10" s="75"/>
      <c r="EI10" s="75"/>
      <c r="EJ10" s="75"/>
      <c r="EK10" s="38"/>
      <c r="EL10" s="18" t="s">
        <v>10</v>
      </c>
      <c r="EM10" s="15">
        <v>0.66800000000000004</v>
      </c>
      <c r="EN10" s="2">
        <v>0.71099999999999997</v>
      </c>
      <c r="EO10" s="3">
        <f>AVERAGE(0.7,0.63)</f>
        <v>0.66500000000000004</v>
      </c>
      <c r="EP10" s="4">
        <v>0.33</v>
      </c>
      <c r="EQ10" s="33"/>
      <c r="ER10" s="33"/>
      <c r="ES10" s="33"/>
      <c r="ET10" s="18" t="s">
        <v>10</v>
      </c>
      <c r="EU10" s="12">
        <f t="shared" si="6"/>
        <v>1.7000000000000015E-2</v>
      </c>
      <c r="EV10" s="12">
        <f t="shared" si="7"/>
        <v>7.0000000000000062E-3</v>
      </c>
      <c r="EW10" s="12">
        <f t="shared" si="7"/>
        <v>1.2000000000000011E-2</v>
      </c>
      <c r="EX10" s="12">
        <f t="shared" si="7"/>
        <v>2.8000000000000025E-2</v>
      </c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4"/>
      <c r="FL10" s="33"/>
      <c r="FM10" s="18" t="s">
        <v>10</v>
      </c>
      <c r="FN10" s="15" t="s">
        <v>243</v>
      </c>
      <c r="FO10" s="2" t="s">
        <v>256</v>
      </c>
      <c r="FP10" s="3" t="s">
        <v>269</v>
      </c>
      <c r="FQ10" s="4" t="s">
        <v>282</v>
      </c>
      <c r="FR10" s="75"/>
      <c r="FS10" s="75"/>
      <c r="FT10" s="75"/>
      <c r="FU10" s="75"/>
      <c r="FV10" s="38"/>
      <c r="FW10" s="18" t="s">
        <v>10</v>
      </c>
      <c r="FX10" s="15">
        <v>0.64500000000000002</v>
      </c>
      <c r="FY10" s="2">
        <v>0.69499999999999995</v>
      </c>
      <c r="FZ10" s="3">
        <f>AVERAGE(0.687,0.596)</f>
        <v>0.64149999999999996</v>
      </c>
      <c r="GA10" s="4">
        <v>0.28199999999999997</v>
      </c>
      <c r="GB10" s="33"/>
      <c r="GC10" s="33"/>
      <c r="GD10" s="33"/>
      <c r="GE10" s="18" t="s">
        <v>10</v>
      </c>
      <c r="GF10" s="12">
        <f t="shared" si="8"/>
        <v>-2.300000000000002E-2</v>
      </c>
      <c r="GG10" s="12">
        <f t="shared" si="9"/>
        <v>-1.6000000000000014E-2</v>
      </c>
      <c r="GH10" s="12">
        <f t="shared" si="10"/>
        <v>-2.3500000000000076E-2</v>
      </c>
      <c r="GI10" s="12">
        <f t="shared" si="5"/>
        <v>-4.8000000000000043E-2</v>
      </c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8"/>
      <c r="GX10" s="96" t="s">
        <v>10</v>
      </c>
      <c r="GY10" s="15" t="s">
        <v>348</v>
      </c>
      <c r="GZ10" s="2" t="s">
        <v>347</v>
      </c>
      <c r="HA10" s="3" t="s">
        <v>346</v>
      </c>
      <c r="HB10" s="27" t="s">
        <v>345</v>
      </c>
      <c r="HC10" s="65"/>
      <c r="HD10" s="65"/>
      <c r="HE10" s="65"/>
      <c r="HF10" s="60"/>
      <c r="HG10" s="33"/>
      <c r="HH10" s="18" t="s">
        <v>10</v>
      </c>
      <c r="HI10" s="2">
        <v>0.65600000000000003</v>
      </c>
      <c r="HJ10" s="15">
        <v>0.64500000000000002</v>
      </c>
      <c r="HK10" s="15">
        <v>0.64500000000000002</v>
      </c>
      <c r="HL10" s="15">
        <v>0.65100000000000002</v>
      </c>
      <c r="HM10" s="15">
        <v>0.66800000000000004</v>
      </c>
      <c r="HN10" s="15">
        <v>0.64500000000000002</v>
      </c>
      <c r="HW10" s="18" t="s">
        <v>10</v>
      </c>
      <c r="HX10" s="2">
        <v>0.70799999999999996</v>
      </c>
      <c r="HY10" s="2">
        <v>0.70499999999999996</v>
      </c>
      <c r="HZ10" s="2">
        <v>0.70499999999999996</v>
      </c>
      <c r="IA10" s="2">
        <v>0.70399999999999996</v>
      </c>
      <c r="IB10" s="2">
        <v>0.71099999999999997</v>
      </c>
      <c r="IC10" s="2">
        <v>0.69499999999999995</v>
      </c>
      <c r="IL10" s="18" t="s">
        <v>10</v>
      </c>
      <c r="IM10" s="3">
        <v>0.64849999999999997</v>
      </c>
      <c r="IN10" s="3">
        <v>0.64600000000000002</v>
      </c>
      <c r="IO10" s="3">
        <v>0.64600000000000002</v>
      </c>
      <c r="IP10" s="3">
        <v>0.65300000000000002</v>
      </c>
      <c r="IQ10" s="3">
        <v>0.66500000000000004</v>
      </c>
      <c r="IR10" s="3">
        <v>0.64149999999999996</v>
      </c>
      <c r="JA10" s="18" t="s">
        <v>10</v>
      </c>
      <c r="JB10" s="4">
        <v>0.29899999999999999</v>
      </c>
      <c r="JC10" s="4">
        <v>0.28899999999999998</v>
      </c>
      <c r="JD10" s="4">
        <v>0.28899999999999998</v>
      </c>
      <c r="JE10" s="4">
        <v>0.30199999999999999</v>
      </c>
      <c r="JF10" s="4">
        <v>0.33</v>
      </c>
      <c r="JG10" s="4">
        <v>0.28199999999999997</v>
      </c>
    </row>
    <row r="11" spans="1:267" ht="30" customHeight="1" thickBot="1" x14ac:dyDescent="0.35">
      <c r="A11" s="37" t="s">
        <v>11</v>
      </c>
      <c r="B11" s="6">
        <v>0.61599999999999999</v>
      </c>
      <c r="C11" s="6">
        <v>0.67200000000000004</v>
      </c>
      <c r="D11" s="7">
        <f>AVERAGE(0.68,0.539)</f>
        <v>0.60950000000000004</v>
      </c>
      <c r="E11" s="8">
        <v>0.221</v>
      </c>
      <c r="AB11" s="19" t="s">
        <v>11</v>
      </c>
      <c r="AC11" s="28" t="s">
        <v>221</v>
      </c>
      <c r="AD11" s="29" t="s">
        <v>51</v>
      </c>
      <c r="AE11" s="30" t="s">
        <v>50</v>
      </c>
      <c r="AF11" s="31" t="s">
        <v>49</v>
      </c>
      <c r="AK11" s="19" t="s">
        <v>11</v>
      </c>
      <c r="AL11" s="17">
        <v>0.64600000000000002</v>
      </c>
      <c r="AM11" s="6">
        <v>0.69799999999999995</v>
      </c>
      <c r="AN11" s="7">
        <f>AVERAGE(0.653,0.638)</f>
        <v>0.64549999999999996</v>
      </c>
      <c r="AO11" s="8">
        <v>0.28999999999999998</v>
      </c>
      <c r="AQ11" s="19" t="s">
        <v>11</v>
      </c>
      <c r="AR11" s="12">
        <f t="shared" si="0"/>
        <v>3.0000000000000027E-2</v>
      </c>
      <c r="AS11" s="12">
        <f t="shared" si="0"/>
        <v>2.5999999999999912E-2</v>
      </c>
      <c r="AT11" s="12">
        <f t="shared" si="0"/>
        <v>3.5999999999999921E-2</v>
      </c>
      <c r="AU11" s="12">
        <f t="shared" si="0"/>
        <v>6.8999999999999978E-2</v>
      </c>
      <c r="BI11" s="18" t="s">
        <v>10</v>
      </c>
      <c r="BJ11" s="15" t="s">
        <v>355</v>
      </c>
      <c r="BK11" s="2" t="s">
        <v>362</v>
      </c>
      <c r="BL11" s="3" t="s">
        <v>370</v>
      </c>
      <c r="BM11" s="4" t="s">
        <v>378</v>
      </c>
      <c r="BN11" s="75"/>
      <c r="BP11" s="19" t="s">
        <v>11</v>
      </c>
      <c r="BQ11" s="17">
        <v>0.66</v>
      </c>
      <c r="BR11" s="6">
        <v>0.70699999999999996</v>
      </c>
      <c r="BS11" s="7">
        <f>AVERAGE(0.671,0.646)</f>
        <v>0.65850000000000009</v>
      </c>
      <c r="BT11" s="8">
        <v>0.316</v>
      </c>
      <c r="BX11" s="19" t="s">
        <v>11</v>
      </c>
      <c r="BY11" s="12">
        <f t="shared" si="1"/>
        <v>1.4000000000000012E-2</v>
      </c>
      <c r="BZ11" s="12">
        <f t="shared" si="1"/>
        <v>9.000000000000008E-3</v>
      </c>
      <c r="CA11" s="12">
        <f t="shared" si="1"/>
        <v>1.3000000000000123E-2</v>
      </c>
      <c r="CB11" s="12">
        <f t="shared" si="1"/>
        <v>2.6000000000000023E-2</v>
      </c>
      <c r="CQ11" s="19" t="s">
        <v>11</v>
      </c>
      <c r="CR11" s="17" t="s">
        <v>449</v>
      </c>
      <c r="CS11" s="6" t="s">
        <v>456</v>
      </c>
      <c r="CT11" s="7" t="s">
        <v>462</v>
      </c>
      <c r="CU11" s="8" t="s">
        <v>469</v>
      </c>
      <c r="CV11" s="75"/>
      <c r="CW11" s="75"/>
      <c r="CX11" s="75"/>
      <c r="CY11" s="75"/>
      <c r="CZ11" s="38"/>
      <c r="DA11" s="19" t="s">
        <v>11</v>
      </c>
      <c r="DB11" s="17">
        <v>0.66</v>
      </c>
      <c r="DC11" s="6">
        <v>0.71499999999999997</v>
      </c>
      <c r="DD11" s="7">
        <f>AVERAGE(0.618,0.71)</f>
        <v>0.66399999999999992</v>
      </c>
      <c r="DE11" s="8">
        <v>0.32300000000000001</v>
      </c>
      <c r="DF11" s="33"/>
      <c r="DG11" s="33"/>
      <c r="DH11" s="33"/>
      <c r="DI11" s="19" t="s">
        <v>11</v>
      </c>
      <c r="DJ11" s="12">
        <f t="shared" si="2"/>
        <v>0.34400000000000003</v>
      </c>
      <c r="DK11" s="12">
        <f t="shared" si="2"/>
        <v>0.71499999999999997</v>
      </c>
      <c r="DL11" s="12">
        <f t="shared" si="2"/>
        <v>0.66399999999999992</v>
      </c>
      <c r="DM11" s="12">
        <f t="shared" si="2"/>
        <v>0.32300000000000001</v>
      </c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4"/>
      <c r="EA11" s="33"/>
      <c r="EB11" s="19" t="s">
        <v>11</v>
      </c>
      <c r="EC11" s="17" t="s">
        <v>532</v>
      </c>
      <c r="ED11" s="6" t="s">
        <v>537</v>
      </c>
      <c r="EE11" s="7" t="s">
        <v>543</v>
      </c>
      <c r="EF11" s="8" t="s">
        <v>550</v>
      </c>
      <c r="EG11" s="75"/>
      <c r="EH11" s="75"/>
      <c r="EI11" s="75"/>
      <c r="EJ11" s="75"/>
      <c r="EK11" s="38"/>
      <c r="EL11" s="19" t="s">
        <v>11</v>
      </c>
      <c r="EM11" s="17">
        <v>0.67700000000000005</v>
      </c>
      <c r="EN11" s="6">
        <v>0.70399999999999996</v>
      </c>
      <c r="EO11" s="7">
        <f>AVERAGE(0.707,0.641)</f>
        <v>0.67399999999999993</v>
      </c>
      <c r="EP11" s="8">
        <v>0.34799999999999998</v>
      </c>
      <c r="EQ11" s="33"/>
      <c r="ER11" s="33"/>
      <c r="ES11" s="33"/>
      <c r="ET11" s="19" t="s">
        <v>11</v>
      </c>
      <c r="EU11" s="12">
        <f t="shared" si="6"/>
        <v>1.7000000000000015E-2</v>
      </c>
      <c r="EV11" s="12">
        <f t="shared" si="7"/>
        <v>-1.100000000000001E-2</v>
      </c>
      <c r="EW11" s="12">
        <f t="shared" si="7"/>
        <v>1.0000000000000009E-2</v>
      </c>
      <c r="EX11" s="12">
        <f t="shared" si="7"/>
        <v>2.4999999999999967E-2</v>
      </c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4"/>
      <c r="FL11" s="33"/>
      <c r="FM11" s="19" t="s">
        <v>11</v>
      </c>
      <c r="FN11" s="17" t="s">
        <v>244</v>
      </c>
      <c r="FO11" s="6" t="s">
        <v>257</v>
      </c>
      <c r="FP11" s="7" t="s">
        <v>270</v>
      </c>
      <c r="FQ11" s="8" t="s">
        <v>283</v>
      </c>
      <c r="FR11" s="75"/>
      <c r="FS11" s="75"/>
      <c r="FT11" s="75"/>
      <c r="FU11" s="75"/>
      <c r="FV11" s="38"/>
      <c r="FW11" s="19" t="s">
        <v>11</v>
      </c>
      <c r="FX11" s="17">
        <v>0.64500000000000002</v>
      </c>
      <c r="FY11" s="6">
        <v>0.70199999999999996</v>
      </c>
      <c r="FZ11" s="7">
        <f>AVERAGE(0.598,0.703)</f>
        <v>0.65049999999999997</v>
      </c>
      <c r="GA11" s="8">
        <v>0.29699999999999999</v>
      </c>
      <c r="GB11" s="33"/>
      <c r="GC11" s="33"/>
      <c r="GD11" s="33"/>
      <c r="GE11" s="19" t="s">
        <v>11</v>
      </c>
      <c r="GF11" s="69">
        <f t="shared" si="8"/>
        <v>-3.2000000000000028E-2</v>
      </c>
      <c r="GG11" s="12">
        <f t="shared" si="9"/>
        <v>-2.0000000000000018E-3</v>
      </c>
      <c r="GH11" s="12">
        <f t="shared" si="10"/>
        <v>-2.3499999999999965E-2</v>
      </c>
      <c r="GI11" s="12">
        <f>GA11-EP11</f>
        <v>-5.099999999999999E-2</v>
      </c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8"/>
      <c r="GX11" s="98" t="s">
        <v>11</v>
      </c>
      <c r="GY11" s="91" t="s">
        <v>350</v>
      </c>
      <c r="GZ11" s="29" t="s">
        <v>233</v>
      </c>
      <c r="HA11" s="30" t="s">
        <v>323</v>
      </c>
      <c r="HB11" s="31" t="s">
        <v>349</v>
      </c>
      <c r="HC11" s="65"/>
      <c r="HD11" s="65"/>
      <c r="HE11" s="65"/>
      <c r="HF11" s="60"/>
      <c r="HG11" s="33"/>
      <c r="HH11" s="19" t="s">
        <v>11</v>
      </c>
      <c r="HI11" s="6">
        <v>0.61599999999999999</v>
      </c>
      <c r="HJ11" s="17">
        <v>0.64600000000000002</v>
      </c>
      <c r="HK11" s="17">
        <v>0.66</v>
      </c>
      <c r="HL11" s="17">
        <v>0.66</v>
      </c>
      <c r="HM11" s="17">
        <v>0.67700000000000005</v>
      </c>
      <c r="HN11" s="17">
        <v>0.64500000000000002</v>
      </c>
      <c r="HW11" s="19" t="s">
        <v>11</v>
      </c>
      <c r="HX11" s="6">
        <v>0.67200000000000004</v>
      </c>
      <c r="HY11" s="6">
        <v>0.69799999999999995</v>
      </c>
      <c r="HZ11" s="6">
        <v>0.70699999999999996</v>
      </c>
      <c r="IA11" s="6">
        <v>0.71499999999999997</v>
      </c>
      <c r="IB11" s="6">
        <v>0.70399999999999996</v>
      </c>
      <c r="IC11" s="6">
        <v>0.70199999999999996</v>
      </c>
      <c r="IL11" s="19" t="s">
        <v>11</v>
      </c>
      <c r="IM11" s="7">
        <v>0.60950000000000004</v>
      </c>
      <c r="IN11" s="7">
        <v>0.64549999999999996</v>
      </c>
      <c r="IO11" s="7">
        <v>0.65850000000000009</v>
      </c>
      <c r="IP11" s="7">
        <v>0.66399999999999992</v>
      </c>
      <c r="IQ11" s="7">
        <v>0.67399999999999993</v>
      </c>
      <c r="IR11" s="7">
        <v>0.65049999999999997</v>
      </c>
      <c r="JA11" s="19" t="s">
        <v>11</v>
      </c>
      <c r="JB11" s="8">
        <v>0.221</v>
      </c>
      <c r="JC11" s="8">
        <v>0.28999999999999998</v>
      </c>
      <c r="JD11" s="8">
        <v>0.316</v>
      </c>
      <c r="JE11" s="8">
        <v>0.32300000000000001</v>
      </c>
      <c r="JF11" s="8">
        <v>0.34799999999999998</v>
      </c>
      <c r="JG11" s="8">
        <v>0.29699999999999999</v>
      </c>
    </row>
    <row r="12" spans="1:267" s="33" customFormat="1" ht="30" customHeight="1" thickBot="1" x14ac:dyDescent="0.35">
      <c r="A12" s="38"/>
      <c r="Z12" s="34"/>
      <c r="AA12" s="38"/>
      <c r="AI12" s="34"/>
      <c r="AJ12" s="38"/>
      <c r="BG12" s="34"/>
      <c r="BI12" s="19" t="s">
        <v>11</v>
      </c>
      <c r="BJ12" s="17" t="s">
        <v>356</v>
      </c>
      <c r="BK12" s="6" t="s">
        <v>363</v>
      </c>
      <c r="BL12" s="7" t="s">
        <v>371</v>
      </c>
      <c r="BM12" s="8" t="s">
        <v>379</v>
      </c>
      <c r="BN12" s="75"/>
      <c r="BO12" s="38"/>
      <c r="CO12" s="34"/>
      <c r="CV12" s="75"/>
      <c r="CW12" s="75"/>
      <c r="CX12" s="75"/>
      <c r="CY12" s="75"/>
      <c r="CZ12" s="38"/>
      <c r="DZ12" s="34"/>
      <c r="EG12" s="75"/>
      <c r="EH12" s="75"/>
      <c r="EI12" s="75"/>
      <c r="EJ12" s="75"/>
      <c r="EK12" s="38"/>
      <c r="FK12" s="34"/>
      <c r="FR12" s="75"/>
      <c r="FS12" s="75"/>
      <c r="FT12" s="75"/>
      <c r="FU12" s="75"/>
      <c r="FV12" s="38"/>
      <c r="GW12" s="38"/>
      <c r="HC12" s="59"/>
      <c r="HD12" s="59"/>
      <c r="HE12" s="59"/>
      <c r="HF12" s="60"/>
    </row>
    <row r="13" spans="1:267" ht="30" customHeight="1" thickBot="1" x14ac:dyDescent="0.35">
      <c r="A13" s="102" t="s">
        <v>21</v>
      </c>
      <c r="B13" s="103"/>
      <c r="C13" s="103"/>
      <c r="D13" s="103"/>
      <c r="E13" s="104"/>
      <c r="AB13" s="102" t="s">
        <v>21</v>
      </c>
      <c r="AC13" s="103"/>
      <c r="AD13" s="103"/>
      <c r="AE13" s="103"/>
      <c r="AF13" s="104"/>
      <c r="AK13" s="105" t="s">
        <v>21</v>
      </c>
      <c r="AL13" s="106"/>
      <c r="AM13" s="106"/>
      <c r="AN13" s="106"/>
      <c r="AO13" s="107"/>
      <c r="AQ13" s="115" t="s">
        <v>119</v>
      </c>
      <c r="AR13" s="116"/>
      <c r="AS13" s="116"/>
      <c r="AT13" s="116"/>
      <c r="AU13" s="117"/>
      <c r="BN13" s="75"/>
      <c r="BP13" s="105" t="s">
        <v>21</v>
      </c>
      <c r="BQ13" s="106"/>
      <c r="BR13" s="106"/>
      <c r="BS13" s="106"/>
      <c r="BT13" s="107"/>
      <c r="BX13" s="115" t="s">
        <v>119</v>
      </c>
      <c r="BY13" s="116"/>
      <c r="BZ13" s="116"/>
      <c r="CA13" s="116"/>
      <c r="CB13" s="117"/>
      <c r="CV13" s="75"/>
      <c r="CW13" s="75"/>
      <c r="CX13" s="75"/>
      <c r="CY13" s="75"/>
      <c r="CZ13" s="38"/>
      <c r="DA13" s="105" t="s">
        <v>21</v>
      </c>
      <c r="DB13" s="106"/>
      <c r="DC13" s="106"/>
      <c r="DD13" s="106"/>
      <c r="DE13" s="107"/>
      <c r="DF13" s="33"/>
      <c r="DG13" s="33"/>
      <c r="DH13" s="33"/>
      <c r="DI13" s="115" t="s">
        <v>119</v>
      </c>
      <c r="DJ13" s="116"/>
      <c r="DK13" s="116"/>
      <c r="DL13" s="116"/>
      <c r="DM13" s="117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4"/>
      <c r="EA13" s="33"/>
      <c r="EB13" s="105" t="s">
        <v>21</v>
      </c>
      <c r="EC13" s="106"/>
      <c r="ED13" s="106"/>
      <c r="EE13" s="106"/>
      <c r="EF13" s="107"/>
      <c r="EG13" s="75"/>
      <c r="EH13" s="75"/>
      <c r="EI13" s="75"/>
      <c r="EJ13" s="75"/>
      <c r="EK13" s="38"/>
      <c r="EL13" s="105" t="s">
        <v>21</v>
      </c>
      <c r="EM13" s="106"/>
      <c r="EN13" s="106"/>
      <c r="EO13" s="106"/>
      <c r="EP13" s="107"/>
      <c r="EQ13" s="33"/>
      <c r="ER13" s="33"/>
      <c r="ES13" s="33"/>
      <c r="ET13" s="115" t="s">
        <v>119</v>
      </c>
      <c r="EU13" s="116"/>
      <c r="EV13" s="116"/>
      <c r="EW13" s="116"/>
      <c r="EX13" s="117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4"/>
      <c r="FL13" s="33"/>
      <c r="FM13" s="105" t="s">
        <v>21</v>
      </c>
      <c r="FN13" s="106"/>
      <c r="FO13" s="106"/>
      <c r="FP13" s="106"/>
      <c r="FQ13" s="107"/>
      <c r="FR13" s="75"/>
      <c r="FS13" s="75"/>
      <c r="FT13" s="75"/>
      <c r="FU13" s="75"/>
      <c r="FV13" s="38"/>
      <c r="FW13" s="105" t="s">
        <v>21</v>
      </c>
      <c r="FX13" s="106"/>
      <c r="FY13" s="106"/>
      <c r="FZ13" s="106"/>
      <c r="GA13" s="107"/>
      <c r="GB13" s="33"/>
      <c r="GC13" s="33"/>
      <c r="GD13" s="33"/>
      <c r="GE13" s="115" t="s">
        <v>119</v>
      </c>
      <c r="GF13" s="116"/>
      <c r="GG13" s="116"/>
      <c r="GH13" s="116"/>
      <c r="GI13" s="117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8"/>
      <c r="GX13" s="111" t="s">
        <v>21</v>
      </c>
      <c r="GY13" s="112"/>
      <c r="GZ13" s="112"/>
      <c r="HA13" s="112"/>
      <c r="HB13" s="112"/>
      <c r="HC13" s="83"/>
      <c r="HD13" s="83"/>
      <c r="HE13" s="83"/>
      <c r="HF13" s="60"/>
      <c r="HG13" s="33"/>
    </row>
    <row r="14" spans="1:267" ht="30" customHeight="1" thickBot="1" x14ac:dyDescent="0.35">
      <c r="A14" s="35"/>
      <c r="B14" s="10" t="s">
        <v>0</v>
      </c>
      <c r="C14" s="10" t="s">
        <v>1</v>
      </c>
      <c r="D14" s="10" t="s">
        <v>2</v>
      </c>
      <c r="E14" s="11" t="s">
        <v>3</v>
      </c>
      <c r="AB14" s="9"/>
      <c r="AC14" s="10" t="s">
        <v>0</v>
      </c>
      <c r="AD14" s="10" t="s">
        <v>1</v>
      </c>
      <c r="AE14" s="10" t="s">
        <v>2</v>
      </c>
      <c r="AF14" s="11" t="s">
        <v>3</v>
      </c>
      <c r="AK14" s="35"/>
      <c r="AL14" s="10" t="s">
        <v>0</v>
      </c>
      <c r="AM14" s="10" t="s">
        <v>1</v>
      </c>
      <c r="AN14" s="10" t="s">
        <v>2</v>
      </c>
      <c r="AO14" s="44" t="s">
        <v>3</v>
      </c>
      <c r="AQ14" s="41"/>
      <c r="AR14" s="42" t="s">
        <v>0</v>
      </c>
      <c r="AS14" s="42" t="s">
        <v>1</v>
      </c>
      <c r="AT14" s="42" t="s">
        <v>2</v>
      </c>
      <c r="AU14" s="43" t="s">
        <v>3</v>
      </c>
      <c r="BI14" s="105" t="s">
        <v>21</v>
      </c>
      <c r="BJ14" s="106"/>
      <c r="BK14" s="106"/>
      <c r="BL14" s="106"/>
      <c r="BM14" s="107"/>
      <c r="BN14" s="75"/>
      <c r="BP14" s="35"/>
      <c r="BQ14" s="10" t="s">
        <v>0</v>
      </c>
      <c r="BR14" s="10" t="s">
        <v>1</v>
      </c>
      <c r="BS14" s="10" t="s">
        <v>2</v>
      </c>
      <c r="BT14" s="44" t="s">
        <v>3</v>
      </c>
      <c r="BX14" s="41"/>
      <c r="BY14" s="42" t="s">
        <v>0</v>
      </c>
      <c r="BZ14" s="42" t="s">
        <v>1</v>
      </c>
      <c r="CA14" s="42" t="s">
        <v>2</v>
      </c>
      <c r="CB14" s="43" t="s">
        <v>3</v>
      </c>
      <c r="CQ14" s="105" t="s">
        <v>21</v>
      </c>
      <c r="CR14" s="106"/>
      <c r="CS14" s="106"/>
      <c r="CT14" s="106"/>
      <c r="CU14" s="107"/>
      <c r="CV14" s="75"/>
      <c r="CW14" s="75"/>
      <c r="CX14" s="75"/>
      <c r="CY14" s="75"/>
      <c r="CZ14" s="38"/>
      <c r="DA14" s="35"/>
      <c r="DB14" s="10" t="s">
        <v>0</v>
      </c>
      <c r="DC14" s="10" t="s">
        <v>1</v>
      </c>
      <c r="DD14" s="10" t="s">
        <v>2</v>
      </c>
      <c r="DE14" s="44" t="s">
        <v>3</v>
      </c>
      <c r="DF14" s="33"/>
      <c r="DG14" s="33"/>
      <c r="DH14" s="33"/>
      <c r="DI14" s="41"/>
      <c r="DJ14" s="42" t="s">
        <v>0</v>
      </c>
      <c r="DK14" s="42" t="s">
        <v>1</v>
      </c>
      <c r="DL14" s="42" t="s">
        <v>2</v>
      </c>
      <c r="DM14" s="43" t="s">
        <v>3</v>
      </c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4"/>
      <c r="EA14" s="33"/>
      <c r="EB14" s="35"/>
      <c r="EC14" s="10" t="s">
        <v>0</v>
      </c>
      <c r="ED14" s="10" t="s">
        <v>1</v>
      </c>
      <c r="EE14" s="10" t="s">
        <v>2</v>
      </c>
      <c r="EF14" s="44" t="s">
        <v>3</v>
      </c>
      <c r="EG14" s="75"/>
      <c r="EH14" s="75"/>
      <c r="EI14" s="75"/>
      <c r="EJ14" s="75"/>
      <c r="EK14" s="38"/>
      <c r="EL14" s="35"/>
      <c r="EM14" s="10" t="s">
        <v>0</v>
      </c>
      <c r="EN14" s="10" t="s">
        <v>1</v>
      </c>
      <c r="EO14" s="10" t="s">
        <v>2</v>
      </c>
      <c r="EP14" s="44" t="s">
        <v>3</v>
      </c>
      <c r="EQ14" s="33"/>
      <c r="ER14" s="33"/>
      <c r="ES14" s="33"/>
      <c r="ET14" s="41"/>
      <c r="EU14" s="42" t="s">
        <v>0</v>
      </c>
      <c r="EV14" s="42" t="s">
        <v>1</v>
      </c>
      <c r="EW14" s="42" t="s">
        <v>2</v>
      </c>
      <c r="EX14" s="43" t="s">
        <v>3</v>
      </c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4"/>
      <c r="FL14" s="33"/>
      <c r="FM14" s="35"/>
      <c r="FN14" s="10" t="s">
        <v>0</v>
      </c>
      <c r="FO14" s="10" t="s">
        <v>1</v>
      </c>
      <c r="FP14" s="10" t="s">
        <v>2</v>
      </c>
      <c r="FQ14" s="44" t="s">
        <v>3</v>
      </c>
      <c r="FR14" s="75"/>
      <c r="FS14" s="75"/>
      <c r="FT14" s="75"/>
      <c r="FU14" s="75"/>
      <c r="FV14" s="38"/>
      <c r="FW14" s="35"/>
      <c r="FX14" s="10" t="s">
        <v>0</v>
      </c>
      <c r="FY14" s="10" t="s">
        <v>1</v>
      </c>
      <c r="FZ14" s="10" t="s">
        <v>2</v>
      </c>
      <c r="GA14" s="44" t="s">
        <v>3</v>
      </c>
      <c r="GB14" s="33"/>
      <c r="GC14" s="33"/>
      <c r="GD14" s="33"/>
      <c r="GE14" s="41"/>
      <c r="GF14" s="42" t="s">
        <v>0</v>
      </c>
      <c r="GG14" s="42" t="s">
        <v>1</v>
      </c>
      <c r="GH14" s="42" t="s">
        <v>2</v>
      </c>
      <c r="GI14" s="43" t="s">
        <v>3</v>
      </c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8"/>
      <c r="GX14" s="99"/>
      <c r="GY14" s="100" t="s">
        <v>0</v>
      </c>
      <c r="GZ14" s="100" t="s">
        <v>1</v>
      </c>
      <c r="HA14" s="100" t="s">
        <v>2</v>
      </c>
      <c r="HB14" s="101" t="s">
        <v>3</v>
      </c>
      <c r="HC14" s="66"/>
      <c r="HD14" s="66"/>
      <c r="HE14" s="66"/>
      <c r="HF14" s="60"/>
      <c r="HG14" s="33"/>
    </row>
    <row r="15" spans="1:267" ht="30" customHeight="1" thickBot="1" x14ac:dyDescent="0.35">
      <c r="A15" s="36" t="s">
        <v>4</v>
      </c>
      <c r="B15" s="2">
        <v>7.2999999999999995E-2</v>
      </c>
      <c r="C15" s="2">
        <v>0.58699999999999997</v>
      </c>
      <c r="D15" s="3">
        <f>AVERAGE(0.026,0.783,0.006,0.225,0.05,0.15,0.167,0.167)</f>
        <v>0.19675000000000001</v>
      </c>
      <c r="E15" s="4">
        <v>2.3E-2</v>
      </c>
      <c r="AB15" s="1" t="s">
        <v>4</v>
      </c>
      <c r="AC15" s="2" t="s">
        <v>55</v>
      </c>
      <c r="AD15" s="2" t="s">
        <v>54</v>
      </c>
      <c r="AE15" s="3" t="s">
        <v>53</v>
      </c>
      <c r="AF15" s="4" t="s">
        <v>52</v>
      </c>
      <c r="AK15" s="36" t="s">
        <v>4</v>
      </c>
      <c r="AL15" s="33">
        <v>0.32552215189873418</v>
      </c>
      <c r="AM15" s="33">
        <v>0.58392636089596406</v>
      </c>
      <c r="AN15" s="16">
        <f>AVERAGE(0.531,0.392,0.011,0.125,0.083,0.1,0.167,0.167)</f>
        <v>0.19700000000000004</v>
      </c>
      <c r="AO15" s="34">
        <v>9.621257215089557E-2</v>
      </c>
      <c r="AQ15" s="18" t="s">
        <v>4</v>
      </c>
      <c r="AR15" s="69">
        <f>AL15-B15</f>
        <v>0.25252215189873417</v>
      </c>
      <c r="AS15" s="57">
        <f t="shared" ref="AS15:AS22" si="11">AM15-C15</f>
        <v>-3.0736391040359079E-3</v>
      </c>
      <c r="AT15" s="57">
        <f t="shared" ref="AT15:AT22" si="12">AN15-D15</f>
        <v>2.5000000000002798E-4</v>
      </c>
      <c r="AU15" s="69">
        <f t="shared" ref="AU15:AU22" si="13">AO15-E15</f>
        <v>7.3212572150895577E-2</v>
      </c>
      <c r="BI15" s="35"/>
      <c r="BJ15" s="10" t="s">
        <v>0</v>
      </c>
      <c r="BK15" s="10" t="s">
        <v>1</v>
      </c>
      <c r="BL15" s="10" t="s">
        <v>2</v>
      </c>
      <c r="BM15" s="44" t="s">
        <v>3</v>
      </c>
      <c r="BN15" s="75"/>
      <c r="BP15" s="36" t="s">
        <v>4</v>
      </c>
      <c r="BQ15" s="12">
        <v>0.316</v>
      </c>
      <c r="BR15" s="13">
        <v>0.57999999999999996</v>
      </c>
      <c r="BS15" s="16">
        <f>AVERAGE(0.515,0.383,0.011,0.125,0.067,0.1,0.167,0.167)</f>
        <v>0.19187500000000002</v>
      </c>
      <c r="BT15" s="14">
        <v>8.7999999999999995E-2</v>
      </c>
      <c r="BX15" s="18" t="s">
        <v>4</v>
      </c>
      <c r="BY15" s="69">
        <f t="shared" ref="BY15:CB22" si="14">BQ15-AL15</f>
        <v>-9.5221518987341769E-3</v>
      </c>
      <c r="BZ15" s="12">
        <f t="shared" si="14"/>
        <v>-3.9263608959640983E-3</v>
      </c>
      <c r="CA15" s="12">
        <f t="shared" si="14"/>
        <v>-5.1250000000000184E-3</v>
      </c>
      <c r="CB15" s="12">
        <f t="shared" si="14"/>
        <v>-8.2125721508955751E-3</v>
      </c>
      <c r="CQ15" s="35"/>
      <c r="CR15" s="10" t="s">
        <v>0</v>
      </c>
      <c r="CS15" s="10" t="s">
        <v>1</v>
      </c>
      <c r="CT15" s="10" t="s">
        <v>2</v>
      </c>
      <c r="CU15" s="44" t="s">
        <v>3</v>
      </c>
      <c r="CV15" s="75"/>
      <c r="CW15" s="75"/>
      <c r="CX15" s="75"/>
      <c r="CY15" s="75"/>
      <c r="CZ15" s="38"/>
      <c r="DA15" s="36" t="s">
        <v>4</v>
      </c>
      <c r="DB15" s="12">
        <v>0.316</v>
      </c>
      <c r="DC15" s="13">
        <v>0.57999999999999996</v>
      </c>
      <c r="DD15" s="16">
        <f>AVERAGE(0.515,0.383,0.011,0.125,0.067,0.1,0.167,0.167)</f>
        <v>0.19187500000000002</v>
      </c>
      <c r="DE15" s="14">
        <v>8.7999999999999995E-2</v>
      </c>
      <c r="DF15" s="33"/>
      <c r="DG15" s="33"/>
      <c r="DH15" s="33"/>
      <c r="DI15" s="18" t="s">
        <v>4</v>
      </c>
      <c r="DJ15" s="12">
        <f t="shared" ref="DJ15:DM22" si="15">DB15-BT15</f>
        <v>0.22800000000000001</v>
      </c>
      <c r="DK15" s="12">
        <f t="shared" si="15"/>
        <v>0.57999999999999996</v>
      </c>
      <c r="DL15" s="12">
        <f t="shared" si="15"/>
        <v>0.19187500000000002</v>
      </c>
      <c r="DM15" s="12">
        <f t="shared" si="15"/>
        <v>8.7999999999999995E-2</v>
      </c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4"/>
      <c r="EA15" s="33"/>
      <c r="EB15" s="36" t="s">
        <v>4</v>
      </c>
      <c r="EC15" s="12" t="s">
        <v>498</v>
      </c>
      <c r="ED15" s="13" t="s">
        <v>478</v>
      </c>
      <c r="EE15" s="16" t="s">
        <v>484</v>
      </c>
      <c r="EF15" s="14" t="s">
        <v>491</v>
      </c>
      <c r="EG15" s="75"/>
      <c r="EH15" s="75"/>
      <c r="EI15" s="75"/>
      <c r="EJ15" s="75"/>
      <c r="EK15" s="38"/>
      <c r="EL15" s="36" t="s">
        <v>4</v>
      </c>
      <c r="EM15" s="12">
        <v>0.40699999999999997</v>
      </c>
      <c r="EN15" s="13">
        <v>0.625</v>
      </c>
      <c r="EO15" s="16">
        <f>AVERAGE(0.723,0.133,0.011,0,0,0.2,0.267,0.083)</f>
        <v>0.177125</v>
      </c>
      <c r="EP15" s="14">
        <v>0.112</v>
      </c>
      <c r="EQ15" s="33"/>
      <c r="ER15" s="33"/>
      <c r="ES15" s="33"/>
      <c r="ET15" s="18" t="s">
        <v>4</v>
      </c>
      <c r="EU15" s="69">
        <f>EM15-DB15</f>
        <v>9.099999999999997E-2</v>
      </c>
      <c r="EV15" s="69">
        <f>EN15-DC15</f>
        <v>4.500000000000004E-2</v>
      </c>
      <c r="EW15" s="12">
        <f>EO15-DD15</f>
        <v>-1.4750000000000013E-2</v>
      </c>
      <c r="EX15" s="12">
        <f>EP15-DE15</f>
        <v>2.4000000000000007E-2</v>
      </c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4"/>
      <c r="FL15" s="33"/>
      <c r="FM15" s="36" t="s">
        <v>4</v>
      </c>
      <c r="FN15" s="12" t="s">
        <v>295</v>
      </c>
      <c r="FO15" s="13" t="s">
        <v>294</v>
      </c>
      <c r="FP15" s="16" t="s">
        <v>293</v>
      </c>
      <c r="FQ15" s="14" t="s">
        <v>292</v>
      </c>
      <c r="FR15" s="75"/>
      <c r="FS15" s="75"/>
      <c r="FT15" s="75"/>
      <c r="FU15" s="75"/>
      <c r="FV15" s="38"/>
      <c r="FW15" s="36" t="s">
        <v>4</v>
      </c>
      <c r="FX15" s="12">
        <v>0.39500000000000002</v>
      </c>
      <c r="FY15" s="13">
        <v>0.64500000000000002</v>
      </c>
      <c r="FZ15" s="16">
        <f>AVERAGE(0.583,0.183,0.202,0.208,0.095,0.2,0.267,0.117)</f>
        <v>0.231875</v>
      </c>
      <c r="GA15" s="14">
        <v>0.14799999999999999</v>
      </c>
      <c r="GB15" s="33"/>
      <c r="GC15" s="33"/>
      <c r="GD15" s="33"/>
      <c r="GE15" s="18" t="s">
        <v>4</v>
      </c>
      <c r="GF15" s="12">
        <f>FX15-EM15</f>
        <v>-1.1999999999999955E-2</v>
      </c>
      <c r="GG15" s="12">
        <f t="shared" ref="GG15:GG19" si="16">FY15-EN15</f>
        <v>2.0000000000000018E-2</v>
      </c>
      <c r="GH15" s="69">
        <f t="shared" ref="GH15:GH22" si="17">FZ15-EO15</f>
        <v>5.4749999999999993E-2</v>
      </c>
      <c r="GI15" s="12">
        <f t="shared" ref="GI15:GI17" si="18">GA15-EP15</f>
        <v>3.599999999999999E-2</v>
      </c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8"/>
      <c r="GX15" s="36" t="s">
        <v>4</v>
      </c>
      <c r="GY15" s="12" t="s">
        <v>642</v>
      </c>
      <c r="GZ15" s="13" t="s">
        <v>641</v>
      </c>
      <c r="HA15" s="16" t="s">
        <v>640</v>
      </c>
      <c r="HB15" s="97" t="s">
        <v>639</v>
      </c>
      <c r="HC15" s="65"/>
      <c r="HD15" s="65"/>
      <c r="HE15" s="65"/>
      <c r="HF15" s="60"/>
      <c r="HG15" s="33"/>
      <c r="HH15" s="18" t="s">
        <v>4</v>
      </c>
      <c r="HI15" s="2">
        <v>7.2999999999999995E-2</v>
      </c>
      <c r="HJ15" s="33">
        <v>0.32552215189873418</v>
      </c>
      <c r="HK15" s="12">
        <v>0.316</v>
      </c>
      <c r="HL15" s="12">
        <v>0.316</v>
      </c>
      <c r="HM15" s="12">
        <v>0.40699999999999997</v>
      </c>
      <c r="HN15" s="12">
        <v>0.39500000000000002</v>
      </c>
      <c r="HW15" s="18" t="s">
        <v>4</v>
      </c>
      <c r="HX15" s="2">
        <v>0.58699999999999997</v>
      </c>
      <c r="HY15" s="33">
        <v>0.58392636089596406</v>
      </c>
      <c r="HZ15" s="13">
        <v>0.57999999999999996</v>
      </c>
      <c r="IA15" s="13">
        <v>0.57999999999999996</v>
      </c>
      <c r="IB15" s="13">
        <v>0.625</v>
      </c>
      <c r="IC15" s="13">
        <v>0.64500000000000002</v>
      </c>
      <c r="IL15" s="18" t="s">
        <v>4</v>
      </c>
      <c r="IM15" s="3">
        <v>0.19675000000000001</v>
      </c>
      <c r="IN15" s="16">
        <v>0.19700000000000004</v>
      </c>
      <c r="IO15" s="16">
        <v>0.19187500000000002</v>
      </c>
      <c r="IP15" s="16">
        <v>0.19187500000000002</v>
      </c>
      <c r="IQ15" s="16">
        <v>0.177125</v>
      </c>
      <c r="IR15" s="16">
        <v>0.231875</v>
      </c>
      <c r="JA15" s="18" t="s">
        <v>4</v>
      </c>
      <c r="JB15" s="4">
        <v>2.3E-2</v>
      </c>
      <c r="JC15" s="34">
        <v>9.621257215089557E-2</v>
      </c>
      <c r="JD15" s="14">
        <v>8.7999999999999995E-2</v>
      </c>
      <c r="JE15" s="14">
        <v>8.7999999999999995E-2</v>
      </c>
      <c r="JF15" s="14">
        <v>0.112</v>
      </c>
      <c r="JG15" s="14">
        <v>0.14799999999999999</v>
      </c>
    </row>
    <row r="16" spans="1:267" ht="30" customHeight="1" thickBot="1" x14ac:dyDescent="0.35">
      <c r="A16" s="36" t="s">
        <v>5</v>
      </c>
      <c r="B16" s="2">
        <v>0.51900000000000002</v>
      </c>
      <c r="C16" s="2">
        <v>0.58899999999999997</v>
      </c>
      <c r="D16" s="3">
        <f>AVERAGE(0.864,0,0.228,0.025,0.017,0,0.083,0.117)</f>
        <v>0.16674999999999998</v>
      </c>
      <c r="E16" s="4">
        <v>0.122</v>
      </c>
      <c r="AB16" s="1" t="s">
        <v>5</v>
      </c>
      <c r="AC16" s="2" t="s">
        <v>59</v>
      </c>
      <c r="AD16" s="2" t="s">
        <v>58</v>
      </c>
      <c r="AE16" s="3" t="s">
        <v>57</v>
      </c>
      <c r="AF16" s="4" t="s">
        <v>56</v>
      </c>
      <c r="AK16" s="36" t="s">
        <v>5</v>
      </c>
      <c r="AL16" s="33">
        <v>0.11511075949367089</v>
      </c>
      <c r="AM16" s="33">
        <v>0.56155513706266935</v>
      </c>
      <c r="AN16" s="3">
        <f>AVERAGE(0.033,0.292,0.195,0.275,0.217,0.3,0.083,0.1)</f>
        <v>0.18687500000000001</v>
      </c>
      <c r="AO16" s="34">
        <v>2.598696277651653E-2</v>
      </c>
      <c r="AQ16" s="18" t="s">
        <v>5</v>
      </c>
      <c r="AR16" s="69">
        <f t="shared" ref="AR16:AR22" si="19">AL16-B16</f>
        <v>-0.40388924050632913</v>
      </c>
      <c r="AS16" s="69">
        <f t="shared" si="11"/>
        <v>-2.7444862937330616E-2</v>
      </c>
      <c r="AT16" s="57">
        <f t="shared" si="12"/>
        <v>2.0125000000000032E-2</v>
      </c>
      <c r="AU16" s="69">
        <f t="shared" si="13"/>
        <v>-9.6013037223483463E-2</v>
      </c>
      <c r="BI16" s="36" t="s">
        <v>4</v>
      </c>
      <c r="BJ16" s="15" t="s">
        <v>412</v>
      </c>
      <c r="BK16" s="2" t="s">
        <v>388</v>
      </c>
      <c r="BL16" s="2" t="s">
        <v>396</v>
      </c>
      <c r="BM16" s="4" t="s">
        <v>404</v>
      </c>
      <c r="BN16" s="75"/>
      <c r="BP16" s="36" t="s">
        <v>5</v>
      </c>
      <c r="BQ16" s="15">
        <v>0.109</v>
      </c>
      <c r="BR16" s="2">
        <v>0.55500000000000005</v>
      </c>
      <c r="BS16" s="3">
        <f>AVERAGE(0.021,0.283,0.196,0.125,0.307,0.05,0.267,0.167)</f>
        <v>0.17700000000000002</v>
      </c>
      <c r="BT16" s="4">
        <v>2.4E-2</v>
      </c>
      <c r="BX16" s="18" t="s">
        <v>5</v>
      </c>
      <c r="BY16" s="12">
        <f t="shared" si="14"/>
        <v>-6.1107594936708892E-3</v>
      </c>
      <c r="BZ16" s="12">
        <f t="shared" si="14"/>
        <v>-6.5551370626693028E-3</v>
      </c>
      <c r="CA16" s="12">
        <f t="shared" si="14"/>
        <v>-9.8749999999999949E-3</v>
      </c>
      <c r="CB16" s="12">
        <f t="shared" si="14"/>
        <v>-1.98696277651653E-3</v>
      </c>
      <c r="CQ16" s="36" t="s">
        <v>4</v>
      </c>
      <c r="CR16" s="12" t="s">
        <v>498</v>
      </c>
      <c r="CS16" s="13" t="s">
        <v>478</v>
      </c>
      <c r="CT16" s="16" t="s">
        <v>484</v>
      </c>
      <c r="CU16" s="14" t="s">
        <v>491</v>
      </c>
      <c r="CV16" s="75"/>
      <c r="CW16" s="75"/>
      <c r="CX16" s="75"/>
      <c r="CY16" s="75"/>
      <c r="CZ16" s="38"/>
      <c r="DA16" s="36" t="s">
        <v>5</v>
      </c>
      <c r="DB16" s="15">
        <v>8.5999999999999993E-2</v>
      </c>
      <c r="DC16" s="2">
        <v>0.6</v>
      </c>
      <c r="DD16" s="3">
        <f>AVERAGE(0,0.375,0.106,0.183,0.193,0.1,0.517,0.283)</f>
        <v>0.21962499999999999</v>
      </c>
      <c r="DE16" s="4">
        <v>2.9000000000000001E-2</v>
      </c>
      <c r="DF16" s="33"/>
      <c r="DG16" s="33"/>
      <c r="DH16" s="33"/>
      <c r="DI16" s="18" t="s">
        <v>5</v>
      </c>
      <c r="DJ16" s="69">
        <f t="shared" si="15"/>
        <v>6.1999999999999993E-2</v>
      </c>
      <c r="DK16" s="69">
        <f t="shared" si="15"/>
        <v>0.6</v>
      </c>
      <c r="DL16" s="69">
        <f t="shared" si="15"/>
        <v>0.21962499999999999</v>
      </c>
      <c r="DM16" s="12">
        <f t="shared" si="15"/>
        <v>2.9000000000000001E-2</v>
      </c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4"/>
      <c r="EA16" s="33"/>
      <c r="EB16" s="36" t="s">
        <v>5</v>
      </c>
      <c r="EC16" s="15" t="s">
        <v>551</v>
      </c>
      <c r="ED16" s="2" t="s">
        <v>558</v>
      </c>
      <c r="EE16" s="3" t="s">
        <v>565</v>
      </c>
      <c r="EF16" s="4" t="s">
        <v>572</v>
      </c>
      <c r="EG16" s="75"/>
      <c r="EH16" s="75"/>
      <c r="EI16" s="75"/>
      <c r="EJ16" s="75"/>
      <c r="EK16" s="38"/>
      <c r="EL16" s="36" t="s">
        <v>5</v>
      </c>
      <c r="EM16" s="15">
        <v>0.106</v>
      </c>
      <c r="EN16" s="2">
        <v>0.58099999999999996</v>
      </c>
      <c r="EO16" s="3">
        <f>AVERAGE(0.019,0.367,0.162,0.433,0.15,0.1,0.2,0.217)</f>
        <v>0.20600000000000002</v>
      </c>
      <c r="EP16" s="4">
        <v>3.4000000000000002E-2</v>
      </c>
      <c r="EQ16" s="33"/>
      <c r="ER16" s="33"/>
      <c r="ES16" s="33"/>
      <c r="ET16" s="18" t="s">
        <v>5</v>
      </c>
      <c r="EU16" s="69">
        <f t="shared" ref="EU16:EU22" si="20">EM16-DB16</f>
        <v>2.0000000000000004E-2</v>
      </c>
      <c r="EV16" s="12">
        <f t="shared" ref="EV16:EV22" si="21">EN16-DC16</f>
        <v>-1.9000000000000017E-2</v>
      </c>
      <c r="EW16" s="12">
        <f t="shared" ref="EW16:EW22" si="22">EO16-DD16</f>
        <v>-1.362499999999997E-2</v>
      </c>
      <c r="EX16" s="12">
        <f t="shared" ref="EX16:EX21" si="23">EP16-DE16</f>
        <v>5.000000000000001E-3</v>
      </c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4"/>
      <c r="FL16" s="33"/>
      <c r="FM16" s="36" t="s">
        <v>5</v>
      </c>
      <c r="FN16" s="15" t="s">
        <v>299</v>
      </c>
      <c r="FO16" s="2" t="s">
        <v>298</v>
      </c>
      <c r="FP16" s="3" t="s">
        <v>297</v>
      </c>
      <c r="FQ16" s="4" t="s">
        <v>296</v>
      </c>
      <c r="FR16" s="75"/>
      <c r="FS16" s="75"/>
      <c r="FT16" s="75"/>
      <c r="FU16" s="75"/>
      <c r="FV16" s="38"/>
      <c r="FW16" s="36" t="s">
        <v>5</v>
      </c>
      <c r="FX16" s="15">
        <v>0.123</v>
      </c>
      <c r="FY16" s="2">
        <v>0.59199999999999997</v>
      </c>
      <c r="FZ16" s="3">
        <f>AVERAGE(0.042,0.333,0.161,0.383,0.19,0.25,0.35,0.133)</f>
        <v>0.23025000000000001</v>
      </c>
      <c r="GA16" s="4">
        <v>4.4999999999999998E-2</v>
      </c>
      <c r="GB16" s="33"/>
      <c r="GC16" s="33"/>
      <c r="GD16" s="33"/>
      <c r="GE16" s="18" t="s">
        <v>5</v>
      </c>
      <c r="GF16" s="12">
        <f t="shared" ref="GF16:GF22" si="24">FX16-EM16</f>
        <v>1.7000000000000001E-2</v>
      </c>
      <c r="GG16" s="12">
        <f t="shared" si="16"/>
        <v>1.100000000000001E-2</v>
      </c>
      <c r="GH16" s="12">
        <f t="shared" si="17"/>
        <v>2.4249999999999994E-2</v>
      </c>
      <c r="GI16" s="12">
        <f t="shared" si="18"/>
        <v>1.0999999999999996E-2</v>
      </c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8"/>
      <c r="GX16" s="36" t="s">
        <v>5</v>
      </c>
      <c r="GY16" s="15" t="s">
        <v>646</v>
      </c>
      <c r="GZ16" s="2" t="s">
        <v>645</v>
      </c>
      <c r="HA16" s="3" t="s">
        <v>644</v>
      </c>
      <c r="HB16" s="27" t="s">
        <v>643</v>
      </c>
      <c r="HC16" s="65"/>
      <c r="HD16" s="65"/>
      <c r="HE16" s="65"/>
      <c r="HF16" s="60"/>
      <c r="HG16" s="33"/>
      <c r="HH16" s="18" t="s">
        <v>5</v>
      </c>
      <c r="HI16" s="2">
        <v>0.51900000000000002</v>
      </c>
      <c r="HJ16" s="33">
        <v>0.11511075949367089</v>
      </c>
      <c r="HK16" s="15">
        <v>0.109</v>
      </c>
      <c r="HL16" s="15">
        <v>8.5999999999999993E-2</v>
      </c>
      <c r="HM16" s="15">
        <v>0.106</v>
      </c>
      <c r="HN16" s="15">
        <v>0.123</v>
      </c>
      <c r="HW16" s="18" t="s">
        <v>5</v>
      </c>
      <c r="HX16" s="2">
        <v>0.58899999999999997</v>
      </c>
      <c r="HY16" s="33">
        <v>0.56155513706266935</v>
      </c>
      <c r="HZ16" s="2">
        <v>0.55500000000000005</v>
      </c>
      <c r="IA16" s="2">
        <v>0.6</v>
      </c>
      <c r="IB16" s="2">
        <v>0.58099999999999996</v>
      </c>
      <c r="IC16" s="2">
        <v>0.59199999999999997</v>
      </c>
      <c r="IL16" s="18" t="s">
        <v>5</v>
      </c>
      <c r="IM16" s="3">
        <v>0.16674999999999998</v>
      </c>
      <c r="IN16" s="3">
        <v>0.18687500000000001</v>
      </c>
      <c r="IO16" s="3">
        <v>0.17700000000000002</v>
      </c>
      <c r="IP16" s="3">
        <v>0.21962499999999999</v>
      </c>
      <c r="IQ16" s="3">
        <v>0.20600000000000002</v>
      </c>
      <c r="IR16" s="3">
        <v>0.23025000000000001</v>
      </c>
      <c r="JA16" s="18" t="s">
        <v>5</v>
      </c>
      <c r="JB16" s="4">
        <v>0.122</v>
      </c>
      <c r="JC16" s="34">
        <v>2.598696277651653E-2</v>
      </c>
      <c r="JD16" s="4">
        <v>2.4E-2</v>
      </c>
      <c r="JE16" s="4">
        <v>2.9000000000000001E-2</v>
      </c>
      <c r="JF16" s="4">
        <v>3.4000000000000002E-2</v>
      </c>
      <c r="JG16" s="4">
        <v>4.4999999999999998E-2</v>
      </c>
    </row>
    <row r="17" spans="1:291" ht="30" customHeight="1" thickBot="1" x14ac:dyDescent="0.35">
      <c r="A17" s="36" t="s">
        <v>6</v>
      </c>
      <c r="B17" s="2">
        <v>0.40200000000000002</v>
      </c>
      <c r="C17" s="2">
        <v>0.53</v>
      </c>
      <c r="D17" s="3">
        <f>AVERAGE(0.584,0,0.291,0.092,0.19,0.15,0.083,0.033)</f>
        <v>0.17787499999999998</v>
      </c>
      <c r="E17" s="4">
        <v>9.4E-2</v>
      </c>
      <c r="AB17" s="1" t="s">
        <v>6</v>
      </c>
      <c r="AC17" s="2" t="s">
        <v>63</v>
      </c>
      <c r="AD17" s="2" t="s">
        <v>62</v>
      </c>
      <c r="AE17" s="3" t="s">
        <v>61</v>
      </c>
      <c r="AF17" s="4" t="s">
        <v>60</v>
      </c>
      <c r="AK17" s="36" t="s">
        <v>6</v>
      </c>
      <c r="AL17" s="33">
        <v>0.1889715189873418</v>
      </c>
      <c r="AM17" s="33">
        <v>0.53491326763263447</v>
      </c>
      <c r="AN17" s="3">
        <f>AVERAGE(0.139,0.158,0.312,0.175,0.221,0.05,0.233,0.2)</f>
        <v>0.18600000000000003</v>
      </c>
      <c r="AO17" s="34">
        <v>4.9901523313207061E-2</v>
      </c>
      <c r="AQ17" s="18" t="s">
        <v>6</v>
      </c>
      <c r="AR17" s="69">
        <f t="shared" si="19"/>
        <v>-0.21302848101265823</v>
      </c>
      <c r="AS17" s="57">
        <f t="shared" si="11"/>
        <v>4.9132676326344438E-3</v>
      </c>
      <c r="AT17" s="57">
        <f t="shared" si="12"/>
        <v>8.1250000000000488E-3</v>
      </c>
      <c r="AU17" s="57">
        <f t="shared" si="13"/>
        <v>-4.409847668679294E-2</v>
      </c>
      <c r="BI17" s="36" t="s">
        <v>5</v>
      </c>
      <c r="BJ17" s="15" t="s">
        <v>381</v>
      </c>
      <c r="BK17" s="2" t="s">
        <v>389</v>
      </c>
      <c r="BL17" s="2" t="s">
        <v>397</v>
      </c>
      <c r="BM17" s="4" t="s">
        <v>405</v>
      </c>
      <c r="BN17" s="75"/>
      <c r="BP17" s="36" t="s">
        <v>6</v>
      </c>
      <c r="BQ17" s="15">
        <v>0.19400000000000001</v>
      </c>
      <c r="BR17" s="2">
        <v>0.53500000000000003</v>
      </c>
      <c r="BS17" s="3">
        <f>AVERAGE(0.132,0.167,0.356,0.117,0.219,0.05,0.283,0.167)</f>
        <v>0.18637499999999999</v>
      </c>
      <c r="BT17" s="4">
        <v>5.0999999999999997E-2</v>
      </c>
      <c r="BX17" s="18" t="s">
        <v>6</v>
      </c>
      <c r="BY17" s="12">
        <f t="shared" si="14"/>
        <v>5.0284810126582091E-3</v>
      </c>
      <c r="BZ17" s="12">
        <f t="shared" si="14"/>
        <v>8.673236736556067E-5</v>
      </c>
      <c r="CA17" s="12">
        <f t="shared" si="14"/>
        <v>3.749999999999587E-4</v>
      </c>
      <c r="CB17" s="12">
        <f t="shared" si="14"/>
        <v>1.098476686792936E-3</v>
      </c>
      <c r="CQ17" s="36" t="s">
        <v>5</v>
      </c>
      <c r="CR17" s="15" t="s">
        <v>471</v>
      </c>
      <c r="CS17" s="2" t="s">
        <v>479</v>
      </c>
      <c r="CT17" s="3" t="s">
        <v>485</v>
      </c>
      <c r="CU17" s="4" t="s">
        <v>492</v>
      </c>
      <c r="CV17" s="75"/>
      <c r="CW17" s="75"/>
      <c r="CX17" s="75"/>
      <c r="CY17" s="75"/>
      <c r="CZ17" s="38"/>
      <c r="DA17" s="36" t="s">
        <v>6</v>
      </c>
      <c r="DB17" s="15">
        <v>0.123</v>
      </c>
      <c r="DC17" s="2">
        <v>0.63300000000000001</v>
      </c>
      <c r="DD17" s="3">
        <f>AVERAGE(0,0.383,0.201,0.242,0.302,0.4,0.317,0.3)</f>
        <v>0.268125</v>
      </c>
      <c r="DE17" s="4">
        <v>5.0999999999999997E-2</v>
      </c>
      <c r="DF17" s="33"/>
      <c r="DG17" s="33"/>
      <c r="DH17" s="33"/>
      <c r="DI17" s="18" t="s">
        <v>6</v>
      </c>
      <c r="DJ17" s="12">
        <f t="shared" si="15"/>
        <v>7.2000000000000008E-2</v>
      </c>
      <c r="DK17" s="69">
        <f t="shared" si="15"/>
        <v>0.63300000000000001</v>
      </c>
      <c r="DL17" s="69">
        <f t="shared" si="15"/>
        <v>0.268125</v>
      </c>
      <c r="DM17" s="69">
        <f t="shared" si="15"/>
        <v>5.0999999999999997E-2</v>
      </c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4"/>
      <c r="EA17" s="33"/>
      <c r="EB17" s="36" t="s">
        <v>6</v>
      </c>
      <c r="EC17" s="15" t="s">
        <v>552</v>
      </c>
      <c r="ED17" s="2" t="s">
        <v>559</v>
      </c>
      <c r="EE17" s="3" t="s">
        <v>566</v>
      </c>
      <c r="EF17" s="4" t="s">
        <v>573</v>
      </c>
      <c r="EG17" s="75"/>
      <c r="EH17" s="75"/>
      <c r="EI17" s="75"/>
      <c r="EJ17" s="75"/>
      <c r="EK17" s="38"/>
      <c r="EL17" s="36" t="s">
        <v>6</v>
      </c>
      <c r="EM17" s="15">
        <v>8.3000000000000004E-2</v>
      </c>
      <c r="EN17" s="2">
        <v>0.63800000000000001</v>
      </c>
      <c r="EO17" s="3">
        <f>AVERAGE(0,0.208,0,0.7,0.264,0.1,0.4,0.3)</f>
        <v>0.24650000000000002</v>
      </c>
      <c r="EP17" s="4">
        <v>3.7999999999999999E-2</v>
      </c>
      <c r="EQ17" s="33"/>
      <c r="ER17" s="33"/>
      <c r="ES17" s="33"/>
      <c r="ET17" s="18" t="s">
        <v>6</v>
      </c>
      <c r="EU17" s="69">
        <f t="shared" si="20"/>
        <v>-3.9999999999999994E-2</v>
      </c>
      <c r="EV17" s="12">
        <f t="shared" si="21"/>
        <v>5.0000000000000044E-3</v>
      </c>
      <c r="EW17" s="12">
        <f t="shared" si="22"/>
        <v>-2.1624999999999978E-2</v>
      </c>
      <c r="EX17" s="12">
        <f t="shared" si="23"/>
        <v>-1.2999999999999998E-2</v>
      </c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4"/>
      <c r="FL17" s="33"/>
      <c r="FM17" s="36" t="s">
        <v>6</v>
      </c>
      <c r="FN17" s="15" t="s">
        <v>303</v>
      </c>
      <c r="FO17" s="2" t="s">
        <v>302</v>
      </c>
      <c r="FP17" s="3" t="s">
        <v>301</v>
      </c>
      <c r="FQ17" s="4" t="s">
        <v>300</v>
      </c>
      <c r="FR17" s="75"/>
      <c r="FS17" s="75"/>
      <c r="FU17" s="75"/>
      <c r="FV17" s="38"/>
      <c r="FW17" s="36" t="s">
        <v>6</v>
      </c>
      <c r="FX17" s="15">
        <v>4.5999999999999999E-2</v>
      </c>
      <c r="FY17" s="2">
        <v>0.60399999999999998</v>
      </c>
      <c r="FZ17" s="3">
        <f>AVERAGE(0,0.475,0,0.142,0.067,0.55,0.05,0)</f>
        <v>0.1605</v>
      </c>
      <c r="GA17" s="4">
        <v>0.01</v>
      </c>
      <c r="GB17" s="33"/>
      <c r="GC17" s="33"/>
      <c r="GD17" s="33"/>
      <c r="GE17" s="18" t="s">
        <v>6</v>
      </c>
      <c r="GF17" s="69">
        <f t="shared" si="24"/>
        <v>-3.7000000000000005E-2</v>
      </c>
      <c r="GG17" s="12">
        <f t="shared" si="16"/>
        <v>-3.400000000000003E-2</v>
      </c>
      <c r="GH17" s="69">
        <f t="shared" si="17"/>
        <v>-8.6000000000000021E-2</v>
      </c>
      <c r="GI17" s="69">
        <f t="shared" si="18"/>
        <v>-2.7999999999999997E-2</v>
      </c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8"/>
      <c r="GX17" s="36" t="s">
        <v>6</v>
      </c>
      <c r="GY17" s="15" t="s">
        <v>650</v>
      </c>
      <c r="GZ17" s="2" t="s">
        <v>649</v>
      </c>
      <c r="HA17" s="3" t="s">
        <v>648</v>
      </c>
      <c r="HB17" s="27" t="s">
        <v>647</v>
      </c>
      <c r="HC17" s="65"/>
      <c r="HD17" s="65"/>
      <c r="HE17" s="65"/>
      <c r="HF17" s="60"/>
      <c r="HG17" s="33"/>
      <c r="HH17" s="18" t="s">
        <v>6</v>
      </c>
      <c r="HI17" s="2">
        <v>0.40200000000000002</v>
      </c>
      <c r="HJ17" s="33">
        <v>0.1889715189873418</v>
      </c>
      <c r="HK17" s="15">
        <v>0.19400000000000001</v>
      </c>
      <c r="HL17" s="15">
        <v>0.123</v>
      </c>
      <c r="HM17" s="15">
        <v>8.3000000000000004E-2</v>
      </c>
      <c r="HN17" s="15">
        <v>4.5999999999999999E-2</v>
      </c>
      <c r="HW17" s="18" t="s">
        <v>6</v>
      </c>
      <c r="HX17" s="2">
        <v>0.53</v>
      </c>
      <c r="HY17" s="33">
        <v>0.53491326763263447</v>
      </c>
      <c r="HZ17" s="2">
        <v>0.53500000000000003</v>
      </c>
      <c r="IA17" s="2">
        <v>0.63300000000000001</v>
      </c>
      <c r="IB17" s="2">
        <v>0.63800000000000001</v>
      </c>
      <c r="IC17" s="2">
        <v>0.60399999999999998</v>
      </c>
      <c r="IL17" s="18" t="s">
        <v>6</v>
      </c>
      <c r="IM17" s="3">
        <v>0.17787499999999998</v>
      </c>
      <c r="IN17" s="3">
        <v>0.18600000000000003</v>
      </c>
      <c r="IO17" s="3">
        <v>0.18637499999999999</v>
      </c>
      <c r="IP17" s="3">
        <v>0.268125</v>
      </c>
      <c r="IQ17" s="3">
        <v>0.24650000000000002</v>
      </c>
      <c r="IR17" s="3">
        <v>0.1605</v>
      </c>
      <c r="JA17" s="18" t="s">
        <v>6</v>
      </c>
      <c r="JB17" s="4">
        <v>9.4E-2</v>
      </c>
      <c r="JC17" s="34">
        <v>4.9901523313207061E-2</v>
      </c>
      <c r="JD17" s="4">
        <v>5.0999999999999997E-2</v>
      </c>
      <c r="JE17" s="4">
        <v>5.0999999999999997E-2</v>
      </c>
      <c r="JF17" s="4">
        <v>3.7999999999999999E-2</v>
      </c>
      <c r="JG17" s="4">
        <v>0.01</v>
      </c>
    </row>
    <row r="18" spans="1:291" ht="30" customHeight="1" thickBot="1" x14ac:dyDescent="0.35">
      <c r="A18" s="36" t="s">
        <v>7</v>
      </c>
      <c r="B18" s="2">
        <v>0.53900000000000003</v>
      </c>
      <c r="C18" s="2">
        <v>0.627</v>
      </c>
      <c r="D18" s="3">
        <f>AVERAGE(0.904,0,0.236,0,0.045,0,0.05,0.033)</f>
        <v>0.1585</v>
      </c>
      <c r="E18" s="4">
        <v>0.14499999999999999</v>
      </c>
      <c r="AB18" s="1" t="s">
        <v>7</v>
      </c>
      <c r="AC18" s="2" t="s">
        <v>67</v>
      </c>
      <c r="AD18" s="2" t="s">
        <v>66</v>
      </c>
      <c r="AE18" s="3" t="s">
        <v>65</v>
      </c>
      <c r="AF18" s="4" t="s">
        <v>64</v>
      </c>
      <c r="AK18" s="36" t="s">
        <v>7</v>
      </c>
      <c r="AL18" s="33">
        <v>0.21278481012658229</v>
      </c>
      <c r="AM18" s="33">
        <v>0.64835964568782478</v>
      </c>
      <c r="AN18" s="3">
        <f>AVERAGE(0.113,0.25,0.458,0.175,0.264,0,0.183,0.2)</f>
        <v>0.205375</v>
      </c>
      <c r="AO18" s="34">
        <v>7.2752309913637847E-2</v>
      </c>
      <c r="AQ18" s="18" t="s">
        <v>7</v>
      </c>
      <c r="AR18" s="69">
        <f t="shared" si="19"/>
        <v>-0.32621518987341774</v>
      </c>
      <c r="AS18" s="57">
        <f t="shared" si="11"/>
        <v>2.135964568782478E-2</v>
      </c>
      <c r="AT18" s="69">
        <f t="shared" si="12"/>
        <v>4.6875E-2</v>
      </c>
      <c r="AU18" s="69">
        <f t="shared" si="13"/>
        <v>-7.2247690086362143E-2</v>
      </c>
      <c r="BI18" s="36" t="s">
        <v>6</v>
      </c>
      <c r="BJ18" s="15" t="s">
        <v>382</v>
      </c>
      <c r="BK18" s="2" t="s">
        <v>390</v>
      </c>
      <c r="BL18" s="2" t="s">
        <v>398</v>
      </c>
      <c r="BM18" s="4" t="s">
        <v>406</v>
      </c>
      <c r="BN18" s="75"/>
      <c r="BP18" s="36" t="s">
        <v>7</v>
      </c>
      <c r="BQ18" s="15">
        <v>0.20300000000000001</v>
      </c>
      <c r="BR18" s="2">
        <v>0.65300000000000002</v>
      </c>
      <c r="BS18" s="3">
        <f>AVERAGE(0.085,0.183,0.479,0.225,0.255,0,0.183,0.267)</f>
        <v>0.20962500000000001</v>
      </c>
      <c r="BT18" s="4">
        <v>6.8000000000000005E-2</v>
      </c>
      <c r="BX18" s="18" t="s">
        <v>7</v>
      </c>
      <c r="BY18" s="12">
        <f t="shared" si="14"/>
        <v>-9.7848101265822773E-3</v>
      </c>
      <c r="BZ18" s="12">
        <f t="shared" si="14"/>
        <v>4.6403543121752433E-3</v>
      </c>
      <c r="CA18" s="12">
        <f t="shared" si="14"/>
        <v>4.2500000000000038E-3</v>
      </c>
      <c r="CB18" s="12">
        <f t="shared" si="14"/>
        <v>-4.7523099136378422E-3</v>
      </c>
      <c r="CQ18" s="36" t="s">
        <v>6</v>
      </c>
      <c r="CR18" s="15" t="s">
        <v>472</v>
      </c>
      <c r="CS18" s="2" t="s">
        <v>390</v>
      </c>
      <c r="CT18" s="3" t="s">
        <v>398</v>
      </c>
      <c r="CU18" s="4" t="s">
        <v>493</v>
      </c>
      <c r="CV18" s="75"/>
      <c r="CW18" s="75"/>
      <c r="CX18" s="75"/>
      <c r="CY18" s="75"/>
      <c r="CZ18" s="38"/>
      <c r="DA18" s="36" t="s">
        <v>7</v>
      </c>
      <c r="DB18" s="15">
        <v>0.14899999999999999</v>
      </c>
      <c r="DC18" s="2">
        <v>0.64600000000000002</v>
      </c>
      <c r="DD18" s="3">
        <f>AVERAGE(0.028,0.283,0.312,0.15,0.343,0.15,0.183,0.317)</f>
        <v>0.22075</v>
      </c>
      <c r="DE18" s="4">
        <v>5.1999999999999998E-2</v>
      </c>
      <c r="DF18" s="33"/>
      <c r="DG18" s="33"/>
      <c r="DH18" s="33"/>
      <c r="DI18" s="18" t="s">
        <v>7</v>
      </c>
      <c r="DJ18" s="69">
        <f t="shared" si="15"/>
        <v>8.0999999999999989E-2</v>
      </c>
      <c r="DK18" s="12">
        <f t="shared" si="15"/>
        <v>0.64600000000000002</v>
      </c>
      <c r="DL18" s="12">
        <f t="shared" si="15"/>
        <v>0.22075</v>
      </c>
      <c r="DM18" s="12">
        <f t="shared" si="15"/>
        <v>5.1999999999999998E-2</v>
      </c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4"/>
      <c r="EA18" s="33"/>
      <c r="EB18" s="36" t="s">
        <v>7</v>
      </c>
      <c r="EC18" s="15" t="s">
        <v>553</v>
      </c>
      <c r="ED18" s="2" t="s">
        <v>560</v>
      </c>
      <c r="EE18" s="3" t="s">
        <v>567</v>
      </c>
      <c r="EF18" s="4" t="s">
        <v>574</v>
      </c>
      <c r="EG18" s="75"/>
      <c r="EH18" s="75"/>
      <c r="EI18" s="75"/>
      <c r="EJ18" s="75"/>
      <c r="EK18" s="38"/>
      <c r="EL18" s="36" t="s">
        <v>7</v>
      </c>
      <c r="EM18" s="15">
        <v>6.6000000000000003E-2</v>
      </c>
      <c r="EN18" s="2">
        <v>0.65200000000000002</v>
      </c>
      <c r="EO18" s="3">
        <f>AVERAGE(0,0.467,0,0.592,0.074,0.25,0.217,0.15)</f>
        <v>0.21875</v>
      </c>
      <c r="EP18" s="4">
        <v>2.9000000000000001E-2</v>
      </c>
      <c r="EQ18" s="33"/>
      <c r="ER18" s="33"/>
      <c r="ES18" s="33"/>
      <c r="ET18" s="18" t="s">
        <v>7</v>
      </c>
      <c r="EU18" s="69">
        <f t="shared" si="20"/>
        <v>-8.299999999999999E-2</v>
      </c>
      <c r="EV18" s="12">
        <f t="shared" si="21"/>
        <v>6.0000000000000053E-3</v>
      </c>
      <c r="EW18" s="12">
        <f t="shared" si="22"/>
        <v>-2.0000000000000018E-3</v>
      </c>
      <c r="EX18" s="69">
        <f>EP18-DE18</f>
        <v>-2.2999999999999996E-2</v>
      </c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4"/>
      <c r="FL18" s="33"/>
      <c r="FM18" s="36" t="s">
        <v>7</v>
      </c>
      <c r="FN18" s="15" t="s">
        <v>307</v>
      </c>
      <c r="FO18" s="2" t="s">
        <v>306</v>
      </c>
      <c r="FP18" s="3" t="s">
        <v>305</v>
      </c>
      <c r="FQ18" s="4" t="s">
        <v>304</v>
      </c>
      <c r="FR18" s="75"/>
      <c r="FS18" s="75"/>
      <c r="FU18" s="75"/>
      <c r="FV18" s="38"/>
      <c r="FW18" s="36" t="s">
        <v>7</v>
      </c>
      <c r="FX18" s="15">
        <v>5.2999999999999999E-2</v>
      </c>
      <c r="FY18" s="2">
        <v>0.64</v>
      </c>
      <c r="FZ18" s="3">
        <f>AVERAGE(0,0.467,0,0.4,0.017,0.3,0.25,0.033)</f>
        <v>0.18337499999999998</v>
      </c>
      <c r="GA18" s="4">
        <v>1.4999999999999999E-2</v>
      </c>
      <c r="GB18" s="33"/>
      <c r="GC18" s="33"/>
      <c r="GD18" s="33"/>
      <c r="GE18" s="18" t="s">
        <v>7</v>
      </c>
      <c r="GF18" s="69">
        <f t="shared" si="24"/>
        <v>-1.3000000000000005E-2</v>
      </c>
      <c r="GG18" s="12">
        <f t="shared" si="16"/>
        <v>-1.2000000000000011E-2</v>
      </c>
      <c r="GH18" s="69">
        <f t="shared" si="17"/>
        <v>-3.5375000000000018E-2</v>
      </c>
      <c r="GI18" s="69">
        <f>GA18-EP18</f>
        <v>-1.4000000000000002E-2</v>
      </c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8"/>
      <c r="GX18" s="36" t="s">
        <v>7</v>
      </c>
      <c r="GY18" s="15" t="s">
        <v>654</v>
      </c>
      <c r="GZ18" s="2" t="s">
        <v>653</v>
      </c>
      <c r="HA18" s="3" t="s">
        <v>652</v>
      </c>
      <c r="HB18" s="27" t="s">
        <v>651</v>
      </c>
      <c r="HC18" s="65"/>
      <c r="HD18" s="65"/>
      <c r="HE18" s="65"/>
      <c r="HF18" s="60"/>
      <c r="HG18" s="33"/>
      <c r="HH18" s="18" t="s">
        <v>7</v>
      </c>
      <c r="HI18" s="2">
        <v>0.53900000000000003</v>
      </c>
      <c r="HJ18" s="33">
        <v>0.21278481012658229</v>
      </c>
      <c r="HK18" s="15">
        <v>0.20300000000000001</v>
      </c>
      <c r="HL18" s="15">
        <v>0.14899999999999999</v>
      </c>
      <c r="HM18" s="15">
        <v>6.6000000000000003E-2</v>
      </c>
      <c r="HN18" s="15">
        <v>5.2999999999999999E-2</v>
      </c>
      <c r="HW18" s="18" t="s">
        <v>7</v>
      </c>
      <c r="HX18" s="2">
        <v>0.627</v>
      </c>
      <c r="HY18" s="33">
        <v>0.64835964568782478</v>
      </c>
      <c r="HZ18" s="2">
        <v>0.65300000000000002</v>
      </c>
      <c r="IA18" s="2">
        <v>0.64600000000000002</v>
      </c>
      <c r="IB18" s="2">
        <v>0.65200000000000002</v>
      </c>
      <c r="IC18" s="2">
        <v>0.64</v>
      </c>
      <c r="IL18" s="18" t="s">
        <v>7</v>
      </c>
      <c r="IM18" s="3">
        <v>0.1585</v>
      </c>
      <c r="IN18" s="3">
        <v>0.205375</v>
      </c>
      <c r="IO18" s="3">
        <v>0.20962500000000001</v>
      </c>
      <c r="IP18" s="3">
        <v>0.22075</v>
      </c>
      <c r="IQ18" s="3">
        <v>0.21875</v>
      </c>
      <c r="IR18" s="3">
        <v>0.18337499999999998</v>
      </c>
      <c r="JA18" s="18" t="s">
        <v>7</v>
      </c>
      <c r="JB18" s="4">
        <v>0.14499999999999999</v>
      </c>
      <c r="JC18" s="34">
        <v>7.2752309913637847E-2</v>
      </c>
      <c r="JD18" s="4">
        <v>6.8000000000000005E-2</v>
      </c>
      <c r="JE18" s="4">
        <v>5.1999999999999998E-2</v>
      </c>
      <c r="JF18" s="4">
        <v>2.9000000000000001E-2</v>
      </c>
      <c r="JG18" s="4">
        <v>1.4999999999999999E-2</v>
      </c>
    </row>
    <row r="19" spans="1:291" ht="30" customHeight="1" thickBot="1" x14ac:dyDescent="0.35">
      <c r="A19" s="36" t="s">
        <v>8</v>
      </c>
      <c r="B19" s="2">
        <v>0.53300000000000003</v>
      </c>
      <c r="C19" s="2">
        <v>0.626</v>
      </c>
      <c r="D19" s="3">
        <f>AVERAGE(1,0,0.006,0,0,0,0,0,)</f>
        <v>0.11177777777777778</v>
      </c>
      <c r="E19" s="4">
        <v>2.1000000000000001E-2</v>
      </c>
      <c r="AB19" s="1" t="s">
        <v>8</v>
      </c>
      <c r="AC19" s="2" t="s">
        <v>71</v>
      </c>
      <c r="AD19" s="2" t="s">
        <v>70</v>
      </c>
      <c r="AE19" s="3" t="s">
        <v>69</v>
      </c>
      <c r="AF19" s="4" t="s">
        <v>68</v>
      </c>
      <c r="AK19" s="36" t="s">
        <v>8</v>
      </c>
      <c r="AL19" s="33">
        <v>8.5142405063291141E-2</v>
      </c>
      <c r="AM19" s="33">
        <v>0.63726744723821604</v>
      </c>
      <c r="AN19" s="3">
        <f>AVERAGE(0,0.558,0.039,0.433,0.257,0.25,0.183,0.15)</f>
        <v>0.23374999999999999</v>
      </c>
      <c r="AO19" s="34">
        <v>3.77505388233116E-2</v>
      </c>
      <c r="AQ19" s="18" t="s">
        <v>8</v>
      </c>
      <c r="AR19" s="69">
        <f t="shared" si="19"/>
        <v>-0.4478575949367089</v>
      </c>
      <c r="AS19" s="57">
        <f t="shared" si="11"/>
        <v>1.1267447238216044E-2</v>
      </c>
      <c r="AT19" s="69">
        <f t="shared" si="12"/>
        <v>0.1219722222222222</v>
      </c>
      <c r="AU19" s="69">
        <f t="shared" si="13"/>
        <v>1.6750538823311598E-2</v>
      </c>
      <c r="BI19" s="36" t="s">
        <v>7</v>
      </c>
      <c r="BJ19" s="15" t="s">
        <v>383</v>
      </c>
      <c r="BK19" s="2" t="s">
        <v>391</v>
      </c>
      <c r="BL19" s="2" t="s">
        <v>399</v>
      </c>
      <c r="BM19" s="4" t="s">
        <v>407</v>
      </c>
      <c r="BN19" s="75"/>
      <c r="BP19" s="36" t="s">
        <v>8</v>
      </c>
      <c r="BQ19" s="15">
        <v>0.17399999999999999</v>
      </c>
      <c r="BR19" s="2">
        <v>0.62</v>
      </c>
      <c r="BS19" s="3">
        <f>AVERAGE(0.047,0.233,0.413,0.125,0.355,0.05,0.133,0.3)</f>
        <v>0.20700000000000002</v>
      </c>
      <c r="BT19" s="4">
        <v>0.05</v>
      </c>
      <c r="BX19" s="18" t="s">
        <v>8</v>
      </c>
      <c r="BY19" s="69">
        <f t="shared" si="14"/>
        <v>8.8857594936708847E-2</v>
      </c>
      <c r="BZ19" s="12">
        <f t="shared" si="14"/>
        <v>-1.7267447238216049E-2</v>
      </c>
      <c r="CA19" s="12">
        <f t="shared" si="14"/>
        <v>-2.6749999999999968E-2</v>
      </c>
      <c r="CB19" s="12">
        <f t="shared" si="14"/>
        <v>1.2249461176688403E-2</v>
      </c>
      <c r="CQ19" s="36" t="s">
        <v>7</v>
      </c>
      <c r="CR19" s="15" t="s">
        <v>473</v>
      </c>
      <c r="CS19" s="2" t="s">
        <v>480</v>
      </c>
      <c r="CT19" s="3" t="s">
        <v>486</v>
      </c>
      <c r="CU19" s="4" t="s">
        <v>494</v>
      </c>
      <c r="CV19" s="75"/>
      <c r="CW19" s="75"/>
      <c r="CX19" s="75"/>
      <c r="CY19" s="75"/>
      <c r="CZ19" s="38"/>
      <c r="DA19" s="36" t="s">
        <v>8</v>
      </c>
      <c r="DB19" s="15">
        <v>8.8999999999999996E-2</v>
      </c>
      <c r="DC19" s="2">
        <v>0.63700000000000001</v>
      </c>
      <c r="DD19" s="3">
        <f>AVERAGE(0,0.583,0.101,0.208,0.205,0.3,0.05,0.283)</f>
        <v>0.21625</v>
      </c>
      <c r="DE19" s="4">
        <v>2.5000000000000001E-2</v>
      </c>
      <c r="DF19" s="33"/>
      <c r="DG19" s="33"/>
      <c r="DH19" s="33"/>
      <c r="DI19" s="18" t="s">
        <v>8</v>
      </c>
      <c r="DJ19" s="69">
        <f t="shared" si="15"/>
        <v>3.8999999999999993E-2</v>
      </c>
      <c r="DK19" s="12">
        <f t="shared" si="15"/>
        <v>0.63700000000000001</v>
      </c>
      <c r="DL19" s="12">
        <f t="shared" si="15"/>
        <v>0.21625</v>
      </c>
      <c r="DM19" s="69">
        <f t="shared" si="15"/>
        <v>2.5000000000000001E-2</v>
      </c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4"/>
      <c r="EA19" s="33"/>
      <c r="EB19" s="36" t="s">
        <v>8</v>
      </c>
      <c r="EC19" s="15" t="s">
        <v>554</v>
      </c>
      <c r="ED19" s="2" t="s">
        <v>561</v>
      </c>
      <c r="EE19" s="3" t="s">
        <v>568</v>
      </c>
      <c r="EF19" s="4" t="s">
        <v>575</v>
      </c>
      <c r="EG19" s="75"/>
      <c r="EH19" s="75"/>
      <c r="EI19" s="75"/>
      <c r="EJ19" s="75"/>
      <c r="EK19" s="38"/>
      <c r="EL19" s="36" t="s">
        <v>8</v>
      </c>
      <c r="EM19" s="15">
        <v>0.13300000000000001</v>
      </c>
      <c r="EN19" s="2">
        <v>0.61199999999999999</v>
      </c>
      <c r="EO19" s="3">
        <f>AVERAGE(0.061,0.275,0.128,0.458,0.24,0.15,0.183,0.417)</f>
        <v>0.23899999999999999</v>
      </c>
      <c r="EP19" s="4">
        <v>0.05</v>
      </c>
      <c r="EQ19" s="33"/>
      <c r="ER19" s="33"/>
      <c r="ES19" s="33"/>
      <c r="ET19" s="18" t="s">
        <v>8</v>
      </c>
      <c r="EU19" s="69">
        <f t="shared" si="20"/>
        <v>4.4000000000000011E-2</v>
      </c>
      <c r="EV19" s="12">
        <f t="shared" si="21"/>
        <v>-2.5000000000000022E-2</v>
      </c>
      <c r="EW19" s="12">
        <f t="shared" si="22"/>
        <v>2.2749999999999992E-2</v>
      </c>
      <c r="EX19" s="12">
        <f t="shared" si="23"/>
        <v>2.5000000000000001E-2</v>
      </c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4"/>
      <c r="FL19" s="33"/>
      <c r="FM19" s="36" t="s">
        <v>8</v>
      </c>
      <c r="FN19" s="15" t="s">
        <v>311</v>
      </c>
      <c r="FO19" s="2" t="s">
        <v>310</v>
      </c>
      <c r="FP19" s="3" t="s">
        <v>309</v>
      </c>
      <c r="FQ19" s="4" t="s">
        <v>308</v>
      </c>
      <c r="FR19" s="75"/>
      <c r="FS19" s="75"/>
      <c r="FU19" s="75"/>
      <c r="FV19" s="38"/>
      <c r="FW19" s="36" t="s">
        <v>8</v>
      </c>
      <c r="FX19" s="15">
        <v>9.2999999999999999E-2</v>
      </c>
      <c r="FY19" s="2">
        <v>0.60499999999999998</v>
      </c>
      <c r="FZ19" s="3">
        <f>AVERAGE(0,0.4,0.095,0.4,0.207,0.25,0.283,0.267)</f>
        <v>0.23775000000000002</v>
      </c>
      <c r="GA19" s="4">
        <v>0.04</v>
      </c>
      <c r="GB19" s="33"/>
      <c r="GC19" s="33"/>
      <c r="GD19" s="33"/>
      <c r="GE19" s="18" t="s">
        <v>8</v>
      </c>
      <c r="GF19" s="69">
        <f t="shared" si="24"/>
        <v>-4.0000000000000008E-2</v>
      </c>
      <c r="GG19" s="12">
        <f t="shared" si="16"/>
        <v>-7.0000000000000062E-3</v>
      </c>
      <c r="GH19" s="12">
        <f t="shared" si="17"/>
        <v>-1.2499999999999734E-3</v>
      </c>
      <c r="GI19" s="12">
        <f t="shared" ref="GI19:GI21" si="25">GA19-EP19</f>
        <v>-1.0000000000000002E-2</v>
      </c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8"/>
      <c r="GX19" s="36" t="s">
        <v>8</v>
      </c>
      <c r="GY19" s="15" t="s">
        <v>658</v>
      </c>
      <c r="GZ19" s="2" t="s">
        <v>657</v>
      </c>
      <c r="HA19" s="3" t="s">
        <v>656</v>
      </c>
      <c r="HB19" s="27" t="s">
        <v>655</v>
      </c>
      <c r="HC19" s="65"/>
      <c r="HD19" s="65"/>
      <c r="HE19" s="65"/>
      <c r="HF19" s="60"/>
      <c r="HG19" s="33"/>
      <c r="HH19" s="18" t="s">
        <v>8</v>
      </c>
      <c r="HI19" s="2">
        <v>0.53300000000000003</v>
      </c>
      <c r="HJ19" s="33">
        <v>8.5142405063291141E-2</v>
      </c>
      <c r="HK19" s="15">
        <v>0.17399999999999999</v>
      </c>
      <c r="HL19" s="15">
        <v>8.8999999999999996E-2</v>
      </c>
      <c r="HM19" s="15">
        <v>0.13300000000000001</v>
      </c>
      <c r="HN19" s="15">
        <v>9.2999999999999999E-2</v>
      </c>
      <c r="HW19" s="18" t="s">
        <v>8</v>
      </c>
      <c r="HX19" s="2">
        <v>0.626</v>
      </c>
      <c r="HY19" s="33">
        <v>0.63726744723821604</v>
      </c>
      <c r="HZ19" s="2">
        <v>0.62</v>
      </c>
      <c r="IA19" s="2">
        <v>0.63700000000000001</v>
      </c>
      <c r="IB19" s="2">
        <v>0.61199999999999999</v>
      </c>
      <c r="IC19" s="2">
        <v>0.60499999999999998</v>
      </c>
      <c r="IL19" s="18" t="s">
        <v>8</v>
      </c>
      <c r="IM19" s="3">
        <v>0.11177777777777778</v>
      </c>
      <c r="IN19" s="3">
        <v>0.23374999999999999</v>
      </c>
      <c r="IO19" s="3">
        <v>0.20700000000000002</v>
      </c>
      <c r="IP19" s="3">
        <v>0.21625</v>
      </c>
      <c r="IQ19" s="3">
        <v>0.23899999999999999</v>
      </c>
      <c r="IR19" s="3">
        <v>0.23775000000000002</v>
      </c>
      <c r="JA19" s="18" t="s">
        <v>8</v>
      </c>
      <c r="JB19" s="4">
        <v>2.1000000000000001E-2</v>
      </c>
      <c r="JC19" s="34">
        <v>3.77505388233116E-2</v>
      </c>
      <c r="JD19" s="4">
        <v>0.05</v>
      </c>
      <c r="JE19" s="4">
        <v>2.5000000000000001E-2</v>
      </c>
      <c r="JF19" s="4">
        <v>0.05</v>
      </c>
      <c r="JG19" s="4">
        <v>0.04</v>
      </c>
    </row>
    <row r="20" spans="1:291" ht="30" customHeight="1" thickBot="1" x14ac:dyDescent="0.35">
      <c r="A20" s="36" t="s">
        <v>9</v>
      </c>
      <c r="B20" s="2">
        <v>0.52100000000000002</v>
      </c>
      <c r="C20" s="2">
        <v>0.64500000000000002</v>
      </c>
      <c r="D20" s="3">
        <f>AVERAGE(0.861,0,0.228,0.033,0.033,0,0.083,0.15,)</f>
        <v>0.15422222222222218</v>
      </c>
      <c r="E20" s="4">
        <v>0.152</v>
      </c>
      <c r="AB20" s="1" t="s">
        <v>9</v>
      </c>
      <c r="AC20" s="2" t="s">
        <v>75</v>
      </c>
      <c r="AD20" s="2" t="s">
        <v>74</v>
      </c>
      <c r="AE20" s="3" t="s">
        <v>73</v>
      </c>
      <c r="AF20" s="4" t="s">
        <v>72</v>
      </c>
      <c r="AK20" s="36" t="s">
        <v>9</v>
      </c>
      <c r="AL20" s="33">
        <v>0.11140822784810127</v>
      </c>
      <c r="AM20" s="33">
        <v>0.64026696688272944</v>
      </c>
      <c r="AN20" s="3">
        <f>AVERAGE(0.04,0.208,0.128,0.283,0.131,0.55,0.267,0.3)</f>
        <v>0.23837500000000003</v>
      </c>
      <c r="AO20" s="34">
        <v>3.2384971932155247E-2</v>
      </c>
      <c r="AQ20" s="18" t="s">
        <v>9</v>
      </c>
      <c r="AR20" s="69">
        <f t="shared" si="19"/>
        <v>-0.40959177215189874</v>
      </c>
      <c r="AS20" s="57">
        <f t="shared" si="11"/>
        <v>-4.7330331172705797E-3</v>
      </c>
      <c r="AT20" s="69">
        <f t="shared" si="12"/>
        <v>8.4152777777777854E-2</v>
      </c>
      <c r="AU20" s="69">
        <f t="shared" si="13"/>
        <v>-0.11961502806784474</v>
      </c>
      <c r="BI20" s="36" t="s">
        <v>8</v>
      </c>
      <c r="BJ20" s="15" t="s">
        <v>384</v>
      </c>
      <c r="BK20" s="2" t="s">
        <v>392</v>
      </c>
      <c r="BL20" s="2" t="s">
        <v>400</v>
      </c>
      <c r="BM20" s="4" t="s">
        <v>408</v>
      </c>
      <c r="BN20" s="75"/>
      <c r="BP20" s="36" t="s">
        <v>9</v>
      </c>
      <c r="BQ20" s="15">
        <v>0.158</v>
      </c>
      <c r="BR20" s="2">
        <v>0.625</v>
      </c>
      <c r="BS20" s="3">
        <f>AVERAGE(0.113,0.15,0.24,0.25,0.174,0.1,0.1,0.3)</f>
        <v>0.17837500000000003</v>
      </c>
      <c r="BT20" s="4">
        <v>3.1E-2</v>
      </c>
      <c r="BX20" s="18" t="s">
        <v>9</v>
      </c>
      <c r="BY20" s="69">
        <f t="shared" si="14"/>
        <v>4.6591772151898733E-2</v>
      </c>
      <c r="BZ20" s="12">
        <f t="shared" si="14"/>
        <v>-1.5266966882729438E-2</v>
      </c>
      <c r="CA20" s="69">
        <f t="shared" si="14"/>
        <v>-0.06</v>
      </c>
      <c r="CB20" s="12">
        <f t="shared" si="14"/>
        <v>-1.3849719321552476E-3</v>
      </c>
      <c r="CQ20" s="36" t="s">
        <v>8</v>
      </c>
      <c r="CR20" s="15" t="s">
        <v>474</v>
      </c>
      <c r="CS20" s="2" t="s">
        <v>481</v>
      </c>
      <c r="CT20" s="3" t="s">
        <v>487</v>
      </c>
      <c r="CU20" s="4" t="s">
        <v>495</v>
      </c>
      <c r="CV20" s="75"/>
      <c r="CW20" s="75"/>
      <c r="CX20" s="75"/>
      <c r="CY20" s="75"/>
      <c r="CZ20" s="38"/>
      <c r="DA20" s="36" t="s">
        <v>9</v>
      </c>
      <c r="DB20" s="15">
        <v>0.13400000000000001</v>
      </c>
      <c r="DC20" s="2">
        <v>0.63500000000000001</v>
      </c>
      <c r="DD20" s="3">
        <f>AVERAGE(0.05,0.258,0.224,0.283,0.252,0.1,0.1,0.35)</f>
        <v>0.202125</v>
      </c>
      <c r="DE20" s="4">
        <v>4.1000000000000002E-2</v>
      </c>
      <c r="DF20" s="33"/>
      <c r="DG20" s="33"/>
      <c r="DH20" s="33"/>
      <c r="DI20" s="18" t="s">
        <v>9</v>
      </c>
      <c r="DJ20" s="69">
        <f t="shared" si="15"/>
        <v>0.10300000000000001</v>
      </c>
      <c r="DK20" s="12">
        <f t="shared" si="15"/>
        <v>0.63500000000000001</v>
      </c>
      <c r="DL20" s="12">
        <f t="shared" si="15"/>
        <v>0.202125</v>
      </c>
      <c r="DM20" s="12">
        <f t="shared" si="15"/>
        <v>4.1000000000000002E-2</v>
      </c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4"/>
      <c r="EA20" s="33"/>
      <c r="EB20" s="36" t="s">
        <v>9</v>
      </c>
      <c r="EC20" s="15" t="s">
        <v>555</v>
      </c>
      <c r="ED20" s="2" t="s">
        <v>562</v>
      </c>
      <c r="EE20" s="3" t="s">
        <v>569</v>
      </c>
      <c r="EF20" s="4" t="s">
        <v>576</v>
      </c>
      <c r="EG20" s="75"/>
      <c r="EH20" s="75"/>
      <c r="EI20" s="75"/>
      <c r="EJ20" s="75"/>
      <c r="EK20" s="38"/>
      <c r="EL20" s="36" t="s">
        <v>9</v>
      </c>
      <c r="EM20" s="15">
        <v>9.5000000000000001E-2</v>
      </c>
      <c r="EN20" s="2">
        <v>0.66100000000000003</v>
      </c>
      <c r="EO20" s="3">
        <f>AVERAGE(0.002,0.333,0.078,0.483,0.221,0.3,0.233,0.333)</f>
        <v>0.24787500000000001</v>
      </c>
      <c r="EP20" s="4">
        <v>0.04</v>
      </c>
      <c r="EQ20" s="33"/>
      <c r="ER20" s="33"/>
      <c r="ES20" s="33"/>
      <c r="ET20" s="18" t="s">
        <v>9</v>
      </c>
      <c r="EU20" s="69">
        <f t="shared" si="20"/>
        <v>-3.9000000000000007E-2</v>
      </c>
      <c r="EV20" s="12">
        <f>EN20-DC20</f>
        <v>2.6000000000000023E-2</v>
      </c>
      <c r="EW20" s="69">
        <f t="shared" si="22"/>
        <v>4.5750000000000013E-2</v>
      </c>
      <c r="EX20" s="12">
        <f t="shared" si="23"/>
        <v>-1.0000000000000009E-3</v>
      </c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4"/>
      <c r="FL20" s="33"/>
      <c r="FM20" s="36" t="s">
        <v>9</v>
      </c>
      <c r="FN20" s="15" t="s">
        <v>315</v>
      </c>
      <c r="FO20" s="2" t="s">
        <v>314</v>
      </c>
      <c r="FP20" s="3" t="s">
        <v>313</v>
      </c>
      <c r="FQ20" s="4" t="s">
        <v>312</v>
      </c>
      <c r="FR20" s="75"/>
      <c r="FS20" s="75"/>
      <c r="FU20" s="75"/>
      <c r="FV20" s="38"/>
      <c r="FW20" s="36" t="s">
        <v>9</v>
      </c>
      <c r="FX20" s="15">
        <v>0.14499999999999999</v>
      </c>
      <c r="FY20" s="2">
        <v>0.61199999999999999</v>
      </c>
      <c r="FZ20" s="3">
        <f>AVERAGE(0.12,0.25,0.106,0.392,0.124,0.3,0.183,0.283)</f>
        <v>0.21975</v>
      </c>
      <c r="GA20" s="4">
        <v>5.1999999999999998E-2</v>
      </c>
      <c r="GB20" s="33"/>
      <c r="GC20" s="33"/>
      <c r="GD20" s="33"/>
      <c r="GE20" s="18" t="s">
        <v>9</v>
      </c>
      <c r="GF20" s="69">
        <f t="shared" si="24"/>
        <v>4.9999999999999989E-2</v>
      </c>
      <c r="GG20" s="69">
        <f>FY20-EN20</f>
        <v>-4.9000000000000044E-2</v>
      </c>
      <c r="GH20" s="12">
        <f t="shared" si="17"/>
        <v>-2.8125000000000011E-2</v>
      </c>
      <c r="GI20" s="12">
        <f t="shared" si="25"/>
        <v>1.1999999999999997E-2</v>
      </c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8"/>
      <c r="GX20" s="36" t="s">
        <v>9</v>
      </c>
      <c r="GY20" s="15" t="s">
        <v>662</v>
      </c>
      <c r="GZ20" s="2" t="s">
        <v>661</v>
      </c>
      <c r="HA20" s="3" t="s">
        <v>660</v>
      </c>
      <c r="HB20" s="27" t="s">
        <v>659</v>
      </c>
      <c r="HC20" s="65"/>
      <c r="HD20" s="65"/>
      <c r="HE20" s="65"/>
      <c r="HF20" s="60"/>
      <c r="HG20" s="33"/>
      <c r="HH20" s="18" t="s">
        <v>9</v>
      </c>
      <c r="HI20" s="2">
        <v>0.52100000000000002</v>
      </c>
      <c r="HJ20" s="33">
        <v>0.11140822784810127</v>
      </c>
      <c r="HK20" s="15">
        <v>0.158</v>
      </c>
      <c r="HL20" s="15">
        <v>0.13400000000000001</v>
      </c>
      <c r="HM20" s="15">
        <v>9.5000000000000001E-2</v>
      </c>
      <c r="HN20" s="15">
        <v>0.14499999999999999</v>
      </c>
      <c r="HW20" s="18" t="s">
        <v>9</v>
      </c>
      <c r="HX20" s="2">
        <v>0.64500000000000002</v>
      </c>
      <c r="HY20" s="33">
        <v>0.64026696688272944</v>
      </c>
      <c r="HZ20" s="2">
        <v>0.625</v>
      </c>
      <c r="IA20" s="2">
        <v>0.63500000000000001</v>
      </c>
      <c r="IB20" s="2">
        <v>0.66100000000000003</v>
      </c>
      <c r="IC20" s="2">
        <v>0.61199999999999999</v>
      </c>
      <c r="IL20" s="18" t="s">
        <v>9</v>
      </c>
      <c r="IM20" s="3">
        <v>0.15422222222222218</v>
      </c>
      <c r="IN20" s="3">
        <v>0.23837500000000003</v>
      </c>
      <c r="IO20" s="3">
        <v>0.17837500000000003</v>
      </c>
      <c r="IP20" s="3">
        <v>0.202125</v>
      </c>
      <c r="IQ20" s="3">
        <v>0.24787500000000001</v>
      </c>
      <c r="IR20" s="3">
        <v>0.21975</v>
      </c>
      <c r="JA20" s="18" t="s">
        <v>9</v>
      </c>
      <c r="JB20" s="4">
        <v>0.152</v>
      </c>
      <c r="JC20" s="34">
        <v>3.2384971932155247E-2</v>
      </c>
      <c r="JD20" s="4">
        <v>3.1E-2</v>
      </c>
      <c r="JE20" s="4">
        <v>4.1000000000000002E-2</v>
      </c>
      <c r="JF20" s="4">
        <v>0.04</v>
      </c>
      <c r="JG20" s="4">
        <v>5.1999999999999998E-2</v>
      </c>
    </row>
    <row r="21" spans="1:291" ht="30" customHeight="1" thickBot="1" x14ac:dyDescent="0.35">
      <c r="A21" s="36" t="s">
        <v>10</v>
      </c>
      <c r="B21" s="2">
        <v>0.52300000000000002</v>
      </c>
      <c r="C21" s="2">
        <v>0.63400000000000001</v>
      </c>
      <c r="D21" s="3">
        <f>AVERAGE(0.878,0,0.201,0,0.079,0,0.1,0.083)</f>
        <v>0.167625</v>
      </c>
      <c r="E21" s="4">
        <v>0.13500000000000001</v>
      </c>
      <c r="AB21" s="1" t="s">
        <v>10</v>
      </c>
      <c r="AC21" s="2" t="s">
        <v>79</v>
      </c>
      <c r="AD21" s="2" t="s">
        <v>78</v>
      </c>
      <c r="AE21" s="3" t="s">
        <v>77</v>
      </c>
      <c r="AF21" s="4" t="s">
        <v>76</v>
      </c>
      <c r="AK21" s="36" t="s">
        <v>10</v>
      </c>
      <c r="AL21" s="33">
        <v>0.2178164556962025</v>
      </c>
      <c r="AM21" s="33">
        <v>0.62676728637191315</v>
      </c>
      <c r="AN21" s="3">
        <f>AVERAGE(0.137,0.175,0.429,0.183,0.257,0,0.217,0.267)</f>
        <v>0.208125</v>
      </c>
      <c r="AO21" s="34">
        <v>7.6471060734484134E-2</v>
      </c>
      <c r="AQ21" s="18" t="s">
        <v>10</v>
      </c>
      <c r="AR21" s="69">
        <f t="shared" si="19"/>
        <v>-0.30518354430379752</v>
      </c>
      <c r="AS21" s="57">
        <f t="shared" si="11"/>
        <v>-7.232713628086862E-3</v>
      </c>
      <c r="AT21" s="69">
        <f t="shared" si="12"/>
        <v>4.0500000000000008E-2</v>
      </c>
      <c r="AU21" s="69">
        <f t="shared" si="13"/>
        <v>-5.8528939265515875E-2</v>
      </c>
      <c r="BI21" s="36" t="s">
        <v>9</v>
      </c>
      <c r="BJ21" s="15" t="s">
        <v>385</v>
      </c>
      <c r="BK21" s="2" t="s">
        <v>393</v>
      </c>
      <c r="BL21" s="2" t="s">
        <v>401</v>
      </c>
      <c r="BM21" s="4" t="s">
        <v>409</v>
      </c>
      <c r="BN21" s="75"/>
      <c r="BP21" s="36" t="s">
        <v>10</v>
      </c>
      <c r="BQ21" s="15">
        <v>0.21299999999999999</v>
      </c>
      <c r="BR21" s="2">
        <v>0.627</v>
      </c>
      <c r="BS21" s="3">
        <f>AVERAGE(0.137,0.15,0.418,0.183,0.257,0,0.217,0.233)</f>
        <v>0.19937500000000002</v>
      </c>
      <c r="BT21" s="4">
        <v>7.1999999999999995E-2</v>
      </c>
      <c r="BX21" s="18" t="s">
        <v>10</v>
      </c>
      <c r="BY21" s="12">
        <f t="shared" si="14"/>
        <v>-4.8164556962025096E-3</v>
      </c>
      <c r="BZ21" s="12">
        <f t="shared" si="14"/>
        <v>2.3271362808685581E-4</v>
      </c>
      <c r="CA21" s="12">
        <f t="shared" si="14"/>
        <v>-8.74999999999998E-3</v>
      </c>
      <c r="CB21" s="12">
        <f t="shared" si="14"/>
        <v>-4.4710607344841391E-3</v>
      </c>
      <c r="CQ21" s="36" t="s">
        <v>9</v>
      </c>
      <c r="CR21" s="15" t="s">
        <v>475</v>
      </c>
      <c r="CS21" s="2" t="s">
        <v>482</v>
      </c>
      <c r="CT21" s="3" t="s">
        <v>488</v>
      </c>
      <c r="CU21" s="4" t="s">
        <v>496</v>
      </c>
      <c r="CV21" s="75"/>
      <c r="CW21" s="75"/>
      <c r="CX21" s="75"/>
      <c r="CY21" s="75"/>
      <c r="CZ21" s="38"/>
      <c r="DA21" s="36" t="s">
        <v>10</v>
      </c>
      <c r="DB21" s="15">
        <v>0.25</v>
      </c>
      <c r="DC21" s="2">
        <v>0.61399999999999999</v>
      </c>
      <c r="DD21" s="3">
        <f>AVERAGE(0.186,0.117,0.424,0.225,0.302,0.05,0.267,0.333)</f>
        <v>0.23800000000000002</v>
      </c>
      <c r="DE21" s="4">
        <v>9.0999999999999998E-2</v>
      </c>
      <c r="DF21" s="33"/>
      <c r="DG21" s="33"/>
      <c r="DH21" s="33"/>
      <c r="DI21" s="18" t="s">
        <v>10</v>
      </c>
      <c r="DJ21" s="69">
        <f t="shared" si="15"/>
        <v>0.17799999999999999</v>
      </c>
      <c r="DK21" s="12">
        <f t="shared" si="15"/>
        <v>0.61399999999999999</v>
      </c>
      <c r="DL21" s="69">
        <f t="shared" si="15"/>
        <v>0.23800000000000002</v>
      </c>
      <c r="DM21" s="12">
        <f t="shared" si="15"/>
        <v>9.0999999999999998E-2</v>
      </c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4"/>
      <c r="EA21" s="33"/>
      <c r="EB21" s="36" t="s">
        <v>10</v>
      </c>
      <c r="EC21" s="15" t="s">
        <v>556</v>
      </c>
      <c r="ED21" s="2" t="s">
        <v>563</v>
      </c>
      <c r="EE21" s="3" t="s">
        <v>570</v>
      </c>
      <c r="EF21" s="4" t="s">
        <v>577</v>
      </c>
      <c r="EG21" s="75"/>
      <c r="EH21" s="75"/>
      <c r="EI21" s="75"/>
      <c r="EJ21" s="75"/>
      <c r="EK21" s="38"/>
      <c r="EL21" s="36" t="s">
        <v>10</v>
      </c>
      <c r="EM21" s="15">
        <v>9.5000000000000001E-2</v>
      </c>
      <c r="EN21" s="2">
        <v>0.65700000000000003</v>
      </c>
      <c r="EO21" s="3">
        <f>AVERAGE(0.023,0.208,0.022,0.65,0.21,0.35,0.4,0.233)</f>
        <v>0.26200000000000001</v>
      </c>
      <c r="EP21" s="4">
        <v>0.04</v>
      </c>
      <c r="EQ21" s="33"/>
      <c r="ER21" s="33"/>
      <c r="ES21" s="33"/>
      <c r="ET21" s="18" t="s">
        <v>10</v>
      </c>
      <c r="EU21" s="69">
        <f t="shared" si="20"/>
        <v>-0.155</v>
      </c>
      <c r="EV21" s="69">
        <f t="shared" si="21"/>
        <v>4.3000000000000038E-2</v>
      </c>
      <c r="EW21" s="12">
        <f t="shared" si="22"/>
        <v>2.3999999999999994E-2</v>
      </c>
      <c r="EX21" s="69">
        <f t="shared" si="23"/>
        <v>-5.0999999999999997E-2</v>
      </c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4"/>
      <c r="FL21" s="33"/>
      <c r="FM21" s="36" t="s">
        <v>10</v>
      </c>
      <c r="FN21" s="15" t="s">
        <v>318</v>
      </c>
      <c r="FO21" s="2" t="s">
        <v>246</v>
      </c>
      <c r="FP21" s="3" t="s">
        <v>317</v>
      </c>
      <c r="FQ21" s="4" t="s">
        <v>316</v>
      </c>
      <c r="FR21" s="75"/>
      <c r="FS21" s="75"/>
      <c r="FU21" s="75"/>
      <c r="FV21" s="38"/>
      <c r="FW21" s="36" t="s">
        <v>10</v>
      </c>
      <c r="FX21" s="15">
        <v>0.217</v>
      </c>
      <c r="FY21" s="2">
        <v>0.61499999999999999</v>
      </c>
      <c r="FZ21" s="3">
        <f>AVERAGE(0.181,0.217,0.301,0.217,0.174,0.25,0.367,0.15)</f>
        <v>0.232125</v>
      </c>
      <c r="GA21" s="4">
        <v>8.2000000000000003E-2</v>
      </c>
      <c r="GB21" s="33"/>
      <c r="GC21" s="33"/>
      <c r="GD21" s="33"/>
      <c r="GE21" s="18" t="s">
        <v>10</v>
      </c>
      <c r="GF21" s="69">
        <f t="shared" si="24"/>
        <v>0.122</v>
      </c>
      <c r="GG21" s="69">
        <f t="shared" ref="GG21:GG22" si="26">FY21-EN21</f>
        <v>-4.2000000000000037E-2</v>
      </c>
      <c r="GH21" s="12">
        <f t="shared" si="17"/>
        <v>-2.9875000000000013E-2</v>
      </c>
      <c r="GI21" s="69">
        <f t="shared" si="25"/>
        <v>4.2000000000000003E-2</v>
      </c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8"/>
      <c r="GX21" s="36" t="s">
        <v>10</v>
      </c>
      <c r="GY21" s="15" t="s">
        <v>666</v>
      </c>
      <c r="GZ21" s="2" t="s">
        <v>665</v>
      </c>
      <c r="HA21" s="3" t="s">
        <v>664</v>
      </c>
      <c r="HB21" s="27" t="s">
        <v>663</v>
      </c>
      <c r="HC21" s="65"/>
      <c r="HD21" s="65"/>
      <c r="HE21" s="65"/>
      <c r="HF21" s="60"/>
      <c r="HG21" s="33"/>
      <c r="HH21" s="18" t="s">
        <v>10</v>
      </c>
      <c r="HI21" s="2">
        <v>0.52300000000000002</v>
      </c>
      <c r="HJ21" s="33">
        <v>0.2178164556962025</v>
      </c>
      <c r="HK21" s="15">
        <v>0.21299999999999999</v>
      </c>
      <c r="HL21" s="15">
        <v>0.25</v>
      </c>
      <c r="HM21" s="15">
        <v>9.5000000000000001E-2</v>
      </c>
      <c r="HN21" s="15">
        <v>0.217</v>
      </c>
      <c r="HW21" s="18" t="s">
        <v>10</v>
      </c>
      <c r="HX21" s="2">
        <v>0.63400000000000001</v>
      </c>
      <c r="HY21" s="33">
        <v>0.62676728637191315</v>
      </c>
      <c r="HZ21" s="2">
        <v>0.627</v>
      </c>
      <c r="IA21" s="2">
        <v>0.61399999999999999</v>
      </c>
      <c r="IB21" s="2">
        <v>0.65700000000000003</v>
      </c>
      <c r="IC21" s="2">
        <v>0.61499999999999999</v>
      </c>
      <c r="IL21" s="18" t="s">
        <v>10</v>
      </c>
      <c r="IM21" s="3">
        <v>0.167625</v>
      </c>
      <c r="IN21" s="3">
        <v>0.208125</v>
      </c>
      <c r="IO21" s="3">
        <v>0.19937500000000002</v>
      </c>
      <c r="IP21" s="3">
        <v>0.23800000000000002</v>
      </c>
      <c r="IQ21" s="3">
        <v>0.26200000000000001</v>
      </c>
      <c r="IR21" s="3">
        <v>0.232125</v>
      </c>
      <c r="JA21" s="18" t="s">
        <v>10</v>
      </c>
      <c r="JB21" s="4">
        <v>0.13500000000000001</v>
      </c>
      <c r="JC21" s="34">
        <v>7.6471060734484134E-2</v>
      </c>
      <c r="JD21" s="4">
        <v>7.1999999999999995E-2</v>
      </c>
      <c r="JE21" s="4">
        <v>9.0999999999999998E-2</v>
      </c>
      <c r="JF21" s="4">
        <v>0.04</v>
      </c>
      <c r="JG21" s="4">
        <v>8.2000000000000003E-2</v>
      </c>
    </row>
    <row r="22" spans="1:291" ht="30" customHeight="1" thickBot="1" x14ac:dyDescent="0.35">
      <c r="A22" s="37" t="s">
        <v>11</v>
      </c>
      <c r="B22" s="6">
        <v>0.49199999999999999</v>
      </c>
      <c r="C22" s="6">
        <v>0.622</v>
      </c>
      <c r="D22" s="7">
        <f>AVERAGE(0.781,0,0.245,0.092,0.093,0.15,0.15,0.1,)</f>
        <v>0.17899999999999999</v>
      </c>
      <c r="E22" s="8">
        <v>0.158</v>
      </c>
      <c r="AB22" s="5" t="s">
        <v>11</v>
      </c>
      <c r="AC22" s="6" t="s">
        <v>83</v>
      </c>
      <c r="AD22" s="6" t="s">
        <v>82</v>
      </c>
      <c r="AE22" s="7" t="s">
        <v>81</v>
      </c>
      <c r="AF22" s="8" t="s">
        <v>80</v>
      </c>
      <c r="AK22" s="45" t="s">
        <v>11</v>
      </c>
      <c r="AL22" s="46">
        <v>0.21526898734177213</v>
      </c>
      <c r="AM22" s="46">
        <v>0.63251089299230212</v>
      </c>
      <c r="AN22" s="7">
        <f>AVERAGE(0.16,0.092,0.351,0.217,0.255,0.2,0.25,0.25)</f>
        <v>0.22187499999999999</v>
      </c>
      <c r="AO22" s="47">
        <v>6.8727373028370536E-2</v>
      </c>
      <c r="AQ22" s="19" t="s">
        <v>11</v>
      </c>
      <c r="AR22" s="69">
        <f t="shared" si="19"/>
        <v>-0.27673101265822786</v>
      </c>
      <c r="AS22" s="57">
        <f t="shared" si="11"/>
        <v>1.0510892992302123E-2</v>
      </c>
      <c r="AT22" s="57">
        <f t="shared" si="12"/>
        <v>4.2874999999999996E-2</v>
      </c>
      <c r="AU22" s="69">
        <f t="shared" si="13"/>
        <v>-8.9272626971629465E-2</v>
      </c>
      <c r="BI22" s="36" t="s">
        <v>10</v>
      </c>
      <c r="BJ22" s="15" t="s">
        <v>386</v>
      </c>
      <c r="BK22" s="2" t="s">
        <v>394</v>
      </c>
      <c r="BL22" s="2" t="s">
        <v>402</v>
      </c>
      <c r="BM22" s="4" t="s">
        <v>410</v>
      </c>
      <c r="BN22" s="75"/>
      <c r="BP22" s="45" t="s">
        <v>11</v>
      </c>
      <c r="BQ22" s="17">
        <v>0.189</v>
      </c>
      <c r="BR22" s="6">
        <v>0.622</v>
      </c>
      <c r="BS22" s="7">
        <f>AVERAGE(0.151,0.033,0.334,0.133,0.193,0.1,0.1,0.25)</f>
        <v>0.16175</v>
      </c>
      <c r="BT22" s="8">
        <v>3.1E-2</v>
      </c>
      <c r="BX22" s="19" t="s">
        <v>11</v>
      </c>
      <c r="BY22" s="69">
        <f t="shared" si="14"/>
        <v>-2.6268987341772132E-2</v>
      </c>
      <c r="BZ22" s="12">
        <f t="shared" si="14"/>
        <v>-1.0510892992302123E-2</v>
      </c>
      <c r="CA22" s="69">
        <f t="shared" si="14"/>
        <v>-6.0124999999999984E-2</v>
      </c>
      <c r="CB22" s="69">
        <f t="shared" si="14"/>
        <v>-3.7727373028370537E-2</v>
      </c>
      <c r="CQ22" s="36" t="s">
        <v>10</v>
      </c>
      <c r="CR22" s="15" t="s">
        <v>476</v>
      </c>
      <c r="CS22" s="2" t="s">
        <v>394</v>
      </c>
      <c r="CT22" s="3" t="s">
        <v>489</v>
      </c>
      <c r="CU22" s="4" t="s">
        <v>497</v>
      </c>
      <c r="CV22" s="75"/>
      <c r="CW22" s="75"/>
      <c r="CX22" s="75"/>
      <c r="CY22" s="75"/>
      <c r="CZ22" s="38"/>
      <c r="DA22" s="45" t="s">
        <v>11</v>
      </c>
      <c r="DB22" s="17">
        <v>0.214</v>
      </c>
      <c r="DC22" s="6">
        <v>0.59899999999999998</v>
      </c>
      <c r="DD22" s="7">
        <f>AVERAGE(0.165,0.15,0.357,0.192,0.233,0.15,0.1,0.267)</f>
        <v>0.20174999999999998</v>
      </c>
      <c r="DE22" s="8">
        <v>6.5000000000000002E-2</v>
      </c>
      <c r="DF22" s="33"/>
      <c r="DG22" s="33"/>
      <c r="DH22" s="33"/>
      <c r="DI22" s="19" t="s">
        <v>11</v>
      </c>
      <c r="DJ22" s="12">
        <f t="shared" si="15"/>
        <v>0.183</v>
      </c>
      <c r="DK22" s="69">
        <f t="shared" si="15"/>
        <v>0.59899999999999998</v>
      </c>
      <c r="DL22" s="69">
        <f t="shared" si="15"/>
        <v>0.20174999999999998</v>
      </c>
      <c r="DM22" s="69">
        <f t="shared" si="15"/>
        <v>6.5000000000000002E-2</v>
      </c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4"/>
      <c r="EA22" s="33"/>
      <c r="EB22" s="45" t="s">
        <v>11</v>
      </c>
      <c r="EC22" s="17" t="s">
        <v>557</v>
      </c>
      <c r="ED22" s="6" t="s">
        <v>564</v>
      </c>
      <c r="EE22" s="7" t="s">
        <v>571</v>
      </c>
      <c r="EF22" s="8" t="s">
        <v>578</v>
      </c>
      <c r="EG22" s="75"/>
      <c r="EH22" s="75"/>
      <c r="EI22" s="75"/>
      <c r="EJ22" s="75"/>
      <c r="EK22" s="38"/>
      <c r="EL22" s="45" t="s">
        <v>11</v>
      </c>
      <c r="EM22" s="17">
        <v>0.11799999999999999</v>
      </c>
      <c r="EN22" s="6">
        <v>0.63600000000000001</v>
      </c>
      <c r="EO22" s="7">
        <f>AVERAGE(0.056,0.208,0.139,0.275,0.174,0.1,0.233,0.417)</f>
        <v>0.20025000000000001</v>
      </c>
      <c r="EP22" s="8">
        <v>3.4000000000000002E-2</v>
      </c>
      <c r="EQ22" s="33"/>
      <c r="ER22" s="33"/>
      <c r="ES22" s="33"/>
      <c r="ET22" s="19" t="s">
        <v>11</v>
      </c>
      <c r="EU22" s="69">
        <f t="shared" si="20"/>
        <v>-9.6000000000000002E-2</v>
      </c>
      <c r="EV22" s="69">
        <f t="shared" si="21"/>
        <v>3.7000000000000033E-2</v>
      </c>
      <c r="EW22" s="12">
        <f t="shared" si="22"/>
        <v>-1.4999999999999736E-3</v>
      </c>
      <c r="EX22" s="12">
        <f>EP22-DE22</f>
        <v>-3.1E-2</v>
      </c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4"/>
      <c r="FL22" s="33"/>
      <c r="FM22" s="45" t="s">
        <v>11</v>
      </c>
      <c r="FN22" s="17" t="s">
        <v>178</v>
      </c>
      <c r="FO22" s="6" t="s">
        <v>321</v>
      </c>
      <c r="FP22" s="7" t="s">
        <v>320</v>
      </c>
      <c r="FQ22" s="8" t="s">
        <v>319</v>
      </c>
      <c r="FR22" s="75"/>
      <c r="FS22" s="75"/>
      <c r="FU22" s="75"/>
      <c r="FV22" s="38"/>
      <c r="FW22" s="45" t="s">
        <v>11</v>
      </c>
      <c r="FX22" s="17">
        <v>0.16300000000000001</v>
      </c>
      <c r="FY22" s="6">
        <v>0.60399999999999998</v>
      </c>
      <c r="FZ22" s="7">
        <f>AVERAGE(0.125,0.258,0.218,0.158,0.188,0.1,0.183,0.283)</f>
        <v>0.18912500000000002</v>
      </c>
      <c r="GA22" s="8">
        <v>0.04</v>
      </c>
      <c r="GB22" s="33"/>
      <c r="GC22" s="33"/>
      <c r="GD22" s="33"/>
      <c r="GE22" s="19" t="s">
        <v>11</v>
      </c>
      <c r="GF22" s="69">
        <f t="shared" si="24"/>
        <v>4.5000000000000012E-2</v>
      </c>
      <c r="GG22" s="12">
        <f t="shared" si="26"/>
        <v>-3.2000000000000028E-2</v>
      </c>
      <c r="GH22" s="12">
        <f t="shared" si="17"/>
        <v>-1.1124999999999996E-2</v>
      </c>
      <c r="GI22" s="12">
        <f>GA22-EP22</f>
        <v>5.9999999999999984E-3</v>
      </c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8"/>
      <c r="GX22" s="45" t="s">
        <v>11</v>
      </c>
      <c r="GY22" s="91" t="s">
        <v>669</v>
      </c>
      <c r="GZ22" s="29" t="s">
        <v>649</v>
      </c>
      <c r="HA22" s="30" t="s">
        <v>668</v>
      </c>
      <c r="HB22" s="31" t="s">
        <v>667</v>
      </c>
      <c r="HC22" s="65"/>
      <c r="HD22" s="65"/>
      <c r="HE22" s="65"/>
      <c r="HF22" s="60"/>
      <c r="HG22" s="33"/>
      <c r="HH22" s="19" t="s">
        <v>11</v>
      </c>
      <c r="HI22" s="6">
        <v>0.49199999999999999</v>
      </c>
      <c r="HJ22" s="46">
        <v>0.21526898734177213</v>
      </c>
      <c r="HK22" s="17">
        <v>0.189</v>
      </c>
      <c r="HL22" s="17">
        <v>0.214</v>
      </c>
      <c r="HM22" s="17">
        <v>0.11799999999999999</v>
      </c>
      <c r="HN22" s="17">
        <v>0.16300000000000001</v>
      </c>
      <c r="HW22" s="19" t="s">
        <v>11</v>
      </c>
      <c r="HX22" s="6">
        <v>0.622</v>
      </c>
      <c r="HY22" s="46">
        <v>0.63251089299230212</v>
      </c>
      <c r="HZ22" s="6">
        <v>0.622</v>
      </c>
      <c r="IA22" s="6">
        <v>0.59899999999999998</v>
      </c>
      <c r="IB22" s="6">
        <v>0.63600000000000001</v>
      </c>
      <c r="IC22" s="6">
        <v>0.60399999999999998</v>
      </c>
      <c r="IL22" s="19" t="s">
        <v>11</v>
      </c>
      <c r="IM22" s="7">
        <v>0.17899999999999999</v>
      </c>
      <c r="IN22" s="7">
        <v>0.22187499999999999</v>
      </c>
      <c r="IO22" s="7">
        <v>0.16175</v>
      </c>
      <c r="IP22" s="7">
        <v>0.20174999999999998</v>
      </c>
      <c r="IQ22" s="7">
        <v>0.20025000000000001</v>
      </c>
      <c r="IR22" s="7">
        <v>0.18912500000000002</v>
      </c>
      <c r="JA22" s="19" t="s">
        <v>11</v>
      </c>
      <c r="JB22" s="8">
        <v>0.158</v>
      </c>
      <c r="JC22" s="47">
        <v>6.8727373028370536E-2</v>
      </c>
      <c r="JD22" s="8">
        <v>3.1E-2</v>
      </c>
      <c r="JE22" s="8">
        <v>6.5000000000000002E-2</v>
      </c>
      <c r="JF22" s="8">
        <v>3.4000000000000002E-2</v>
      </c>
      <c r="JG22" s="8">
        <v>0.04</v>
      </c>
    </row>
    <row r="23" spans="1:291" s="68" customFormat="1" ht="30" customHeight="1" thickBot="1" x14ac:dyDescent="0.35">
      <c r="A23" s="64"/>
      <c r="B23" s="65"/>
      <c r="C23" s="65"/>
      <c r="D23" s="66"/>
      <c r="E23" s="65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67"/>
      <c r="AB23" s="66"/>
      <c r="AC23" s="65"/>
      <c r="AD23" s="65"/>
      <c r="AE23" s="66"/>
      <c r="AF23" s="65"/>
      <c r="AG23" s="59"/>
      <c r="AH23" s="59"/>
      <c r="AI23" s="60"/>
      <c r="AJ23" s="67"/>
      <c r="AK23" s="66"/>
      <c r="AL23" s="59"/>
      <c r="AM23" s="59"/>
      <c r="AN23" s="66"/>
      <c r="AO23" s="59"/>
      <c r="AP23" s="59"/>
      <c r="AQ23" s="66"/>
      <c r="AR23" s="65"/>
      <c r="AS23" s="65"/>
      <c r="AT23" s="65"/>
      <c r="AU23" s="65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60"/>
      <c r="BH23" s="59"/>
      <c r="BI23" s="45" t="s">
        <v>11</v>
      </c>
      <c r="BJ23" s="17" t="s">
        <v>387</v>
      </c>
      <c r="BK23" s="6" t="s">
        <v>395</v>
      </c>
      <c r="BL23" s="6" t="s">
        <v>403</v>
      </c>
      <c r="BM23" s="8" t="s">
        <v>411</v>
      </c>
      <c r="BN23" s="76"/>
      <c r="BO23" s="67"/>
      <c r="BP23" s="66"/>
      <c r="BQ23" s="65"/>
      <c r="BR23" s="65"/>
      <c r="BS23" s="66"/>
      <c r="BT23" s="65"/>
      <c r="BU23" s="59"/>
      <c r="BV23" s="66"/>
      <c r="BW23" s="65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60"/>
      <c r="CP23" s="59"/>
      <c r="CQ23" s="45" t="s">
        <v>11</v>
      </c>
      <c r="CR23" s="17" t="s">
        <v>477</v>
      </c>
      <c r="CS23" s="6" t="s">
        <v>483</v>
      </c>
      <c r="CT23" s="7" t="s">
        <v>490</v>
      </c>
      <c r="CU23" s="8" t="s">
        <v>496</v>
      </c>
      <c r="CV23" s="76"/>
      <c r="CW23" s="76"/>
      <c r="CX23" s="76"/>
      <c r="CY23" s="76"/>
      <c r="CZ23" s="67"/>
      <c r="DA23" s="66"/>
      <c r="DB23" s="65"/>
      <c r="DC23" s="65"/>
      <c r="DD23" s="66"/>
      <c r="DE23" s="65"/>
      <c r="DF23" s="59"/>
      <c r="DG23" s="66"/>
      <c r="DH23" s="65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60"/>
      <c r="EA23" s="59"/>
      <c r="EB23" s="59"/>
      <c r="EC23" s="59"/>
      <c r="ED23" s="59"/>
      <c r="EE23" s="59"/>
      <c r="EF23" s="59"/>
      <c r="EG23" s="76"/>
      <c r="EH23" s="76"/>
      <c r="EI23" s="76"/>
      <c r="EJ23" s="76"/>
      <c r="EK23" s="67"/>
      <c r="EL23" s="66"/>
      <c r="EM23" s="65"/>
      <c r="EN23" s="65"/>
      <c r="EO23" s="66"/>
      <c r="EP23" s="65"/>
      <c r="EQ23" s="59"/>
      <c r="ER23" s="66"/>
      <c r="ES23" s="65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60"/>
      <c r="FL23" s="59"/>
      <c r="FM23" s="59"/>
      <c r="FN23" s="59"/>
      <c r="FO23" s="59"/>
      <c r="FP23" s="59"/>
      <c r="FQ23" s="59"/>
      <c r="FR23" s="76"/>
      <c r="FS23" s="76"/>
      <c r="FT23"/>
      <c r="FU23" s="76"/>
      <c r="FV23" s="67"/>
      <c r="FW23" s="66"/>
      <c r="FX23" s="65"/>
      <c r="FY23" s="65"/>
      <c r="FZ23" s="66"/>
      <c r="GA23" s="65"/>
      <c r="GB23" s="59"/>
      <c r="GC23" s="66"/>
      <c r="GD23" s="65"/>
      <c r="GJ23" s="59"/>
      <c r="GK23" s="59"/>
      <c r="GL23" s="59"/>
      <c r="GM23" s="59"/>
      <c r="GN23" s="59"/>
      <c r="GO23" s="59"/>
      <c r="GP23" s="59"/>
      <c r="GQ23" s="59"/>
      <c r="GR23" s="59"/>
      <c r="GS23" s="59"/>
      <c r="GT23" s="59"/>
      <c r="GU23" s="59"/>
      <c r="GV23" s="59"/>
      <c r="GW23" s="67"/>
      <c r="GX23" s="59"/>
      <c r="GY23" s="59"/>
      <c r="GZ23" s="59"/>
      <c r="HA23" s="59"/>
      <c r="HB23" s="59"/>
      <c r="HC23" s="59"/>
      <c r="HD23" s="59"/>
      <c r="HE23" s="59"/>
      <c r="HF23" s="60"/>
      <c r="HG23" s="59"/>
    </row>
    <row r="24" spans="1:291" s="33" customFormat="1" ht="30" customHeight="1" thickBot="1" x14ac:dyDescent="0.35">
      <c r="A24" s="38"/>
      <c r="Z24" s="34"/>
      <c r="AA24" s="38"/>
      <c r="AI24" s="34"/>
      <c r="AJ24" s="38"/>
      <c r="BG24" s="34"/>
      <c r="BN24" s="75"/>
      <c r="BO24" s="38"/>
      <c r="BX24" s="115" t="s">
        <v>119</v>
      </c>
      <c r="BY24" s="116"/>
      <c r="BZ24" s="116"/>
      <c r="CA24" s="116"/>
      <c r="CB24" s="116"/>
      <c r="CC24" s="116"/>
      <c r="CD24" s="117"/>
      <c r="CO24" s="34"/>
      <c r="CV24" s="75"/>
      <c r="CW24" s="75"/>
      <c r="CX24" s="75"/>
      <c r="CY24" s="75"/>
      <c r="CZ24" s="38"/>
      <c r="DI24" s="115" t="s">
        <v>119</v>
      </c>
      <c r="DJ24" s="116"/>
      <c r="DK24" s="116"/>
      <c r="DL24" s="116"/>
      <c r="DM24" s="116"/>
      <c r="DN24" s="116"/>
      <c r="DO24" s="117"/>
      <c r="DZ24" s="34"/>
      <c r="EG24" s="75"/>
      <c r="EH24" s="75"/>
      <c r="EI24" s="75"/>
      <c r="EJ24" s="75"/>
      <c r="EK24" s="38"/>
      <c r="ET24" s="115" t="s">
        <v>119</v>
      </c>
      <c r="EU24" s="116"/>
      <c r="EV24" s="116"/>
      <c r="EW24" s="116"/>
      <c r="EX24" s="116"/>
      <c r="EY24" s="116"/>
      <c r="EZ24" s="117"/>
      <c r="FK24" s="34"/>
      <c r="FR24" s="75"/>
      <c r="FS24" s="75"/>
      <c r="FT24"/>
      <c r="FU24" s="75"/>
      <c r="FV24" s="38"/>
      <c r="GE24" s="115" t="s">
        <v>119</v>
      </c>
      <c r="GF24" s="116"/>
      <c r="GG24" s="116"/>
      <c r="GH24" s="116"/>
      <c r="GI24" s="116"/>
      <c r="GJ24" s="116"/>
      <c r="GK24" s="117"/>
      <c r="GW24" s="38"/>
      <c r="HC24" s="59"/>
      <c r="HD24" s="59"/>
      <c r="HE24" s="59"/>
      <c r="HF24" s="60"/>
    </row>
    <row r="25" spans="1:291" ht="30" customHeight="1" thickBot="1" x14ac:dyDescent="0.35">
      <c r="A25" s="35"/>
      <c r="B25" s="10" t="s">
        <v>20</v>
      </c>
      <c r="C25" s="10" t="s">
        <v>12</v>
      </c>
      <c r="D25" s="11" t="s">
        <v>220</v>
      </c>
      <c r="E25" s="11"/>
      <c r="O25" s="10" t="s">
        <v>0</v>
      </c>
      <c r="P25" s="10" t="s">
        <v>3</v>
      </c>
      <c r="Q25" s="11" t="s">
        <v>2</v>
      </c>
      <c r="AB25" s="9"/>
      <c r="AC25" s="10" t="s">
        <v>20</v>
      </c>
      <c r="AD25" s="10" t="s">
        <v>12</v>
      </c>
      <c r="AE25" s="11" t="s">
        <v>24</v>
      </c>
      <c r="AF25" s="10" t="s">
        <v>0</v>
      </c>
      <c r="AG25" s="10" t="s">
        <v>3</v>
      </c>
      <c r="AH25" s="11" t="s">
        <v>2</v>
      </c>
      <c r="AK25" s="9"/>
      <c r="AL25" s="10" t="s">
        <v>20</v>
      </c>
      <c r="AM25" s="10" t="s">
        <v>12</v>
      </c>
      <c r="AN25" s="11" t="s">
        <v>24</v>
      </c>
      <c r="AO25" s="10" t="s">
        <v>0</v>
      </c>
      <c r="AP25" s="10" t="s">
        <v>3</v>
      </c>
      <c r="AQ25" s="11" t="s">
        <v>2</v>
      </c>
      <c r="BN25" s="75"/>
      <c r="BP25" s="9"/>
      <c r="BQ25" s="10" t="s">
        <v>20</v>
      </c>
      <c r="BR25" s="10" t="s">
        <v>12</v>
      </c>
      <c r="BS25" s="11" t="s">
        <v>24</v>
      </c>
      <c r="BT25" s="10" t="s">
        <v>0</v>
      </c>
      <c r="BU25" s="10" t="s">
        <v>2</v>
      </c>
      <c r="BV25" s="10" t="s">
        <v>3</v>
      </c>
      <c r="BX25" s="41"/>
      <c r="BY25" s="62" t="s">
        <v>20</v>
      </c>
      <c r="BZ25" s="62" t="s">
        <v>12</v>
      </c>
      <c r="CA25" s="63" t="s">
        <v>24</v>
      </c>
      <c r="CB25" s="41"/>
      <c r="CC25" s="62" t="s">
        <v>0</v>
      </c>
      <c r="CD25" s="10" t="s">
        <v>2</v>
      </c>
      <c r="CE25" s="10" t="s">
        <v>3</v>
      </c>
      <c r="CQ25" s="9"/>
      <c r="CR25" s="10" t="s">
        <v>20</v>
      </c>
      <c r="CS25" s="10" t="s">
        <v>12</v>
      </c>
      <c r="CT25" s="11" t="s">
        <v>24</v>
      </c>
      <c r="CV25" s="10" t="s">
        <v>0</v>
      </c>
      <c r="CW25" s="10" t="s">
        <v>2</v>
      </c>
      <c r="CX25" s="10" t="s">
        <v>3</v>
      </c>
      <c r="CY25" s="75"/>
      <c r="CZ25" s="38"/>
      <c r="DA25" s="9"/>
      <c r="DB25" s="10" t="s">
        <v>20</v>
      </c>
      <c r="DC25" s="10" t="s">
        <v>12</v>
      </c>
      <c r="DD25" s="11" t="s">
        <v>24</v>
      </c>
      <c r="DE25" s="10" t="s">
        <v>0</v>
      </c>
      <c r="DF25" s="10" t="s">
        <v>2</v>
      </c>
      <c r="DG25" s="44" t="s">
        <v>3</v>
      </c>
      <c r="DH25" s="33"/>
      <c r="DI25" s="41"/>
      <c r="DJ25" s="62" t="s">
        <v>20</v>
      </c>
      <c r="DK25" s="62" t="s">
        <v>12</v>
      </c>
      <c r="DL25" s="63" t="s">
        <v>24</v>
      </c>
      <c r="DM25" s="41"/>
      <c r="DN25" s="62" t="s">
        <v>0</v>
      </c>
      <c r="DO25" s="62" t="s">
        <v>2</v>
      </c>
      <c r="DP25" s="62" t="s">
        <v>3</v>
      </c>
      <c r="DQ25" s="33"/>
      <c r="DR25" s="33"/>
      <c r="DS25" s="33"/>
      <c r="DT25" s="33"/>
      <c r="DU25" s="33"/>
      <c r="DV25" s="33"/>
      <c r="DW25" s="33"/>
      <c r="DX25" s="33"/>
      <c r="DY25" s="33"/>
      <c r="DZ25" s="34"/>
      <c r="EA25" s="33"/>
      <c r="EB25" s="9"/>
      <c r="EC25" s="10" t="s">
        <v>20</v>
      </c>
      <c r="ED25" s="10" t="s">
        <v>12</v>
      </c>
      <c r="EE25" s="11" t="s">
        <v>24</v>
      </c>
      <c r="EG25" s="10" t="s">
        <v>0</v>
      </c>
      <c r="EH25" s="10" t="s">
        <v>2</v>
      </c>
      <c r="EI25" s="44" t="s">
        <v>3</v>
      </c>
      <c r="EJ25" s="75"/>
      <c r="EK25" s="38"/>
      <c r="EL25" s="9"/>
      <c r="EM25" s="10" t="s">
        <v>20</v>
      </c>
      <c r="EN25" s="10" t="s">
        <v>12</v>
      </c>
      <c r="EO25" s="11" t="s">
        <v>24</v>
      </c>
      <c r="EP25" s="10" t="s">
        <v>0</v>
      </c>
      <c r="EQ25" s="10" t="s">
        <v>2</v>
      </c>
      <c r="ER25" s="44" t="s">
        <v>3</v>
      </c>
      <c r="ES25" s="33"/>
      <c r="ET25" s="41"/>
      <c r="EU25" s="62" t="s">
        <v>20</v>
      </c>
      <c r="EV25" s="62" t="s">
        <v>12</v>
      </c>
      <c r="EW25" s="63" t="s">
        <v>24</v>
      </c>
      <c r="EX25" s="41"/>
      <c r="EY25" s="62" t="s">
        <v>0</v>
      </c>
      <c r="EZ25" s="10" t="s">
        <v>2</v>
      </c>
      <c r="FA25" s="10" t="s">
        <v>3</v>
      </c>
      <c r="FB25" s="33"/>
      <c r="FC25" s="33"/>
      <c r="FD25" s="33"/>
      <c r="FE25" s="33"/>
      <c r="FF25" s="33"/>
      <c r="FG25" s="33"/>
      <c r="FH25" s="33"/>
      <c r="FI25" s="33"/>
      <c r="FJ25" s="33"/>
      <c r="FK25" s="34"/>
      <c r="FL25" s="33"/>
      <c r="FM25" s="9"/>
      <c r="FN25" s="10" t="s">
        <v>20</v>
      </c>
      <c r="FO25" s="10" t="s">
        <v>12</v>
      </c>
      <c r="FP25" s="11" t="s">
        <v>24</v>
      </c>
      <c r="FR25" s="10" t="s">
        <v>0</v>
      </c>
      <c r="FS25" s="10" t="s">
        <v>2</v>
      </c>
      <c r="FT25" s="44" t="s">
        <v>3</v>
      </c>
      <c r="FU25" s="75"/>
      <c r="FV25" s="38"/>
      <c r="FW25" s="9"/>
      <c r="FX25" s="10" t="s">
        <v>20</v>
      </c>
      <c r="FY25" s="10" t="s">
        <v>12</v>
      </c>
      <c r="FZ25" s="11" t="s">
        <v>24</v>
      </c>
      <c r="GA25" s="10" t="s">
        <v>0</v>
      </c>
      <c r="GB25" s="10" t="s">
        <v>2</v>
      </c>
      <c r="GC25" s="44" t="s">
        <v>3</v>
      </c>
      <c r="GD25" s="33"/>
      <c r="GE25" s="41"/>
      <c r="GF25" s="62" t="s">
        <v>20</v>
      </c>
      <c r="GG25" s="62" t="s">
        <v>12</v>
      </c>
      <c r="GH25" s="63" t="s">
        <v>24</v>
      </c>
      <c r="GI25" s="41"/>
      <c r="GJ25" s="62" t="s">
        <v>0</v>
      </c>
      <c r="GK25" s="62" t="s">
        <v>2</v>
      </c>
      <c r="GL25" s="62" t="s">
        <v>3</v>
      </c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8"/>
      <c r="GX25" s="9"/>
      <c r="GY25" s="10" t="s">
        <v>20</v>
      </c>
      <c r="GZ25" s="10" t="s">
        <v>12</v>
      </c>
      <c r="HA25" s="11" t="s">
        <v>24</v>
      </c>
      <c r="HC25" s="10" t="s">
        <v>0</v>
      </c>
      <c r="HD25" s="10" t="s">
        <v>2</v>
      </c>
      <c r="HE25" s="44" t="s">
        <v>3</v>
      </c>
      <c r="HF25" s="60"/>
      <c r="HG25" s="33"/>
    </row>
    <row r="26" spans="1:291" ht="30" customHeight="1" thickBot="1" x14ac:dyDescent="0.35">
      <c r="A26" s="36" t="s">
        <v>13</v>
      </c>
      <c r="B26" s="12">
        <v>1.391</v>
      </c>
      <c r="C26" s="13">
        <v>1.7989999999999999</v>
      </c>
      <c r="D26" s="14">
        <v>8.5000000000000006E-2</v>
      </c>
      <c r="N26" s="1" t="s">
        <v>13</v>
      </c>
      <c r="O26" s="12">
        <v>0.32500000000000001</v>
      </c>
      <c r="P26" s="12">
        <v>8.5999999999999993E-2</v>
      </c>
      <c r="Q26" s="12">
        <f>AVERAGE(0.502,0.495,0.14,0.037,0.038,0.1,0.033,0,)</f>
        <v>0.14944444444444444</v>
      </c>
      <c r="AB26" s="1" t="s">
        <v>13</v>
      </c>
      <c r="AC26" s="12" t="s">
        <v>124</v>
      </c>
      <c r="AD26" s="13" t="s">
        <v>135</v>
      </c>
      <c r="AE26" s="14" t="s">
        <v>146</v>
      </c>
      <c r="AF26" s="12" t="s">
        <v>157</v>
      </c>
      <c r="AG26" s="13" t="s">
        <v>168</v>
      </c>
      <c r="AH26" s="14" t="s">
        <v>179</v>
      </c>
      <c r="AK26" s="1" t="s">
        <v>13</v>
      </c>
      <c r="AL26" s="48"/>
      <c r="AM26" s="49"/>
      <c r="AN26" s="50"/>
      <c r="AO26" s="48"/>
      <c r="AP26" s="49"/>
      <c r="AQ26" s="50"/>
      <c r="BN26" s="75"/>
      <c r="BP26" s="1" t="s">
        <v>13</v>
      </c>
      <c r="BQ26" s="12">
        <v>171453068240.11301</v>
      </c>
      <c r="BR26" s="61">
        <v>1356669348569.3999</v>
      </c>
      <c r="BS26" s="14">
        <v>-2.8640438780803798E+24</v>
      </c>
      <c r="BT26" s="58">
        <v>0.33800000000000002</v>
      </c>
      <c r="BU26" s="61">
        <f>AVERAGE(0.506,0.462,0.179,0.037,0.038,0.1,0.083,0.017)</f>
        <v>0.17774999999999999</v>
      </c>
      <c r="BV26" s="61">
        <v>9.4E-2</v>
      </c>
      <c r="BX26" s="1" t="s">
        <v>13</v>
      </c>
      <c r="BY26" s="12">
        <f>BQ26-B26</f>
        <v>171453068238.72202</v>
      </c>
      <c r="BZ26" s="12">
        <f>BR26-C26</f>
        <v>1356669348567.6008</v>
      </c>
      <c r="CA26" s="12">
        <f>BS26-D26</f>
        <v>-2.8640438780803798E+24</v>
      </c>
      <c r="CB26" s="1" t="s">
        <v>13</v>
      </c>
      <c r="CC26" s="70">
        <f t="shared" ref="CC26:CC36" si="27">BT26-O26</f>
        <v>1.3000000000000012E-2</v>
      </c>
      <c r="CD26" s="132">
        <f>BU26-Q26</f>
        <v>2.8305555555555556E-2</v>
      </c>
      <c r="CE26" s="132">
        <f>BV26-P26</f>
        <v>8.0000000000000071E-3</v>
      </c>
      <c r="CQ26" s="1" t="s">
        <v>13</v>
      </c>
      <c r="CR26" s="12" t="s">
        <v>939</v>
      </c>
      <c r="CS26" s="61" t="s">
        <v>940</v>
      </c>
      <c r="CT26" s="82" t="s">
        <v>941</v>
      </c>
      <c r="CU26" s="1" t="s">
        <v>13</v>
      </c>
      <c r="CV26" s="58" t="s">
        <v>944</v>
      </c>
      <c r="CW26" s="61" t="s">
        <v>943</v>
      </c>
      <c r="CX26" s="61" t="s">
        <v>942</v>
      </c>
      <c r="CY26" s="75"/>
      <c r="CZ26" s="38"/>
      <c r="DA26" s="1" t="s">
        <v>13</v>
      </c>
      <c r="DB26" s="12">
        <v>1060499440.368</v>
      </c>
      <c r="DC26" s="13">
        <v>9316319367.2439995</v>
      </c>
      <c r="DD26" s="14">
        <v>-2.5623807886219602E+20</v>
      </c>
      <c r="DE26" s="15">
        <v>0.318</v>
      </c>
      <c r="DF26" s="15">
        <f>AVERAGE(0.474,0.468,0.177,0.037,0.038,0.1,0.033,0.05)</f>
        <v>0.172125</v>
      </c>
      <c r="DG26" s="15">
        <v>8.7999999999999995E-2</v>
      </c>
      <c r="DH26" s="33"/>
      <c r="DI26" s="1" t="s">
        <v>13</v>
      </c>
      <c r="DJ26" s="12">
        <f t="shared" ref="DJ26:DJ36" si="28">DB26-BQ26</f>
        <v>-170392568799.745</v>
      </c>
      <c r="DK26" s="12">
        <f t="shared" ref="DK26:DK36" si="29">DC26-BR26</f>
        <v>-1347353029202.156</v>
      </c>
      <c r="DL26" s="12">
        <f t="shared" ref="DL26:DL36" si="30">DD26-BS26</f>
        <v>2.8637876400015176E+24</v>
      </c>
      <c r="DM26" s="1" t="s">
        <v>13</v>
      </c>
      <c r="DN26" s="70">
        <f t="shared" ref="DN26:DN36" si="31">DE26-BT26</f>
        <v>-2.0000000000000018E-2</v>
      </c>
      <c r="DO26" s="2">
        <f t="shared" ref="DO26:DO36" si="32">DF26-BU26</f>
        <v>-5.6249999999999911E-3</v>
      </c>
      <c r="DP26" s="2">
        <f t="shared" ref="DP26:DP36" si="33">DG26-BV26</f>
        <v>-6.0000000000000053E-3</v>
      </c>
      <c r="DQ26" s="33"/>
      <c r="DR26" s="33"/>
      <c r="DS26" s="33"/>
      <c r="DT26" s="33"/>
      <c r="DU26" s="33"/>
      <c r="DV26" s="33"/>
      <c r="DW26" s="33"/>
      <c r="DX26" s="33"/>
      <c r="DY26" s="33"/>
      <c r="DZ26" s="34"/>
      <c r="EA26" s="33"/>
      <c r="EB26" s="1" t="s">
        <v>13</v>
      </c>
      <c r="EC26" s="12" t="s">
        <v>887</v>
      </c>
      <c r="ED26" s="13" t="s">
        <v>888</v>
      </c>
      <c r="EE26" s="82" t="s">
        <v>889</v>
      </c>
      <c r="EF26" s="1" t="s">
        <v>13</v>
      </c>
      <c r="EG26" s="15" t="s">
        <v>891</v>
      </c>
      <c r="EH26" s="15" t="s">
        <v>843</v>
      </c>
      <c r="EI26" s="15" t="s">
        <v>890</v>
      </c>
      <c r="EJ26" s="75"/>
      <c r="EK26" s="38"/>
      <c r="EL26" s="1" t="s">
        <v>13</v>
      </c>
      <c r="EM26" s="12">
        <v>1.2989999999999999</v>
      </c>
      <c r="EN26" s="13">
        <v>1.673</v>
      </c>
      <c r="EO26" s="14">
        <v>0.20899999999999999</v>
      </c>
      <c r="EP26" s="2">
        <v>0.34699999999999998</v>
      </c>
      <c r="EQ26" s="2">
        <f>AVERAGE(0.536,0.348,0.14,0.107,0.027,0.058,0.083,0.05)</f>
        <v>0.168625</v>
      </c>
      <c r="ER26" s="2">
        <v>0.12</v>
      </c>
      <c r="ES26" s="33"/>
      <c r="ET26" s="1" t="s">
        <v>13</v>
      </c>
      <c r="EU26" s="69">
        <f>EM26-DB26</f>
        <v>-1060499439.069</v>
      </c>
      <c r="EV26" s="69">
        <f>EN26-DC26</f>
        <v>-9316319365.5709991</v>
      </c>
      <c r="EW26" s="69">
        <f>EO26-DD26</f>
        <v>2.5623807886219602E+20</v>
      </c>
      <c r="EX26" s="1" t="s">
        <v>13</v>
      </c>
      <c r="EY26" s="70">
        <f>EP26-DE26</f>
        <v>2.899999999999997E-2</v>
      </c>
      <c r="EZ26" s="13">
        <f>EQ26-DF26</f>
        <v>-3.5000000000000031E-3</v>
      </c>
      <c r="FA26" s="133">
        <f t="shared" ref="FA26" si="34">ER26-DG26</f>
        <v>3.2000000000000001E-2</v>
      </c>
      <c r="FB26" s="33"/>
      <c r="FC26" s="33"/>
      <c r="FD26" s="33"/>
      <c r="FE26" s="33"/>
      <c r="FF26" s="33"/>
      <c r="FG26" s="33"/>
      <c r="FH26" s="33"/>
      <c r="FI26" s="33"/>
      <c r="FJ26" s="33"/>
      <c r="FK26" s="34"/>
      <c r="FL26" s="33"/>
      <c r="FM26" s="1" t="s">
        <v>13</v>
      </c>
      <c r="FN26" s="12" t="s">
        <v>827</v>
      </c>
      <c r="FO26" s="13" t="s">
        <v>828</v>
      </c>
      <c r="FP26" s="14" t="s">
        <v>829</v>
      </c>
      <c r="FQ26" s="1" t="s">
        <v>13</v>
      </c>
      <c r="FR26" s="2" t="s">
        <v>832</v>
      </c>
      <c r="FS26" s="2" t="s">
        <v>831</v>
      </c>
      <c r="FT26" s="2" t="s">
        <v>830</v>
      </c>
      <c r="FU26" s="75"/>
      <c r="FV26" s="38"/>
      <c r="FW26" s="1" t="s">
        <v>13</v>
      </c>
      <c r="FX26" s="12">
        <v>1.292</v>
      </c>
      <c r="FY26" s="13">
        <v>1.6619999999999999</v>
      </c>
      <c r="FZ26" s="14">
        <v>0.219</v>
      </c>
      <c r="GA26" s="2">
        <v>0.34799999999999998</v>
      </c>
      <c r="GB26" s="2">
        <f>AVERAGE(0.532,0.332,0.155,0.087,0.055,0.133,0.025,0.05)</f>
        <v>0.171125</v>
      </c>
      <c r="GC26" s="2">
        <v>0.11700000000000001</v>
      </c>
      <c r="GD26" s="33"/>
      <c r="GE26" s="1" t="s">
        <v>13</v>
      </c>
      <c r="GF26" s="12">
        <f>FX26-EM26</f>
        <v>-6.9999999999998952E-3</v>
      </c>
      <c r="GG26" s="12">
        <f t="shared" ref="GG26:GG36" si="35">FY26-EN26</f>
        <v>-1.1000000000000121E-2</v>
      </c>
      <c r="GH26" s="12">
        <f t="shared" ref="GH26:GH35" si="36">FZ26-EO26</f>
        <v>1.0000000000000009E-2</v>
      </c>
      <c r="GI26" s="1" t="s">
        <v>13</v>
      </c>
      <c r="GJ26" s="58">
        <f>GA26-EP26</f>
        <v>1.0000000000000009E-3</v>
      </c>
      <c r="GK26" s="2">
        <f>GB26-EQ26</f>
        <v>2.5000000000000022E-3</v>
      </c>
      <c r="GL26" s="2">
        <f>GC26-ER26</f>
        <v>-2.9999999999999888E-3</v>
      </c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8"/>
      <c r="GX26" s="1" t="s">
        <v>13</v>
      </c>
      <c r="GY26" s="12" t="s">
        <v>763</v>
      </c>
      <c r="GZ26" s="13" t="s">
        <v>764</v>
      </c>
      <c r="HA26" s="14" t="s">
        <v>765</v>
      </c>
      <c r="HB26" s="1" t="s">
        <v>13</v>
      </c>
      <c r="HC26" s="2" t="s">
        <v>768</v>
      </c>
      <c r="HD26" s="2" t="s">
        <v>767</v>
      </c>
      <c r="HE26" s="2" t="s">
        <v>766</v>
      </c>
      <c r="HF26" s="60"/>
      <c r="HG26" s="33"/>
      <c r="HH26" s="1" t="s">
        <v>13</v>
      </c>
      <c r="HI26" s="12">
        <v>1.391</v>
      </c>
      <c r="HJ26" s="12">
        <v>171453068240.11301</v>
      </c>
      <c r="HK26" s="12">
        <v>1060499440.368</v>
      </c>
      <c r="HL26" s="12">
        <v>1.2989999999999999</v>
      </c>
      <c r="HM26" s="12">
        <v>1.292</v>
      </c>
      <c r="HV26" s="1" t="s">
        <v>13</v>
      </c>
      <c r="HW26" s="13">
        <v>1.7989999999999999</v>
      </c>
      <c r="HX26" s="61">
        <v>1356669348569.3999</v>
      </c>
      <c r="HY26" s="13">
        <v>9316319367.2439995</v>
      </c>
      <c r="HZ26" s="13">
        <v>1.673</v>
      </c>
      <c r="IA26" s="13">
        <v>1.6619999999999999</v>
      </c>
      <c r="IJ26" s="1" t="s">
        <v>13</v>
      </c>
      <c r="IK26" s="14">
        <v>8.5000000000000006E-2</v>
      </c>
      <c r="IL26" s="14">
        <v>-2.8640438780803798E+24</v>
      </c>
      <c r="IM26" s="14">
        <v>-2.5623807886219602E+20</v>
      </c>
      <c r="IN26" s="14">
        <v>0.20899999999999999</v>
      </c>
      <c r="IO26" s="14">
        <v>0.219</v>
      </c>
      <c r="IX26" s="1" t="s">
        <v>13</v>
      </c>
      <c r="IY26" s="12">
        <v>0.32500000000000001</v>
      </c>
      <c r="IZ26" s="58">
        <v>0.33800000000000002</v>
      </c>
      <c r="JA26" s="15">
        <v>0.318</v>
      </c>
      <c r="JB26" s="2">
        <v>0.34699999999999998</v>
      </c>
      <c r="JC26" s="2">
        <v>0.34799999999999998</v>
      </c>
      <c r="JL26" s="1" t="s">
        <v>13</v>
      </c>
      <c r="JM26" s="12">
        <v>8.5999999999999993E-2</v>
      </c>
      <c r="JN26" s="2">
        <v>9.4E-2</v>
      </c>
      <c r="JO26" s="15">
        <v>8.7999999999999995E-2</v>
      </c>
      <c r="JP26" s="2">
        <v>0.12</v>
      </c>
      <c r="JQ26" s="2">
        <v>0.11700000000000001</v>
      </c>
      <c r="JZ26" s="1" t="s">
        <v>13</v>
      </c>
      <c r="KA26" s="12">
        <v>0.14944444444444444</v>
      </c>
      <c r="KB26" s="15">
        <v>0.17774999999999999</v>
      </c>
      <c r="KC26" s="15">
        <v>0.172125</v>
      </c>
      <c r="KD26" s="2">
        <v>0.168625</v>
      </c>
      <c r="KE26" s="2">
        <v>0.171125</v>
      </c>
    </row>
    <row r="27" spans="1:291" ht="30" customHeight="1" thickBot="1" x14ac:dyDescent="0.35">
      <c r="A27" s="36" t="s">
        <v>14</v>
      </c>
      <c r="B27" s="15">
        <v>1.363</v>
      </c>
      <c r="C27" s="2">
        <v>1.7629999999999999</v>
      </c>
      <c r="D27" s="4">
        <v>0.125</v>
      </c>
      <c r="N27" s="1" t="s">
        <v>14</v>
      </c>
      <c r="O27" s="12">
        <v>0.33700000000000002</v>
      </c>
      <c r="P27" s="12">
        <v>0.10100000000000001</v>
      </c>
      <c r="Q27" s="12">
        <f>AVERAGE(0.499,0.495,0.165,0.107,0.022,0.1,0.092,0.05,)</f>
        <v>0.17000000000000004</v>
      </c>
      <c r="AB27" s="1" t="s">
        <v>14</v>
      </c>
      <c r="AC27" s="15" t="s">
        <v>125</v>
      </c>
      <c r="AD27" s="2" t="s">
        <v>136</v>
      </c>
      <c r="AE27" s="4" t="s">
        <v>147</v>
      </c>
      <c r="AF27" s="15" t="s">
        <v>158</v>
      </c>
      <c r="AG27" s="2" t="s">
        <v>169</v>
      </c>
      <c r="AH27" s="4" t="s">
        <v>180</v>
      </c>
      <c r="AK27" s="1" t="s">
        <v>14</v>
      </c>
      <c r="AL27" s="51"/>
      <c r="AM27" s="52"/>
      <c r="AN27" s="53"/>
      <c r="AO27" s="51"/>
      <c r="AP27" s="52"/>
      <c r="AQ27" s="53"/>
      <c r="BN27" s="75"/>
      <c r="BP27" s="1" t="s">
        <v>14</v>
      </c>
      <c r="BQ27" s="15">
        <v>1.339</v>
      </c>
      <c r="BR27" s="2">
        <v>1.728</v>
      </c>
      <c r="BS27" s="4">
        <v>0.158</v>
      </c>
      <c r="BT27" s="58">
        <v>0.35799999999999998</v>
      </c>
      <c r="BU27" s="2">
        <f>AVERAGE(0.521,0.518,0.207,0.207,0.025,0.1,0.067,0)</f>
        <v>0.20562500000000003</v>
      </c>
      <c r="BV27" s="2">
        <v>0.121</v>
      </c>
      <c r="BX27" s="1" t="s">
        <v>14</v>
      </c>
      <c r="BY27" s="12">
        <f t="shared" ref="BY27:BY36" si="37">BQ27-B27</f>
        <v>-2.4000000000000021E-2</v>
      </c>
      <c r="BZ27" s="12">
        <f t="shared" ref="BZ27:BZ36" si="38">BR27-C27</f>
        <v>-3.499999999999992E-2</v>
      </c>
      <c r="CA27" s="12">
        <f t="shared" ref="CA27:CA36" si="39">BS27-D27</f>
        <v>3.3000000000000002E-2</v>
      </c>
      <c r="CB27" s="1" t="s">
        <v>14</v>
      </c>
      <c r="CC27" s="70">
        <f t="shared" si="27"/>
        <v>2.0999999999999963E-2</v>
      </c>
      <c r="CD27" s="131">
        <f t="shared" ref="CD27:CD36" si="40">BU27-Q27</f>
        <v>3.562499999999999E-2</v>
      </c>
      <c r="CE27" s="131">
        <f t="shared" ref="CE27:CE36" si="41">BV27-P27</f>
        <v>1.999999999999999E-2</v>
      </c>
      <c r="CQ27" s="1" t="s">
        <v>14</v>
      </c>
      <c r="CR27" s="15" t="s">
        <v>945</v>
      </c>
      <c r="CS27" s="2" t="s">
        <v>946</v>
      </c>
      <c r="CT27" s="4" t="s">
        <v>947</v>
      </c>
      <c r="CU27" s="1" t="s">
        <v>14</v>
      </c>
      <c r="CV27" s="58" t="s">
        <v>950</v>
      </c>
      <c r="CW27" s="2" t="s">
        <v>949</v>
      </c>
      <c r="CX27" s="2" t="s">
        <v>948</v>
      </c>
      <c r="CY27" s="75"/>
      <c r="CZ27" s="38"/>
      <c r="DA27" s="1" t="s">
        <v>14</v>
      </c>
      <c r="DB27" s="15">
        <v>1.2829999999999999</v>
      </c>
      <c r="DC27" s="2">
        <v>1.631</v>
      </c>
      <c r="DD27" s="4">
        <v>0.248</v>
      </c>
      <c r="DE27" s="15">
        <v>0.32400000000000001</v>
      </c>
      <c r="DF27" s="15">
        <f>AVERAGE(0.491,0.443,0.149,0.167,0,0.125,0.1,0)</f>
        <v>0.18437500000000001</v>
      </c>
      <c r="DG27" s="15">
        <v>0.112</v>
      </c>
      <c r="DH27" s="33"/>
      <c r="DI27" s="1" t="s">
        <v>14</v>
      </c>
      <c r="DJ27" s="69">
        <f t="shared" si="28"/>
        <v>-5.600000000000005E-2</v>
      </c>
      <c r="DK27" s="69">
        <f t="shared" si="29"/>
        <v>-9.6999999999999975E-2</v>
      </c>
      <c r="DL27" s="69">
        <f t="shared" si="30"/>
        <v>0.09</v>
      </c>
      <c r="DM27" s="1" t="s">
        <v>14</v>
      </c>
      <c r="DN27" s="70">
        <f t="shared" si="31"/>
        <v>-3.3999999999999975E-2</v>
      </c>
      <c r="DO27" s="2">
        <f t="shared" si="32"/>
        <v>-2.1250000000000019E-2</v>
      </c>
      <c r="DP27" s="131">
        <f t="shared" si="33"/>
        <v>-8.9999999999999941E-3</v>
      </c>
      <c r="DQ27" s="33"/>
      <c r="DR27" s="33"/>
      <c r="DS27" s="33"/>
      <c r="DT27" s="33"/>
      <c r="DU27" s="33"/>
      <c r="DV27" s="33"/>
      <c r="DW27" s="33"/>
      <c r="DX27" s="33"/>
      <c r="DY27" s="33"/>
      <c r="DZ27" s="34"/>
      <c r="EA27" s="33"/>
      <c r="EB27" s="1" t="s">
        <v>14</v>
      </c>
      <c r="EC27" s="15" t="s">
        <v>892</v>
      </c>
      <c r="ED27" s="2" t="s">
        <v>893</v>
      </c>
      <c r="EE27" s="4" t="s">
        <v>894</v>
      </c>
      <c r="EF27" s="1" t="s">
        <v>14</v>
      </c>
      <c r="EG27" s="15" t="s">
        <v>774</v>
      </c>
      <c r="EH27" s="15" t="s">
        <v>895</v>
      </c>
      <c r="EI27" s="15" t="s">
        <v>896</v>
      </c>
      <c r="EJ27" s="75"/>
      <c r="EK27" s="38"/>
      <c r="EL27" s="1" t="s">
        <v>14</v>
      </c>
      <c r="EM27" s="15">
        <v>1.268</v>
      </c>
      <c r="EN27" s="2">
        <v>1.623</v>
      </c>
      <c r="EO27" s="4">
        <v>0.253</v>
      </c>
      <c r="EP27" s="2">
        <v>0.34200000000000003</v>
      </c>
      <c r="EQ27" s="2">
        <f>AVERAGE(0.533,0.39,0.142,0.017,0.014,0.15,0.175,0)</f>
        <v>0.17762499999999998</v>
      </c>
      <c r="ER27" s="2">
        <v>0.11799999999999999</v>
      </c>
      <c r="ES27" s="33"/>
      <c r="ET27" s="1" t="s">
        <v>14</v>
      </c>
      <c r="EU27" s="12">
        <f t="shared" ref="EU27:EU36" si="42">EM27-DB27</f>
        <v>-1.4999999999999902E-2</v>
      </c>
      <c r="EV27" s="12">
        <f t="shared" ref="EV27:EV36" si="43">EN27-DC27</f>
        <v>-8.0000000000000071E-3</v>
      </c>
      <c r="EW27" s="12">
        <f t="shared" ref="EW27:EW35" si="44">EO27-DD27</f>
        <v>5.0000000000000044E-3</v>
      </c>
      <c r="EX27" s="1" t="s">
        <v>14</v>
      </c>
      <c r="EY27" s="58">
        <f t="shared" ref="EY27:EY36" si="45">EP27-DE27</f>
        <v>1.8000000000000016E-2</v>
      </c>
      <c r="EZ27" s="2">
        <f t="shared" ref="EZ27:EZ36" si="46">EQ27-DF27</f>
        <v>-6.7500000000000338E-3</v>
      </c>
      <c r="FA27" s="2">
        <f t="shared" ref="FA27:FA35" si="47">ER27-DG27</f>
        <v>5.9999999999999915E-3</v>
      </c>
      <c r="FB27" s="33"/>
      <c r="FC27" s="33"/>
      <c r="FD27" s="33"/>
      <c r="FE27" s="33"/>
      <c r="FF27" s="33"/>
      <c r="FG27" s="33"/>
      <c r="FH27" s="33"/>
      <c r="FI27" s="33"/>
      <c r="FJ27" s="33"/>
      <c r="FK27" s="34"/>
      <c r="FL27" s="33"/>
      <c r="FM27" s="1" t="s">
        <v>14</v>
      </c>
      <c r="FN27" s="15" t="s">
        <v>833</v>
      </c>
      <c r="FO27" s="2" t="s">
        <v>834</v>
      </c>
      <c r="FP27" s="4" t="s">
        <v>835</v>
      </c>
      <c r="FQ27" s="1" t="s">
        <v>14</v>
      </c>
      <c r="FR27" s="2" t="s">
        <v>838</v>
      </c>
      <c r="FS27" s="2" t="s">
        <v>837</v>
      </c>
      <c r="FT27" s="2" t="s">
        <v>836</v>
      </c>
      <c r="FU27" s="75"/>
      <c r="FV27" s="38"/>
      <c r="FW27" s="1" t="s">
        <v>14</v>
      </c>
      <c r="FX27" s="15">
        <v>1.284</v>
      </c>
      <c r="FY27" s="2">
        <v>1.6459999999999999</v>
      </c>
      <c r="FZ27" s="4">
        <v>0.23400000000000001</v>
      </c>
      <c r="GA27" s="2">
        <v>0.32400000000000001</v>
      </c>
      <c r="GB27" s="2">
        <f>AVERAGE(0.51,0.39,0.127,0.067,0.014,0.1,0.025,0)</f>
        <v>0.15412500000000001</v>
      </c>
      <c r="GC27" s="2">
        <v>9.8000000000000004E-2</v>
      </c>
      <c r="GD27" s="33"/>
      <c r="GE27" s="1" t="s">
        <v>14</v>
      </c>
      <c r="GF27" s="12">
        <f t="shared" ref="GF27:GF36" si="48">FX27-EM27</f>
        <v>1.6000000000000014E-2</v>
      </c>
      <c r="GG27" s="12">
        <f t="shared" si="35"/>
        <v>2.2999999999999909E-2</v>
      </c>
      <c r="GH27" s="12">
        <f t="shared" si="36"/>
        <v>-1.8999999999999989E-2</v>
      </c>
      <c r="GI27" s="1" t="s">
        <v>14</v>
      </c>
      <c r="GJ27" s="70">
        <f t="shared" ref="GJ27:GJ36" si="49">GA27-EP27</f>
        <v>-1.8000000000000016E-2</v>
      </c>
      <c r="GK27" s="2">
        <f t="shared" ref="GK27:GK36" si="50">GB27-EQ27</f>
        <v>-2.3499999999999965E-2</v>
      </c>
      <c r="GL27" s="131">
        <f t="shared" ref="GL27:GL36" si="51">GC27-ER27</f>
        <v>-1.999999999999999E-2</v>
      </c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8"/>
      <c r="GX27" s="1" t="s">
        <v>14</v>
      </c>
      <c r="GY27" s="15" t="s">
        <v>769</v>
      </c>
      <c r="GZ27" s="2" t="s">
        <v>770</v>
      </c>
      <c r="HA27" s="4" t="s">
        <v>771</v>
      </c>
      <c r="HB27" s="1" t="s">
        <v>14</v>
      </c>
      <c r="HC27" s="2" t="s">
        <v>774</v>
      </c>
      <c r="HD27" s="2" t="s">
        <v>773</v>
      </c>
      <c r="HE27" s="2" t="s">
        <v>772</v>
      </c>
      <c r="HF27" s="60"/>
      <c r="HG27" s="33"/>
      <c r="HH27" s="1" t="s">
        <v>14</v>
      </c>
      <c r="HI27" s="15">
        <v>1.363</v>
      </c>
      <c r="HJ27" s="15">
        <v>1.339</v>
      </c>
      <c r="HK27" s="15">
        <v>1.2829999999999999</v>
      </c>
      <c r="HL27" s="15">
        <v>1.268</v>
      </c>
      <c r="HM27" s="15">
        <v>1.284</v>
      </c>
      <c r="HV27" s="1" t="s">
        <v>14</v>
      </c>
      <c r="HW27" s="2">
        <v>1.7629999999999999</v>
      </c>
      <c r="HX27" s="2">
        <v>1.728</v>
      </c>
      <c r="HY27" s="2">
        <v>1.631</v>
      </c>
      <c r="HZ27" s="2">
        <v>1.623</v>
      </c>
      <c r="IA27" s="2">
        <v>1.6459999999999999</v>
      </c>
      <c r="IJ27" s="1" t="s">
        <v>14</v>
      </c>
      <c r="IK27" s="4">
        <v>0.125</v>
      </c>
      <c r="IL27" s="4">
        <v>0.158</v>
      </c>
      <c r="IM27" s="4">
        <v>0.248</v>
      </c>
      <c r="IN27" s="4">
        <v>0.253</v>
      </c>
      <c r="IO27" s="4">
        <v>0.23400000000000001</v>
      </c>
      <c r="IX27" s="1" t="s">
        <v>14</v>
      </c>
      <c r="IY27" s="12">
        <v>0.33700000000000002</v>
      </c>
      <c r="IZ27" s="58">
        <v>0.35799999999999998</v>
      </c>
      <c r="JA27" s="15">
        <v>0.32400000000000001</v>
      </c>
      <c r="JB27" s="2">
        <v>0.34200000000000003</v>
      </c>
      <c r="JC27" s="2">
        <v>0.32400000000000001</v>
      </c>
      <c r="JL27" s="1" t="s">
        <v>14</v>
      </c>
      <c r="JM27" s="12">
        <v>0.10100000000000001</v>
      </c>
      <c r="JN27" s="2">
        <v>0.121</v>
      </c>
      <c r="JO27" s="15">
        <v>0.112</v>
      </c>
      <c r="JP27" s="2">
        <v>0.11799999999999999</v>
      </c>
      <c r="JQ27" s="2">
        <v>9.8000000000000004E-2</v>
      </c>
      <c r="JZ27" s="1" t="s">
        <v>14</v>
      </c>
      <c r="KA27" s="12">
        <v>0.17000000000000004</v>
      </c>
      <c r="KB27" s="15">
        <v>0.20562500000000003</v>
      </c>
      <c r="KC27" s="15">
        <v>0.18437500000000001</v>
      </c>
      <c r="KD27" s="2">
        <v>0.17762499999999998</v>
      </c>
      <c r="KE27" s="2">
        <v>0.15412500000000001</v>
      </c>
    </row>
    <row r="28" spans="1:291" ht="30" customHeight="1" thickBot="1" x14ac:dyDescent="0.35">
      <c r="A28" s="36" t="s">
        <v>15</v>
      </c>
      <c r="B28" s="15">
        <v>1.3160000000000001</v>
      </c>
      <c r="C28" s="2">
        <v>1.66</v>
      </c>
      <c r="D28" s="4">
        <v>0.221</v>
      </c>
      <c r="N28" s="1" t="s">
        <v>15</v>
      </c>
      <c r="O28" s="12">
        <v>0.29499999999999998</v>
      </c>
      <c r="P28" s="12">
        <v>9.1999999999999998E-2</v>
      </c>
      <c r="Q28" s="12">
        <f>AVERAGE(0.454,0.432,0.125,0.017,0.049,0,0,0,)</f>
        <v>0.11966666666666666</v>
      </c>
      <c r="AB28" s="1" t="s">
        <v>15</v>
      </c>
      <c r="AC28" s="15" t="s">
        <v>126</v>
      </c>
      <c r="AD28" s="2" t="s">
        <v>137</v>
      </c>
      <c r="AE28" s="4" t="s">
        <v>148</v>
      </c>
      <c r="AF28" s="15" t="s">
        <v>159</v>
      </c>
      <c r="AG28" s="2" t="s">
        <v>170</v>
      </c>
      <c r="AH28" s="4" t="s">
        <v>181</v>
      </c>
      <c r="AK28" s="1" t="s">
        <v>15</v>
      </c>
      <c r="AL28" s="51"/>
      <c r="AM28" s="52"/>
      <c r="AN28" s="53"/>
      <c r="AO28" s="51"/>
      <c r="AP28" s="52"/>
      <c r="AQ28" s="53"/>
      <c r="BN28" s="75"/>
      <c r="BP28" s="1" t="s">
        <v>15</v>
      </c>
      <c r="BQ28" s="15">
        <v>1.569</v>
      </c>
      <c r="BR28" s="2">
        <v>1.909</v>
      </c>
      <c r="BS28" s="4">
        <v>-2.1000000000000001E-2</v>
      </c>
      <c r="BT28" s="58">
        <v>0.04</v>
      </c>
      <c r="BU28" s="2">
        <f>AVERAGE(0,0.9,0,0,0,0,0,0)</f>
        <v>0.1125</v>
      </c>
      <c r="BV28" s="2">
        <v>0</v>
      </c>
      <c r="BX28" s="1" t="s">
        <v>15</v>
      </c>
      <c r="BY28" s="12">
        <f t="shared" si="37"/>
        <v>0.25299999999999989</v>
      </c>
      <c r="BZ28" s="12">
        <f t="shared" si="38"/>
        <v>0.24900000000000011</v>
      </c>
      <c r="CA28" s="12">
        <f t="shared" si="39"/>
        <v>-0.24199999999999999</v>
      </c>
      <c r="CB28" s="1" t="s">
        <v>15</v>
      </c>
      <c r="CC28" s="70">
        <f t="shared" si="27"/>
        <v>-0.255</v>
      </c>
      <c r="CD28" s="131">
        <f t="shared" si="40"/>
        <v>-7.1666666666666545E-3</v>
      </c>
      <c r="CE28" s="2">
        <f t="shared" si="41"/>
        <v>-9.1999999999999998E-2</v>
      </c>
      <c r="CQ28" s="1" t="s">
        <v>15</v>
      </c>
      <c r="CR28" s="15" t="s">
        <v>951</v>
      </c>
      <c r="CS28" s="2" t="s">
        <v>952</v>
      </c>
      <c r="CT28" s="32" t="s">
        <v>953</v>
      </c>
      <c r="CU28" s="1" t="s">
        <v>15</v>
      </c>
      <c r="CV28" s="58" t="s">
        <v>955</v>
      </c>
      <c r="CW28" s="2" t="s">
        <v>954</v>
      </c>
      <c r="CX28" s="2" t="s">
        <v>103</v>
      </c>
      <c r="CY28" s="75"/>
      <c r="CZ28" s="38"/>
      <c r="DA28" s="1" t="s">
        <v>15</v>
      </c>
      <c r="DB28" s="15">
        <v>1.4390000000000001</v>
      </c>
      <c r="DC28" s="2">
        <v>2.3780000000000001</v>
      </c>
      <c r="DD28" s="4">
        <v>-0.58399999999999996</v>
      </c>
      <c r="DE28" s="15">
        <v>0.53200000000000003</v>
      </c>
      <c r="DF28" s="15">
        <f>AVERAGE(1,0,0,0,0,0,0,0)</f>
        <v>0.125</v>
      </c>
      <c r="DG28" s="15">
        <v>0</v>
      </c>
      <c r="DH28" s="33"/>
      <c r="DI28" s="1" t="s">
        <v>15</v>
      </c>
      <c r="DJ28" s="69">
        <f t="shared" si="28"/>
        <v>-0.12999999999999989</v>
      </c>
      <c r="DK28" s="69">
        <f t="shared" si="29"/>
        <v>0.46900000000000008</v>
      </c>
      <c r="DL28" s="69">
        <f t="shared" si="30"/>
        <v>-0.56299999999999994</v>
      </c>
      <c r="DM28" s="1" t="s">
        <v>15</v>
      </c>
      <c r="DN28" s="70">
        <f t="shared" si="31"/>
        <v>0.49200000000000005</v>
      </c>
      <c r="DO28" s="2">
        <f t="shared" si="32"/>
        <v>1.2499999999999997E-2</v>
      </c>
      <c r="DP28" s="2">
        <f t="shared" si="33"/>
        <v>0</v>
      </c>
      <c r="DQ28" s="33"/>
      <c r="DR28" s="33"/>
      <c r="DS28" s="33"/>
      <c r="DT28" s="33"/>
      <c r="DU28" s="33"/>
      <c r="DV28" s="33"/>
      <c r="DW28" s="33"/>
      <c r="DX28" s="33"/>
      <c r="DY28" s="33"/>
      <c r="DZ28" s="34"/>
      <c r="EA28" s="33"/>
      <c r="EB28" s="1" t="s">
        <v>15</v>
      </c>
      <c r="EC28" s="15" t="s">
        <v>775</v>
      </c>
      <c r="ED28" s="2" t="s">
        <v>776</v>
      </c>
      <c r="EE28" s="32" t="s">
        <v>777</v>
      </c>
      <c r="EF28" s="1" t="s">
        <v>15</v>
      </c>
      <c r="EG28" s="15" t="s">
        <v>779</v>
      </c>
      <c r="EH28" s="15" t="s">
        <v>778</v>
      </c>
      <c r="EI28" s="15" t="s">
        <v>103</v>
      </c>
      <c r="EJ28" s="75"/>
      <c r="EK28" s="38"/>
      <c r="EL28" s="1" t="s">
        <v>15</v>
      </c>
      <c r="EM28" s="15">
        <v>1.4390000000000001</v>
      </c>
      <c r="EN28" s="2">
        <v>2.3780000000000001</v>
      </c>
      <c r="EO28" s="4">
        <v>-0.58399999999999996</v>
      </c>
      <c r="EP28" s="2">
        <v>0.53200000000000003</v>
      </c>
      <c r="EQ28" s="2">
        <f>AVERAGE(1,0,0,0,0,0,0,0)</f>
        <v>0.125</v>
      </c>
      <c r="ER28" s="2">
        <v>0</v>
      </c>
      <c r="ES28" s="33"/>
      <c r="ET28" s="1" t="s">
        <v>15</v>
      </c>
      <c r="EU28" s="12">
        <f t="shared" si="42"/>
        <v>0</v>
      </c>
      <c r="EV28" s="12">
        <f t="shared" si="43"/>
        <v>0</v>
      </c>
      <c r="EW28" s="12">
        <f t="shared" si="44"/>
        <v>0</v>
      </c>
      <c r="EX28" s="1" t="s">
        <v>15</v>
      </c>
      <c r="EY28" s="58">
        <f t="shared" si="45"/>
        <v>0</v>
      </c>
      <c r="EZ28" s="2">
        <f t="shared" si="46"/>
        <v>0</v>
      </c>
      <c r="FA28" s="2">
        <f t="shared" si="47"/>
        <v>0</v>
      </c>
      <c r="FB28" s="33"/>
      <c r="FC28" s="33"/>
      <c r="FD28" s="33"/>
      <c r="FE28" s="33"/>
      <c r="FF28" s="33"/>
      <c r="FG28" s="33"/>
      <c r="FH28" s="33"/>
      <c r="FI28" s="33"/>
      <c r="FJ28" s="33"/>
      <c r="FK28" s="34"/>
      <c r="FL28" s="33"/>
      <c r="FM28" s="1" t="s">
        <v>15</v>
      </c>
      <c r="FN28" s="15" t="s">
        <v>775</v>
      </c>
      <c r="FO28" s="2" t="s">
        <v>776</v>
      </c>
      <c r="FP28" s="32" t="s">
        <v>777</v>
      </c>
      <c r="FQ28" s="1" t="s">
        <v>15</v>
      </c>
      <c r="FR28" s="2" t="s">
        <v>779</v>
      </c>
      <c r="FS28" s="2" t="s">
        <v>778</v>
      </c>
      <c r="FT28" s="2" t="s">
        <v>103</v>
      </c>
      <c r="FU28" s="75"/>
      <c r="FV28" s="38"/>
      <c r="FW28" s="1" t="s">
        <v>15</v>
      </c>
      <c r="FX28" s="15">
        <v>1.4390000000000001</v>
      </c>
      <c r="FY28" s="2">
        <v>2.3780000000000001</v>
      </c>
      <c r="FZ28" s="4">
        <v>-0.58399999999999996</v>
      </c>
      <c r="GA28" s="2">
        <v>0.53200000000000003</v>
      </c>
      <c r="GB28" s="2">
        <f>AVERAGE(1,0,0,0,0,0,0,0)</f>
        <v>0.125</v>
      </c>
      <c r="GC28" s="2">
        <v>0</v>
      </c>
      <c r="GD28" s="33"/>
      <c r="GE28" s="1" t="s">
        <v>15</v>
      </c>
      <c r="GF28" s="12">
        <f t="shared" si="48"/>
        <v>0</v>
      </c>
      <c r="GG28" s="12">
        <f t="shared" si="35"/>
        <v>0</v>
      </c>
      <c r="GH28" s="12">
        <f t="shared" si="36"/>
        <v>0</v>
      </c>
      <c r="GI28" s="1" t="s">
        <v>15</v>
      </c>
      <c r="GJ28" s="58">
        <f t="shared" si="49"/>
        <v>0</v>
      </c>
      <c r="GK28" s="2">
        <f t="shared" si="50"/>
        <v>0</v>
      </c>
      <c r="GL28" s="2">
        <f t="shared" si="51"/>
        <v>0</v>
      </c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8"/>
      <c r="GX28" s="1" t="s">
        <v>15</v>
      </c>
      <c r="GY28" s="15" t="s">
        <v>775</v>
      </c>
      <c r="GZ28" s="2" t="s">
        <v>776</v>
      </c>
      <c r="HA28" s="32" t="s">
        <v>777</v>
      </c>
      <c r="HB28" s="1" t="s">
        <v>15</v>
      </c>
      <c r="HC28" s="2" t="s">
        <v>779</v>
      </c>
      <c r="HD28" s="2" t="s">
        <v>778</v>
      </c>
      <c r="HE28" s="2" t="s">
        <v>103</v>
      </c>
      <c r="HF28" s="60"/>
      <c r="HG28" s="33"/>
      <c r="HH28" s="1" t="s">
        <v>15</v>
      </c>
      <c r="HI28" s="15">
        <v>1.3160000000000001</v>
      </c>
      <c r="HJ28" s="15">
        <v>1.569</v>
      </c>
      <c r="HK28" s="15">
        <v>1.4390000000000001</v>
      </c>
      <c r="HL28" s="15">
        <v>1.4390000000000001</v>
      </c>
      <c r="HM28" s="15">
        <v>1.4390000000000001</v>
      </c>
      <c r="HV28" s="1" t="s">
        <v>15</v>
      </c>
      <c r="HW28" s="2">
        <v>1.66</v>
      </c>
      <c r="HX28" s="2">
        <v>1.909</v>
      </c>
      <c r="HY28" s="2">
        <v>2.3780000000000001</v>
      </c>
      <c r="HZ28" s="2">
        <v>2.3780000000000001</v>
      </c>
      <c r="IA28" s="2">
        <v>2.3780000000000001</v>
      </c>
      <c r="IJ28" s="1" t="s">
        <v>15</v>
      </c>
      <c r="IK28" s="4">
        <v>0.221</v>
      </c>
      <c r="IL28" s="4">
        <v>-2.1000000000000001E-2</v>
      </c>
      <c r="IM28" s="4">
        <v>-0.58399999999999996</v>
      </c>
      <c r="IN28" s="4">
        <v>-0.58399999999999996</v>
      </c>
      <c r="IO28" s="4">
        <v>-0.58399999999999996</v>
      </c>
      <c r="IX28" s="1" t="s">
        <v>15</v>
      </c>
      <c r="IY28" s="12">
        <v>0.29499999999999998</v>
      </c>
      <c r="IZ28" s="58">
        <v>0.04</v>
      </c>
      <c r="JA28" s="15">
        <v>0.53200000000000003</v>
      </c>
      <c r="JB28" s="2">
        <v>0.53200000000000003</v>
      </c>
      <c r="JC28" s="2">
        <v>0.53200000000000003</v>
      </c>
      <c r="JL28" s="1" t="s">
        <v>15</v>
      </c>
      <c r="JM28" s="12">
        <v>9.1999999999999998E-2</v>
      </c>
      <c r="JN28" s="2">
        <v>0</v>
      </c>
      <c r="JO28" s="15">
        <v>0</v>
      </c>
      <c r="JP28" s="2">
        <v>0</v>
      </c>
      <c r="JQ28" s="2">
        <v>0</v>
      </c>
      <c r="JZ28" s="1" t="s">
        <v>15</v>
      </c>
      <c r="KA28" s="12">
        <v>0.11966666666666666</v>
      </c>
      <c r="KB28" s="15">
        <v>0.1125</v>
      </c>
      <c r="KC28" s="15">
        <v>0.125</v>
      </c>
      <c r="KD28" s="2">
        <v>0.125</v>
      </c>
      <c r="KE28" s="2">
        <v>0.125</v>
      </c>
    </row>
    <row r="29" spans="1:291" ht="30" customHeight="1" thickBot="1" x14ac:dyDescent="0.35">
      <c r="A29" s="36" t="s">
        <v>16</v>
      </c>
      <c r="B29" s="15">
        <v>1.1950000000000001</v>
      </c>
      <c r="C29" s="2">
        <v>1.7430000000000001</v>
      </c>
      <c r="D29" s="4">
        <v>0.13800000000000001</v>
      </c>
      <c r="N29" s="1" t="s">
        <v>16</v>
      </c>
      <c r="O29" s="12">
        <v>0.47199999999999998</v>
      </c>
      <c r="P29" s="12">
        <v>0.121</v>
      </c>
      <c r="Q29" s="12">
        <f>AVERAGE(0.839,0.112,0.068,0.017,0,0.125,0.1,0,)</f>
        <v>0.1401111111111111</v>
      </c>
      <c r="AB29" s="1" t="s">
        <v>16</v>
      </c>
      <c r="AC29" s="15" t="s">
        <v>127</v>
      </c>
      <c r="AD29" s="2" t="s">
        <v>138</v>
      </c>
      <c r="AE29" s="4" t="s">
        <v>149</v>
      </c>
      <c r="AF29" s="15" t="s">
        <v>160</v>
      </c>
      <c r="AG29" s="2" t="s">
        <v>171</v>
      </c>
      <c r="AH29" s="4" t="s">
        <v>182</v>
      </c>
      <c r="AK29" s="1" t="s">
        <v>16</v>
      </c>
      <c r="AL29" s="51"/>
      <c r="AM29" s="52"/>
      <c r="AN29" s="53"/>
      <c r="AO29" s="51"/>
      <c r="AP29" s="52"/>
      <c r="AQ29" s="53"/>
      <c r="BN29" s="75"/>
      <c r="BP29" s="1" t="s">
        <v>16</v>
      </c>
      <c r="BQ29" s="15">
        <v>1.18</v>
      </c>
      <c r="BR29" s="2">
        <v>1.6819999999999999</v>
      </c>
      <c r="BS29" s="4">
        <v>0.19600000000000001</v>
      </c>
      <c r="BT29" s="58">
        <v>0.46800000000000003</v>
      </c>
      <c r="BU29" s="2">
        <f>AVERAGE(0.815,0.098,0.107,0.117,0.024,0,0,0)</f>
        <v>0.145125</v>
      </c>
      <c r="BV29" s="2">
        <v>0.154</v>
      </c>
      <c r="BX29" s="1" t="s">
        <v>16</v>
      </c>
      <c r="BY29" s="12">
        <f t="shared" si="37"/>
        <v>-1.5000000000000124E-2</v>
      </c>
      <c r="BZ29" s="12">
        <f t="shared" si="38"/>
        <v>-6.1000000000000165E-2</v>
      </c>
      <c r="CA29" s="12">
        <f t="shared" si="39"/>
        <v>5.7999999999999996E-2</v>
      </c>
      <c r="CB29" s="1" t="s">
        <v>16</v>
      </c>
      <c r="CC29" s="70">
        <f t="shared" si="27"/>
        <v>-3.999999999999948E-3</v>
      </c>
      <c r="CD29" s="131">
        <f t="shared" si="40"/>
        <v>5.0138888888889011E-3</v>
      </c>
      <c r="CE29" s="131">
        <f t="shared" si="41"/>
        <v>3.3000000000000002E-2</v>
      </c>
      <c r="CQ29" s="1" t="s">
        <v>16</v>
      </c>
      <c r="CR29" s="15" t="s">
        <v>956</v>
      </c>
      <c r="CS29" s="2" t="s">
        <v>957</v>
      </c>
      <c r="CT29" s="4" t="s">
        <v>958</v>
      </c>
      <c r="CU29" s="1" t="s">
        <v>16</v>
      </c>
      <c r="CV29" s="58" t="s">
        <v>961</v>
      </c>
      <c r="CW29" s="2" t="s">
        <v>960</v>
      </c>
      <c r="CX29" s="2" t="s">
        <v>959</v>
      </c>
      <c r="CY29" s="75"/>
      <c r="CZ29" s="38"/>
      <c r="DA29" s="1" t="s">
        <v>16</v>
      </c>
      <c r="DB29" s="15">
        <v>1.1779999999999999</v>
      </c>
      <c r="DC29" s="2">
        <v>1.671</v>
      </c>
      <c r="DD29" s="4">
        <v>0.20399999999999999</v>
      </c>
      <c r="DE29" s="15">
        <v>0.46600000000000003</v>
      </c>
      <c r="DF29" s="15">
        <f>AVERAGE(0.799,0.173,0.119,0.1,0.051,0,0,0)</f>
        <v>0.15525</v>
      </c>
      <c r="DG29" s="15">
        <v>0.161</v>
      </c>
      <c r="DH29" s="33"/>
      <c r="DI29" s="1" t="s">
        <v>16</v>
      </c>
      <c r="DJ29" s="12">
        <f t="shared" si="28"/>
        <v>-2.0000000000000018E-3</v>
      </c>
      <c r="DK29" s="69">
        <f t="shared" si="29"/>
        <v>-1.0999999999999899E-2</v>
      </c>
      <c r="DL29" s="69">
        <f t="shared" si="30"/>
        <v>7.9999999999999793E-3</v>
      </c>
      <c r="DM29" s="1" t="s">
        <v>16</v>
      </c>
      <c r="DN29" s="58">
        <f t="shared" si="31"/>
        <v>-2.0000000000000018E-3</v>
      </c>
      <c r="DO29" s="2">
        <f t="shared" si="32"/>
        <v>1.0124999999999995E-2</v>
      </c>
      <c r="DP29" s="2">
        <f t="shared" si="33"/>
        <v>7.0000000000000062E-3</v>
      </c>
      <c r="DQ29" s="33"/>
      <c r="DR29" s="33"/>
      <c r="DS29" s="33"/>
      <c r="DT29" s="33"/>
      <c r="DU29" s="33"/>
      <c r="DV29" s="33"/>
      <c r="DW29" s="33"/>
      <c r="DX29" s="33"/>
      <c r="DY29" s="33"/>
      <c r="DZ29" s="34"/>
      <c r="EA29" s="33"/>
      <c r="EB29" s="1" t="s">
        <v>16</v>
      </c>
      <c r="EC29" s="15" t="s">
        <v>897</v>
      </c>
      <c r="ED29" s="2" t="s">
        <v>898</v>
      </c>
      <c r="EE29" s="4" t="s">
        <v>899</v>
      </c>
      <c r="EF29" s="1" t="s">
        <v>16</v>
      </c>
      <c r="EG29" s="15" t="s">
        <v>902</v>
      </c>
      <c r="EH29" s="15" t="s">
        <v>901</v>
      </c>
      <c r="EI29" s="15" t="s">
        <v>900</v>
      </c>
      <c r="EJ29" s="75"/>
      <c r="EK29" s="38"/>
      <c r="EL29" s="1" t="s">
        <v>16</v>
      </c>
      <c r="EM29" s="15">
        <v>1.1579999999999999</v>
      </c>
      <c r="EN29" s="2">
        <v>1.7070000000000001</v>
      </c>
      <c r="EO29" s="4">
        <v>0.17199999999999999</v>
      </c>
      <c r="EP29" s="2">
        <v>0.46800000000000003</v>
      </c>
      <c r="EQ29" s="2">
        <f>AVERAGE(0.809,0.133,0.08,0.187,0.064,0.1,0,0)</f>
        <v>0.17162500000000003</v>
      </c>
      <c r="ER29" s="2">
        <v>0.14000000000000001</v>
      </c>
      <c r="ES29" s="33"/>
      <c r="ET29" s="1" t="s">
        <v>16</v>
      </c>
      <c r="EU29" s="12">
        <f t="shared" si="42"/>
        <v>-2.0000000000000018E-2</v>
      </c>
      <c r="EV29" s="12">
        <f t="shared" si="43"/>
        <v>3.6000000000000032E-2</v>
      </c>
      <c r="EW29" s="12">
        <f t="shared" si="44"/>
        <v>-3.2000000000000001E-2</v>
      </c>
      <c r="EX29" s="1" t="s">
        <v>16</v>
      </c>
      <c r="EY29" s="58">
        <f t="shared" si="45"/>
        <v>2.0000000000000018E-3</v>
      </c>
      <c r="EZ29" s="2">
        <f t="shared" si="46"/>
        <v>1.6375000000000028E-2</v>
      </c>
      <c r="FA29" s="2">
        <f t="shared" si="47"/>
        <v>-2.0999999999999991E-2</v>
      </c>
      <c r="FB29" s="33"/>
      <c r="FC29" s="33"/>
      <c r="FD29" s="33"/>
      <c r="FE29" s="33"/>
      <c r="FF29" s="33"/>
      <c r="FG29" s="33"/>
      <c r="FH29" s="33"/>
      <c r="FI29" s="33"/>
      <c r="FJ29" s="33"/>
      <c r="FK29" s="34"/>
      <c r="FL29" s="33"/>
      <c r="FM29" s="1" t="s">
        <v>16</v>
      </c>
      <c r="FN29" s="15" t="s">
        <v>839</v>
      </c>
      <c r="FO29" s="2" t="s">
        <v>840</v>
      </c>
      <c r="FP29" s="4" t="s">
        <v>841</v>
      </c>
      <c r="FQ29" s="1" t="s">
        <v>16</v>
      </c>
      <c r="FR29" s="2" t="s">
        <v>844</v>
      </c>
      <c r="FS29" s="2" t="s">
        <v>843</v>
      </c>
      <c r="FT29" s="2" t="s">
        <v>842</v>
      </c>
      <c r="FU29" s="75"/>
      <c r="FV29" s="38"/>
      <c r="FW29" s="1" t="s">
        <v>16</v>
      </c>
      <c r="FX29" s="15">
        <v>1.1870000000000001</v>
      </c>
      <c r="FY29" s="2">
        <v>1.7470000000000001</v>
      </c>
      <c r="FZ29" s="4">
        <v>0.13700000000000001</v>
      </c>
      <c r="GA29" s="2">
        <v>0.46400000000000002</v>
      </c>
      <c r="GB29" s="2">
        <f>AVERAGE(0.805,0.162,0.117,0.05,0,0.125,0,0)</f>
        <v>0.15737500000000001</v>
      </c>
      <c r="GC29" s="2">
        <v>0.13900000000000001</v>
      </c>
      <c r="GD29" s="33"/>
      <c r="GE29" s="1" t="s">
        <v>16</v>
      </c>
      <c r="GF29" s="69">
        <f t="shared" si="48"/>
        <v>2.9000000000000137E-2</v>
      </c>
      <c r="GG29" s="12">
        <f t="shared" si="35"/>
        <v>4.0000000000000036E-2</v>
      </c>
      <c r="GH29" s="12">
        <f t="shared" si="36"/>
        <v>-3.4999999999999976E-2</v>
      </c>
      <c r="GI29" s="1" t="s">
        <v>16</v>
      </c>
      <c r="GJ29" s="58">
        <f t="shared" si="49"/>
        <v>-4.0000000000000036E-3</v>
      </c>
      <c r="GK29" s="2">
        <f t="shared" si="50"/>
        <v>-1.4250000000000013E-2</v>
      </c>
      <c r="GL29" s="2">
        <f t="shared" si="51"/>
        <v>-1.0000000000000009E-3</v>
      </c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8"/>
      <c r="GX29" s="1" t="s">
        <v>16</v>
      </c>
      <c r="GY29" s="15" t="s">
        <v>780</v>
      </c>
      <c r="GZ29" s="2" t="s">
        <v>781</v>
      </c>
      <c r="HA29" s="4" t="s">
        <v>782</v>
      </c>
      <c r="HB29" s="1" t="s">
        <v>16</v>
      </c>
      <c r="HC29" s="2" t="s">
        <v>785</v>
      </c>
      <c r="HD29" s="2" t="s">
        <v>784</v>
      </c>
      <c r="HE29" s="2" t="s">
        <v>783</v>
      </c>
      <c r="HF29" s="60"/>
      <c r="HG29" s="33"/>
      <c r="HH29" s="1" t="s">
        <v>16</v>
      </c>
      <c r="HI29" s="15">
        <v>1.1950000000000001</v>
      </c>
      <c r="HJ29" s="15">
        <v>1.18</v>
      </c>
      <c r="HK29" s="15">
        <v>1.1779999999999999</v>
      </c>
      <c r="HL29" s="15">
        <v>1.1579999999999999</v>
      </c>
      <c r="HM29" s="15">
        <v>1.1870000000000001</v>
      </c>
      <c r="HV29" s="1" t="s">
        <v>16</v>
      </c>
      <c r="HW29" s="2">
        <v>1.7430000000000001</v>
      </c>
      <c r="HX29" s="2">
        <v>1.6819999999999999</v>
      </c>
      <c r="HY29" s="2">
        <v>1.671</v>
      </c>
      <c r="HZ29" s="2">
        <v>1.7070000000000001</v>
      </c>
      <c r="IA29" s="2">
        <v>1.7470000000000001</v>
      </c>
      <c r="IJ29" s="1" t="s">
        <v>16</v>
      </c>
      <c r="IK29" s="4">
        <v>0.13800000000000001</v>
      </c>
      <c r="IL29" s="4">
        <v>0.19600000000000001</v>
      </c>
      <c r="IM29" s="4">
        <v>0.20399999999999999</v>
      </c>
      <c r="IN29" s="4">
        <v>0.17199999999999999</v>
      </c>
      <c r="IO29" s="4">
        <v>0.13700000000000001</v>
      </c>
      <c r="IX29" s="1" t="s">
        <v>16</v>
      </c>
      <c r="IY29" s="12">
        <v>0.47199999999999998</v>
      </c>
      <c r="IZ29" s="58">
        <v>0.46800000000000003</v>
      </c>
      <c r="JA29" s="15">
        <v>0.46600000000000003</v>
      </c>
      <c r="JB29" s="2">
        <v>0.46800000000000003</v>
      </c>
      <c r="JC29" s="2">
        <v>0.46400000000000002</v>
      </c>
      <c r="JL29" s="1" t="s">
        <v>16</v>
      </c>
      <c r="JM29" s="12">
        <v>0.121</v>
      </c>
      <c r="JN29" s="2">
        <v>0.154</v>
      </c>
      <c r="JO29" s="15">
        <v>0.161</v>
      </c>
      <c r="JP29" s="2">
        <v>0.14000000000000001</v>
      </c>
      <c r="JQ29" s="2">
        <v>0.13900000000000001</v>
      </c>
      <c r="JZ29" s="1" t="s">
        <v>16</v>
      </c>
      <c r="KA29" s="12">
        <v>0.1401111111111111</v>
      </c>
      <c r="KB29" s="15">
        <v>0.145125</v>
      </c>
      <c r="KC29" s="15">
        <v>0.15525</v>
      </c>
      <c r="KD29" s="2">
        <v>0.17162500000000003</v>
      </c>
      <c r="KE29" s="2">
        <v>0.15737500000000001</v>
      </c>
    </row>
    <row r="30" spans="1:291" ht="30" customHeight="1" thickBot="1" x14ac:dyDescent="0.35">
      <c r="A30" s="36" t="s">
        <v>17</v>
      </c>
      <c r="B30" s="15">
        <v>1.3109999999999999</v>
      </c>
      <c r="C30" s="2">
        <v>1.6579999999999999</v>
      </c>
      <c r="D30" s="4">
        <v>0.222</v>
      </c>
      <c r="N30" s="1" t="s">
        <v>17</v>
      </c>
      <c r="O30" s="12">
        <v>0.29699999999999999</v>
      </c>
      <c r="P30" s="12">
        <v>8.8999999999999996E-2</v>
      </c>
      <c r="Q30" s="12">
        <f>AVERAGE(0.454,0.435,0.129,0.017,0,0,0.175,0,)</f>
        <v>0.13444444444444445</v>
      </c>
      <c r="AB30" s="1" t="s">
        <v>17</v>
      </c>
      <c r="AC30" s="15" t="s">
        <v>128</v>
      </c>
      <c r="AD30" s="2" t="s">
        <v>139</v>
      </c>
      <c r="AE30" s="4" t="s">
        <v>150</v>
      </c>
      <c r="AF30" s="15" t="s">
        <v>161</v>
      </c>
      <c r="AG30" s="2" t="s">
        <v>172</v>
      </c>
      <c r="AH30" s="4" t="s">
        <v>183</v>
      </c>
      <c r="AK30" s="1" t="s">
        <v>17</v>
      </c>
      <c r="AL30" s="51"/>
      <c r="AM30" s="52"/>
      <c r="AN30" s="53"/>
      <c r="AO30" s="51"/>
      <c r="AP30" s="52"/>
      <c r="AQ30" s="53"/>
      <c r="BN30" s="75"/>
      <c r="BP30" s="1" t="s">
        <v>17</v>
      </c>
      <c r="BQ30" s="15">
        <v>1.569</v>
      </c>
      <c r="BR30" s="2">
        <v>1.909</v>
      </c>
      <c r="BS30" s="4">
        <v>-2.1000000000000001E-2</v>
      </c>
      <c r="BT30" s="58">
        <v>0.04</v>
      </c>
      <c r="BU30" s="2">
        <f>AVERAGE(0,0.9,0,0,0,0,0,0)</f>
        <v>0.1125</v>
      </c>
      <c r="BV30" s="2">
        <v>0</v>
      </c>
      <c r="BX30" s="1" t="s">
        <v>17</v>
      </c>
      <c r="BY30" s="12">
        <f t="shared" si="37"/>
        <v>0.25800000000000001</v>
      </c>
      <c r="BZ30" s="12">
        <f t="shared" si="38"/>
        <v>0.25100000000000011</v>
      </c>
      <c r="CA30" s="12">
        <f t="shared" si="39"/>
        <v>-0.24299999999999999</v>
      </c>
      <c r="CB30" s="1" t="s">
        <v>17</v>
      </c>
      <c r="CC30" s="70">
        <f t="shared" si="27"/>
        <v>-0.25700000000000001</v>
      </c>
      <c r="CD30" s="131">
        <f t="shared" si="40"/>
        <v>-2.1944444444444447E-2</v>
      </c>
      <c r="CE30" s="2">
        <f t="shared" si="41"/>
        <v>-8.8999999999999996E-2</v>
      </c>
      <c r="CQ30" s="1" t="s">
        <v>17</v>
      </c>
      <c r="CR30" s="15" t="s">
        <v>951</v>
      </c>
      <c r="CS30" s="2" t="s">
        <v>952</v>
      </c>
      <c r="CT30" s="32" t="s">
        <v>953</v>
      </c>
      <c r="CU30" s="1" t="s">
        <v>17</v>
      </c>
      <c r="CV30" s="58" t="s">
        <v>955</v>
      </c>
      <c r="CW30" s="2" t="s">
        <v>954</v>
      </c>
      <c r="CX30" s="2" t="s">
        <v>103</v>
      </c>
      <c r="CY30" s="75"/>
      <c r="CZ30" s="38"/>
      <c r="DA30" s="1" t="s">
        <v>17</v>
      </c>
      <c r="DB30" s="15">
        <v>1.4390000000000001</v>
      </c>
      <c r="DC30" s="2">
        <v>2.3780000000000001</v>
      </c>
      <c r="DD30" s="4">
        <v>-0.58399999999999996</v>
      </c>
      <c r="DE30" s="15">
        <v>0.53200000000000003</v>
      </c>
      <c r="DF30" s="15">
        <f>AVERAGE(1,0,0,0,0,0,0,0)</f>
        <v>0.125</v>
      </c>
      <c r="DG30" s="15">
        <v>0</v>
      </c>
      <c r="DH30" s="33"/>
      <c r="DI30" s="1" t="s">
        <v>17</v>
      </c>
      <c r="DJ30" s="69">
        <f t="shared" si="28"/>
        <v>-0.12999999999999989</v>
      </c>
      <c r="DK30" s="69">
        <f t="shared" si="29"/>
        <v>0.46900000000000008</v>
      </c>
      <c r="DL30" s="69">
        <f t="shared" si="30"/>
        <v>-0.56299999999999994</v>
      </c>
      <c r="DM30" s="1" t="s">
        <v>17</v>
      </c>
      <c r="DN30" s="70">
        <f t="shared" si="31"/>
        <v>0.49200000000000005</v>
      </c>
      <c r="DO30" s="2">
        <f t="shared" si="32"/>
        <v>1.2499999999999997E-2</v>
      </c>
      <c r="DP30" s="2">
        <f t="shared" si="33"/>
        <v>0</v>
      </c>
      <c r="DQ30" s="33"/>
      <c r="DR30" s="33"/>
      <c r="DS30" s="33"/>
      <c r="DT30" s="33"/>
      <c r="DU30" s="33"/>
      <c r="DV30" s="33"/>
      <c r="DW30" s="33"/>
      <c r="DX30" s="33"/>
      <c r="DY30" s="33"/>
      <c r="DZ30" s="34"/>
      <c r="EA30" s="33"/>
      <c r="EB30" s="1" t="s">
        <v>17</v>
      </c>
      <c r="EC30" s="15" t="s">
        <v>775</v>
      </c>
      <c r="ED30" s="2" t="s">
        <v>776</v>
      </c>
      <c r="EE30" s="32" t="s">
        <v>777</v>
      </c>
      <c r="EF30" s="1" t="s">
        <v>17</v>
      </c>
      <c r="EG30" s="15" t="s">
        <v>779</v>
      </c>
      <c r="EH30" s="15" t="s">
        <v>778</v>
      </c>
      <c r="EI30" s="15" t="s">
        <v>103</v>
      </c>
      <c r="EJ30" s="75"/>
      <c r="EK30" s="38"/>
      <c r="EL30" s="1" t="s">
        <v>17</v>
      </c>
      <c r="EM30" s="15">
        <v>1.391</v>
      </c>
      <c r="EN30" s="2">
        <v>1.7629999999999999</v>
      </c>
      <c r="EO30" s="4">
        <v>0.13</v>
      </c>
      <c r="EP30" s="2">
        <v>0.248</v>
      </c>
      <c r="EQ30" s="2">
        <f>AVERAGE(0.412,0.46,0.033,0,0,0,0,0)</f>
        <v>0.113125</v>
      </c>
      <c r="ER30" s="2">
        <v>0.06</v>
      </c>
      <c r="ES30" s="33"/>
      <c r="ET30" s="1" t="s">
        <v>17</v>
      </c>
      <c r="EU30" s="12">
        <f t="shared" si="42"/>
        <v>-4.8000000000000043E-2</v>
      </c>
      <c r="EV30" s="69">
        <f t="shared" si="43"/>
        <v>-0.61500000000000021</v>
      </c>
      <c r="EW30" s="69">
        <f t="shared" si="44"/>
        <v>0.71399999999999997</v>
      </c>
      <c r="EX30" s="1" t="s">
        <v>17</v>
      </c>
      <c r="EY30" s="70">
        <f t="shared" si="45"/>
        <v>-0.28400000000000003</v>
      </c>
      <c r="EZ30" s="2">
        <f t="shared" si="46"/>
        <v>-1.1874999999999997E-2</v>
      </c>
      <c r="FA30" s="131">
        <f t="shared" si="47"/>
        <v>0.06</v>
      </c>
      <c r="FB30" s="33"/>
      <c r="FC30" s="33"/>
      <c r="FD30" s="33"/>
      <c r="FE30" s="33"/>
      <c r="FF30" s="33"/>
      <c r="FG30" s="33"/>
      <c r="FH30" s="33"/>
      <c r="FI30" s="33"/>
      <c r="FJ30" s="33"/>
      <c r="FK30" s="34"/>
      <c r="FL30" s="33"/>
      <c r="FM30" s="1" t="s">
        <v>17</v>
      </c>
      <c r="FN30" s="15" t="s">
        <v>845</v>
      </c>
      <c r="FO30" s="2" t="s">
        <v>846</v>
      </c>
      <c r="FP30" s="4" t="s">
        <v>847</v>
      </c>
      <c r="FQ30" s="1" t="s">
        <v>17</v>
      </c>
      <c r="FR30" s="2" t="s">
        <v>850</v>
      </c>
      <c r="FS30" s="2" t="s">
        <v>849</v>
      </c>
      <c r="FT30" s="2" t="s">
        <v>848</v>
      </c>
      <c r="FU30" s="75"/>
      <c r="FV30" s="38"/>
      <c r="FW30" s="1" t="s">
        <v>17</v>
      </c>
      <c r="FX30" s="15">
        <v>1.351</v>
      </c>
      <c r="FY30" s="2">
        <v>1.8029999999999999</v>
      </c>
      <c r="FZ30" s="4">
        <v>9.0999999999999998E-2</v>
      </c>
      <c r="GA30" s="2">
        <v>0.40899999999999997</v>
      </c>
      <c r="GB30" s="2">
        <f>AVERAGE(0.736,0.285,0.02,0,0,0,0,0)</f>
        <v>0.13012499999999999</v>
      </c>
      <c r="GC30" s="2">
        <v>0.113</v>
      </c>
      <c r="GD30" s="33"/>
      <c r="GE30" s="1" t="s">
        <v>17</v>
      </c>
      <c r="GF30" s="69">
        <f t="shared" si="48"/>
        <v>-4.0000000000000036E-2</v>
      </c>
      <c r="GG30" s="69">
        <f t="shared" si="35"/>
        <v>4.0000000000000036E-2</v>
      </c>
      <c r="GH30" s="69">
        <f t="shared" si="36"/>
        <v>-3.9000000000000007E-2</v>
      </c>
      <c r="GI30" s="1" t="s">
        <v>17</v>
      </c>
      <c r="GJ30" s="70">
        <f t="shared" si="49"/>
        <v>0.16099999999999998</v>
      </c>
      <c r="GK30" s="2">
        <f t="shared" si="50"/>
        <v>1.6999999999999987E-2</v>
      </c>
      <c r="GL30" s="131">
        <f t="shared" si="51"/>
        <v>5.3000000000000005E-2</v>
      </c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8"/>
      <c r="GX30" s="1" t="s">
        <v>17</v>
      </c>
      <c r="GY30" s="15" t="s">
        <v>786</v>
      </c>
      <c r="GZ30" s="2" t="s">
        <v>787</v>
      </c>
      <c r="HA30" s="4" t="s">
        <v>788</v>
      </c>
      <c r="HB30" s="1" t="s">
        <v>17</v>
      </c>
      <c r="HC30" s="2" t="s">
        <v>791</v>
      </c>
      <c r="HD30" s="2" t="s">
        <v>790</v>
      </c>
      <c r="HE30" s="2" t="s">
        <v>789</v>
      </c>
      <c r="HF30" s="94"/>
      <c r="HG30" s="33"/>
      <c r="HH30" s="1" t="s">
        <v>17</v>
      </c>
      <c r="HI30" s="15">
        <v>1.3109999999999999</v>
      </c>
      <c r="HJ30" s="15">
        <v>1.569</v>
      </c>
      <c r="HK30" s="15">
        <v>1.4390000000000001</v>
      </c>
      <c r="HL30" s="15">
        <v>1.391</v>
      </c>
      <c r="HM30" s="15">
        <v>1.351</v>
      </c>
      <c r="HV30" s="1" t="s">
        <v>17</v>
      </c>
      <c r="HW30" s="2">
        <v>1.6579999999999999</v>
      </c>
      <c r="HX30" s="2">
        <v>1.909</v>
      </c>
      <c r="HY30" s="2">
        <v>2.3780000000000001</v>
      </c>
      <c r="HZ30" s="2">
        <v>1.7629999999999999</v>
      </c>
      <c r="IA30" s="2">
        <v>1.8029999999999999</v>
      </c>
      <c r="IJ30" s="1" t="s">
        <v>17</v>
      </c>
      <c r="IK30" s="4">
        <v>0.222</v>
      </c>
      <c r="IL30" s="4">
        <v>-2.1000000000000001E-2</v>
      </c>
      <c r="IM30" s="4">
        <v>-0.58399999999999996</v>
      </c>
      <c r="IN30" s="4">
        <v>0.13</v>
      </c>
      <c r="IO30" s="4">
        <v>9.0999999999999998E-2</v>
      </c>
      <c r="IX30" s="1" t="s">
        <v>17</v>
      </c>
      <c r="IY30" s="12">
        <v>0.29699999999999999</v>
      </c>
      <c r="IZ30" s="58">
        <v>0.04</v>
      </c>
      <c r="JA30" s="15">
        <v>0.53200000000000003</v>
      </c>
      <c r="JB30" s="2">
        <v>0.248</v>
      </c>
      <c r="JC30" s="2">
        <v>0.40899999999999997</v>
      </c>
      <c r="JL30" s="1" t="s">
        <v>17</v>
      </c>
      <c r="JM30" s="12">
        <v>8.8999999999999996E-2</v>
      </c>
      <c r="JN30" s="2">
        <v>0</v>
      </c>
      <c r="JO30" s="15">
        <v>0</v>
      </c>
      <c r="JP30" s="2">
        <v>0.06</v>
      </c>
      <c r="JQ30" s="2">
        <v>0.113</v>
      </c>
      <c r="JZ30" s="1" t="s">
        <v>17</v>
      </c>
      <c r="KA30" s="12">
        <v>0.13444444444444445</v>
      </c>
      <c r="KB30" s="15">
        <v>0.1125</v>
      </c>
      <c r="KC30" s="15">
        <v>0.125</v>
      </c>
      <c r="KD30" s="2">
        <v>0.113125</v>
      </c>
      <c r="KE30" s="2">
        <v>0.13012499999999999</v>
      </c>
    </row>
    <row r="31" spans="1:291" ht="30" customHeight="1" thickBot="1" x14ac:dyDescent="0.35">
      <c r="A31" s="36" t="s">
        <v>5</v>
      </c>
      <c r="B31" s="15">
        <v>1.34</v>
      </c>
      <c r="C31" s="2">
        <v>1.776</v>
      </c>
      <c r="D31" s="4">
        <v>0.111</v>
      </c>
      <c r="N31" s="1" t="s">
        <v>5</v>
      </c>
      <c r="O31" s="12">
        <v>0.36599999999999999</v>
      </c>
      <c r="P31" s="12">
        <v>0.113</v>
      </c>
      <c r="Q31" s="12">
        <f>AVERAGE(0.549,0.38,0.189,0.108,0.022,0.1,0.175,0,)</f>
        <v>0.16922222222222227</v>
      </c>
      <c r="AB31" s="1" t="s">
        <v>5</v>
      </c>
      <c r="AC31" s="15" t="s">
        <v>129</v>
      </c>
      <c r="AD31" s="2" t="s">
        <v>140</v>
      </c>
      <c r="AE31" s="4" t="s">
        <v>151</v>
      </c>
      <c r="AF31" s="15" t="s">
        <v>162</v>
      </c>
      <c r="AG31" s="2" t="s">
        <v>173</v>
      </c>
      <c r="AH31" s="4" t="s">
        <v>184</v>
      </c>
      <c r="AK31" s="1" t="s">
        <v>5</v>
      </c>
      <c r="AL31" s="51"/>
      <c r="AM31" s="52"/>
      <c r="AN31" s="53"/>
      <c r="AO31" s="51"/>
      <c r="AP31" s="52"/>
      <c r="AQ31" s="53"/>
      <c r="BN31" s="75"/>
      <c r="BP31" s="1" t="s">
        <v>5</v>
      </c>
      <c r="BQ31" s="15">
        <v>1.31</v>
      </c>
      <c r="BR31" s="2">
        <v>1.7589999999999999</v>
      </c>
      <c r="BS31" s="4">
        <v>0.126</v>
      </c>
      <c r="BT31" s="58">
        <v>0.372</v>
      </c>
      <c r="BU31" s="2">
        <f>AVERAGE(0.629,0.157,0.097,0.142,0.024,0.1,0.05,0)</f>
        <v>0.14987500000000001</v>
      </c>
      <c r="BV31" s="2">
        <v>6.7000000000000004E-2</v>
      </c>
      <c r="BX31" s="1" t="s">
        <v>5</v>
      </c>
      <c r="BY31" s="12">
        <f t="shared" si="37"/>
        <v>-3.0000000000000027E-2</v>
      </c>
      <c r="BZ31" s="12">
        <f t="shared" si="38"/>
        <v>-1.7000000000000126E-2</v>
      </c>
      <c r="CA31" s="12">
        <f t="shared" si="39"/>
        <v>1.4999999999999999E-2</v>
      </c>
      <c r="CB31" s="1" t="s">
        <v>5</v>
      </c>
      <c r="CC31" s="70">
        <f t="shared" si="27"/>
        <v>6.0000000000000053E-3</v>
      </c>
      <c r="CD31" s="131">
        <f t="shared" si="40"/>
        <v>-1.9347222222222266E-2</v>
      </c>
      <c r="CE31" s="131">
        <f t="shared" si="41"/>
        <v>-4.5999999999999999E-2</v>
      </c>
      <c r="CQ31" s="1" t="s">
        <v>5</v>
      </c>
      <c r="CR31" s="15" t="s">
        <v>962</v>
      </c>
      <c r="CS31" s="2" t="s">
        <v>963</v>
      </c>
      <c r="CT31" s="4" t="s">
        <v>964</v>
      </c>
      <c r="CU31" s="1" t="s">
        <v>5</v>
      </c>
      <c r="CV31" s="58" t="s">
        <v>967</v>
      </c>
      <c r="CW31" s="2" t="s">
        <v>966</v>
      </c>
      <c r="CX31" s="2" t="s">
        <v>965</v>
      </c>
      <c r="CY31" s="75"/>
      <c r="CZ31" s="38"/>
      <c r="DA31" s="1" t="s">
        <v>5</v>
      </c>
      <c r="DB31" s="15">
        <v>1.2909999999999999</v>
      </c>
      <c r="DC31" s="2">
        <v>1.7070000000000001</v>
      </c>
      <c r="DD31" s="4">
        <v>0.17799999999999999</v>
      </c>
      <c r="DE31" s="15">
        <v>0.374</v>
      </c>
      <c r="DF31" s="15">
        <f>AVERAGE(0.638,0.277,0.058,0.1,0.064,0,0,0)</f>
        <v>0.14212500000000003</v>
      </c>
      <c r="DG31" s="15">
        <v>0.10299999999999999</v>
      </c>
      <c r="DH31" s="33"/>
      <c r="DI31" s="1" t="s">
        <v>5</v>
      </c>
      <c r="DJ31" s="12">
        <f t="shared" si="28"/>
        <v>-1.9000000000000128E-2</v>
      </c>
      <c r="DK31" s="69">
        <f t="shared" si="29"/>
        <v>-5.1999999999999824E-2</v>
      </c>
      <c r="DL31" s="69">
        <f t="shared" si="30"/>
        <v>5.1999999999999991E-2</v>
      </c>
      <c r="DM31" s="1" t="s">
        <v>5</v>
      </c>
      <c r="DN31" s="58">
        <f t="shared" si="31"/>
        <v>2.0000000000000018E-3</v>
      </c>
      <c r="DO31" s="2">
        <f t="shared" si="32"/>
        <v>-7.7499999999999791E-3</v>
      </c>
      <c r="DP31" s="131">
        <f t="shared" si="33"/>
        <v>3.599999999999999E-2</v>
      </c>
      <c r="DQ31" s="33"/>
      <c r="DR31" s="33"/>
      <c r="DS31" s="33"/>
      <c r="DT31" s="33"/>
      <c r="DU31" s="33"/>
      <c r="DV31" s="33"/>
      <c r="DW31" s="33"/>
      <c r="DX31" s="33"/>
      <c r="DY31" s="33"/>
      <c r="DZ31" s="34"/>
      <c r="EA31" s="33"/>
      <c r="EB31" s="1" t="s">
        <v>5</v>
      </c>
      <c r="EC31" s="15" t="s">
        <v>903</v>
      </c>
      <c r="ED31" s="2" t="s">
        <v>904</v>
      </c>
      <c r="EE31" s="4" t="s">
        <v>905</v>
      </c>
      <c r="EF31" s="1" t="s">
        <v>5</v>
      </c>
      <c r="EG31" s="15" t="s">
        <v>908</v>
      </c>
      <c r="EH31" s="15" t="s">
        <v>907</v>
      </c>
      <c r="EI31" s="15" t="s">
        <v>906</v>
      </c>
      <c r="EJ31" s="75"/>
      <c r="EK31" s="38"/>
      <c r="EL31" s="1" t="s">
        <v>5</v>
      </c>
      <c r="EM31" s="15">
        <v>1.284</v>
      </c>
      <c r="EN31" s="2">
        <v>1.677</v>
      </c>
      <c r="EO31" s="4">
        <v>0.20799999999999999</v>
      </c>
      <c r="EP31" s="2">
        <v>0.34899999999999998</v>
      </c>
      <c r="EQ31" s="2">
        <f>AVERAGE(0.582,0.343,0.077,0,0.064,0,0,0)</f>
        <v>0.13325000000000001</v>
      </c>
      <c r="ER31" s="2">
        <v>9.9000000000000005E-2</v>
      </c>
      <c r="ES31" s="33"/>
      <c r="ET31" s="1" t="s">
        <v>5</v>
      </c>
      <c r="EU31" s="12">
        <f t="shared" si="42"/>
        <v>-6.9999999999998952E-3</v>
      </c>
      <c r="EV31" s="12">
        <f t="shared" si="43"/>
        <v>-3.0000000000000027E-2</v>
      </c>
      <c r="EW31" s="12">
        <f t="shared" si="44"/>
        <v>0.03</v>
      </c>
      <c r="EX31" s="1" t="s">
        <v>5</v>
      </c>
      <c r="EY31" s="58">
        <f t="shared" si="45"/>
        <v>-2.5000000000000022E-2</v>
      </c>
      <c r="EZ31" s="2">
        <f t="shared" si="46"/>
        <v>-8.8750000000000218E-3</v>
      </c>
      <c r="FA31" s="2">
        <f t="shared" si="47"/>
        <v>-3.9999999999999897E-3</v>
      </c>
      <c r="FB31" s="33"/>
      <c r="FC31" s="33"/>
      <c r="FD31" s="33"/>
      <c r="FE31" s="33"/>
      <c r="FF31" s="33"/>
      <c r="FG31" s="33"/>
      <c r="FH31" s="33"/>
      <c r="FI31" s="33"/>
      <c r="FJ31" s="33"/>
      <c r="FK31" s="34"/>
      <c r="FL31" s="33"/>
      <c r="FM31" s="1" t="s">
        <v>5</v>
      </c>
      <c r="FN31" s="15" t="s">
        <v>851</v>
      </c>
      <c r="FO31" s="2" t="s">
        <v>852</v>
      </c>
      <c r="FP31" s="4" t="s">
        <v>853</v>
      </c>
      <c r="FQ31" s="1" t="s">
        <v>5</v>
      </c>
      <c r="FR31" s="2" t="s">
        <v>856</v>
      </c>
      <c r="FS31" s="2" t="s">
        <v>855</v>
      </c>
      <c r="FT31" s="2" t="s">
        <v>854</v>
      </c>
      <c r="FU31" s="75"/>
      <c r="FV31" s="38"/>
      <c r="FW31" s="1" t="s">
        <v>5</v>
      </c>
      <c r="FX31" s="15">
        <v>1.2889999999999999</v>
      </c>
      <c r="FY31" s="2">
        <v>1.675</v>
      </c>
      <c r="FZ31" s="4">
        <v>0.20899999999999999</v>
      </c>
      <c r="GA31" s="2">
        <v>0.36799999999999999</v>
      </c>
      <c r="GB31" s="2">
        <f>AVERAGE(0.571,0.29,0.188,0.067,0.053,0.1,0,0)</f>
        <v>0.15862499999999999</v>
      </c>
      <c r="GC31" s="2">
        <v>0.123</v>
      </c>
      <c r="GD31" s="33"/>
      <c r="GE31" s="1" t="s">
        <v>5</v>
      </c>
      <c r="GF31" s="12">
        <f t="shared" si="48"/>
        <v>4.9999999999998934E-3</v>
      </c>
      <c r="GG31" s="12">
        <f t="shared" si="35"/>
        <v>-2.0000000000000018E-3</v>
      </c>
      <c r="GH31" s="12">
        <f t="shared" si="36"/>
        <v>1.0000000000000009E-3</v>
      </c>
      <c r="GI31" s="1" t="s">
        <v>5</v>
      </c>
      <c r="GJ31" s="58">
        <f t="shared" si="49"/>
        <v>1.9000000000000017E-2</v>
      </c>
      <c r="GK31" s="2">
        <f t="shared" si="50"/>
        <v>2.5374999999999981E-2</v>
      </c>
      <c r="GL31" s="2">
        <f t="shared" si="51"/>
        <v>2.3999999999999994E-2</v>
      </c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8"/>
      <c r="GX31" s="1" t="s">
        <v>5</v>
      </c>
      <c r="GY31" s="15" t="s">
        <v>792</v>
      </c>
      <c r="GZ31" s="2" t="s">
        <v>793</v>
      </c>
      <c r="HA31" s="4" t="s">
        <v>794</v>
      </c>
      <c r="HB31" s="1" t="s">
        <v>5</v>
      </c>
      <c r="HC31" s="2" t="s">
        <v>797</v>
      </c>
      <c r="HD31" s="2" t="s">
        <v>796</v>
      </c>
      <c r="HE31" s="2" t="s">
        <v>795</v>
      </c>
      <c r="HG31" s="33"/>
      <c r="HH31" s="1" t="s">
        <v>5</v>
      </c>
      <c r="HI31" s="15">
        <v>1.34</v>
      </c>
      <c r="HJ31" s="15">
        <v>1.31</v>
      </c>
      <c r="HK31" s="15">
        <v>1.2909999999999999</v>
      </c>
      <c r="HL31" s="15">
        <v>1.284</v>
      </c>
      <c r="HM31" s="15">
        <v>1.2889999999999999</v>
      </c>
      <c r="HV31" s="1" t="s">
        <v>5</v>
      </c>
      <c r="HW31" s="2">
        <v>1.776</v>
      </c>
      <c r="HX31" s="2">
        <v>1.7589999999999999</v>
      </c>
      <c r="HY31" s="2">
        <v>1.7070000000000001</v>
      </c>
      <c r="HZ31" s="2">
        <v>1.677</v>
      </c>
      <c r="IA31" s="2">
        <v>1.675</v>
      </c>
      <c r="IJ31" s="1" t="s">
        <v>5</v>
      </c>
      <c r="IK31" s="4">
        <v>0.111</v>
      </c>
      <c r="IL31" s="4">
        <v>0.126</v>
      </c>
      <c r="IM31" s="4">
        <v>0.17799999999999999</v>
      </c>
      <c r="IN31" s="4">
        <v>0.20799999999999999</v>
      </c>
      <c r="IO31" s="4">
        <v>0.20899999999999999</v>
      </c>
      <c r="IX31" s="1" t="s">
        <v>5</v>
      </c>
      <c r="IY31" s="12">
        <v>0.36599999999999999</v>
      </c>
      <c r="IZ31" s="58">
        <v>0.372</v>
      </c>
      <c r="JA31" s="15">
        <v>0.374</v>
      </c>
      <c r="JB31" s="2">
        <v>0.34899999999999998</v>
      </c>
      <c r="JC31" s="2">
        <v>0.36799999999999999</v>
      </c>
      <c r="JL31" s="1" t="s">
        <v>5</v>
      </c>
      <c r="JM31" s="12">
        <v>0.113</v>
      </c>
      <c r="JN31" s="2">
        <v>6.7000000000000004E-2</v>
      </c>
      <c r="JO31" s="15">
        <v>0.10299999999999999</v>
      </c>
      <c r="JP31" s="2">
        <v>9.9000000000000005E-2</v>
      </c>
      <c r="JQ31" s="2">
        <v>0.123</v>
      </c>
      <c r="JZ31" s="1" t="s">
        <v>5</v>
      </c>
      <c r="KA31" s="12">
        <v>0.16922222222222227</v>
      </c>
      <c r="KB31" s="15">
        <v>0.14987500000000001</v>
      </c>
      <c r="KC31" s="15">
        <v>0.14212500000000003</v>
      </c>
      <c r="KD31" s="2">
        <v>0.13325000000000001</v>
      </c>
      <c r="KE31" s="2">
        <v>0.15862499999999999</v>
      </c>
    </row>
    <row r="32" spans="1:291" ht="30" customHeight="1" thickBot="1" x14ac:dyDescent="0.35">
      <c r="A32" s="36" t="s">
        <v>6</v>
      </c>
      <c r="B32" s="15">
        <v>1.5209999999999999</v>
      </c>
      <c r="C32" s="2">
        <v>2.2930000000000001</v>
      </c>
      <c r="D32" s="4">
        <v>-0.50900000000000001</v>
      </c>
      <c r="N32" s="1" t="s">
        <v>6</v>
      </c>
      <c r="O32" s="12">
        <v>0.432</v>
      </c>
      <c r="P32" s="12">
        <v>0.105</v>
      </c>
      <c r="Q32" s="12">
        <f>AVERAGE(0.657,0,0.271,0.067,0.074,0.1,0.108,0.142)</f>
        <v>0.17737500000000003</v>
      </c>
      <c r="AB32" s="1" t="s">
        <v>6</v>
      </c>
      <c r="AC32" s="15" t="s">
        <v>130</v>
      </c>
      <c r="AD32" s="2" t="s">
        <v>141</v>
      </c>
      <c r="AE32" s="32" t="s">
        <v>152</v>
      </c>
      <c r="AF32" s="15" t="s">
        <v>163</v>
      </c>
      <c r="AG32" s="2" t="s">
        <v>174</v>
      </c>
      <c r="AH32" s="32" t="s">
        <v>185</v>
      </c>
      <c r="AK32" s="1" t="s">
        <v>6</v>
      </c>
      <c r="AL32" s="51"/>
      <c r="AM32" s="52"/>
      <c r="AN32" s="54"/>
      <c r="AO32" s="51"/>
      <c r="AP32" s="52"/>
      <c r="AQ32" s="54"/>
      <c r="BN32" s="75"/>
      <c r="BP32" s="1" t="s">
        <v>6</v>
      </c>
      <c r="BQ32" s="15">
        <v>1.5209999999999999</v>
      </c>
      <c r="BR32" s="2">
        <v>2.29</v>
      </c>
      <c r="BS32" s="4">
        <v>-0.50600000000000001</v>
      </c>
      <c r="BT32" s="58">
        <v>0.43099999999999999</v>
      </c>
      <c r="BU32" s="2">
        <f>AVERAGE(0.655,0,0.271,0.067,0.074,0.1,0.108,0.142)</f>
        <v>0.17712500000000003</v>
      </c>
      <c r="BV32" s="2">
        <v>0.105</v>
      </c>
      <c r="BX32" s="1" t="s">
        <v>6</v>
      </c>
      <c r="BY32" s="12">
        <f t="shared" si="37"/>
        <v>0</v>
      </c>
      <c r="BZ32" s="12">
        <f t="shared" si="38"/>
        <v>-3.0000000000001137E-3</v>
      </c>
      <c r="CA32" s="12">
        <f t="shared" si="39"/>
        <v>3.0000000000000027E-3</v>
      </c>
      <c r="CB32" s="1" t="s">
        <v>6</v>
      </c>
      <c r="CC32" s="70">
        <f t="shared" si="27"/>
        <v>-1.0000000000000009E-3</v>
      </c>
      <c r="CD32" s="131">
        <f t="shared" si="40"/>
        <v>-2.5000000000000022E-4</v>
      </c>
      <c r="CE32" s="131">
        <f t="shared" si="41"/>
        <v>0</v>
      </c>
      <c r="CQ32" s="1" t="s">
        <v>6</v>
      </c>
      <c r="CR32" s="15" t="s">
        <v>968</v>
      </c>
      <c r="CS32" s="2" t="s">
        <v>969</v>
      </c>
      <c r="CT32" s="32" t="s">
        <v>970</v>
      </c>
      <c r="CU32" s="1" t="s">
        <v>6</v>
      </c>
      <c r="CV32" s="58" t="s">
        <v>973</v>
      </c>
      <c r="CW32" s="2" t="s">
        <v>972</v>
      </c>
      <c r="CX32" s="2" t="s">
        <v>971</v>
      </c>
      <c r="CY32" s="75"/>
      <c r="CZ32" s="38"/>
      <c r="DA32" s="1" t="s">
        <v>6</v>
      </c>
      <c r="DB32" s="15">
        <v>1.17</v>
      </c>
      <c r="DC32" s="2">
        <v>1.885</v>
      </c>
      <c r="DD32" s="4">
        <v>-5.0000000000000001E-3</v>
      </c>
      <c r="DE32" s="15">
        <v>0.51700000000000002</v>
      </c>
      <c r="DF32" s="15">
        <f>AVERAGE(0.749,0.045,0.414,0.02,0.161,0,0,0)</f>
        <v>0.173625</v>
      </c>
      <c r="DG32" s="15">
        <v>0.191</v>
      </c>
      <c r="DH32" s="33"/>
      <c r="DI32" s="1" t="s">
        <v>6</v>
      </c>
      <c r="DJ32" s="69">
        <f t="shared" si="28"/>
        <v>-0.35099999999999998</v>
      </c>
      <c r="DK32" s="69">
        <f t="shared" si="29"/>
        <v>-0.40500000000000003</v>
      </c>
      <c r="DL32" s="69">
        <f t="shared" si="30"/>
        <v>0.501</v>
      </c>
      <c r="DM32" s="1" t="s">
        <v>6</v>
      </c>
      <c r="DN32" s="70">
        <f t="shared" si="31"/>
        <v>8.6000000000000021E-2</v>
      </c>
      <c r="DO32" s="2">
        <f t="shared" si="32"/>
        <v>-3.5000000000000309E-3</v>
      </c>
      <c r="DP32" s="131">
        <f t="shared" si="33"/>
        <v>8.6000000000000007E-2</v>
      </c>
      <c r="DQ32" s="33"/>
      <c r="DR32" s="33"/>
      <c r="DS32" s="33"/>
      <c r="DT32" s="33"/>
      <c r="DU32" s="33"/>
      <c r="DV32" s="33"/>
      <c r="DW32" s="33"/>
      <c r="DX32" s="33"/>
      <c r="DY32" s="33"/>
      <c r="DZ32" s="34"/>
      <c r="EA32" s="33"/>
      <c r="EB32" s="1" t="s">
        <v>6</v>
      </c>
      <c r="EC32" s="15" t="s">
        <v>909</v>
      </c>
      <c r="ED32" s="2" t="s">
        <v>910</v>
      </c>
      <c r="EE32" s="32" t="s">
        <v>911</v>
      </c>
      <c r="EF32" s="1" t="s">
        <v>6</v>
      </c>
      <c r="EG32" s="15" t="s">
        <v>914</v>
      </c>
      <c r="EH32" s="15" t="s">
        <v>913</v>
      </c>
      <c r="EI32" s="15" t="s">
        <v>912</v>
      </c>
      <c r="EJ32" s="75"/>
      <c r="EK32" s="38"/>
      <c r="EL32" s="1" t="s">
        <v>6</v>
      </c>
      <c r="EM32" s="15">
        <v>1.1559999999999999</v>
      </c>
      <c r="EN32" s="2">
        <v>1.86</v>
      </c>
      <c r="EO32" s="4">
        <v>1.7000000000000001E-2</v>
      </c>
      <c r="EP32" s="2">
        <v>0.502</v>
      </c>
      <c r="EQ32" s="2">
        <f>AVERAGE(0.72,0.145,0.427,0,0.126,0,0.242,0)</f>
        <v>0.20750000000000002</v>
      </c>
      <c r="ER32" s="2">
        <v>0.19700000000000001</v>
      </c>
      <c r="ES32" s="33"/>
      <c r="ET32" s="1" t="s">
        <v>6</v>
      </c>
      <c r="EU32" s="12">
        <f t="shared" si="42"/>
        <v>-1.4000000000000012E-2</v>
      </c>
      <c r="EV32" s="12">
        <f t="shared" si="43"/>
        <v>-2.4999999999999911E-2</v>
      </c>
      <c r="EW32" s="12">
        <f t="shared" si="44"/>
        <v>2.2000000000000002E-2</v>
      </c>
      <c r="EX32" s="1" t="s">
        <v>6</v>
      </c>
      <c r="EY32" s="58">
        <f t="shared" si="45"/>
        <v>-1.5000000000000013E-2</v>
      </c>
      <c r="EZ32" s="131">
        <f>EQ32-DF32</f>
        <v>3.3875000000000016E-2</v>
      </c>
      <c r="FA32" s="2">
        <f t="shared" si="47"/>
        <v>6.0000000000000053E-3</v>
      </c>
      <c r="FB32" s="33"/>
      <c r="FC32" s="33"/>
      <c r="FD32" s="33"/>
      <c r="FE32" s="33"/>
      <c r="FF32" s="33"/>
      <c r="FG32" s="33"/>
      <c r="FH32" s="33"/>
      <c r="FI32" s="33"/>
      <c r="FJ32" s="33"/>
      <c r="FK32" s="34"/>
      <c r="FL32" s="33"/>
      <c r="FM32" s="1" t="s">
        <v>6</v>
      </c>
      <c r="FN32" s="15" t="s">
        <v>857</v>
      </c>
      <c r="FO32" s="2" t="s">
        <v>858</v>
      </c>
      <c r="FP32" s="4" t="s">
        <v>859</v>
      </c>
      <c r="FQ32" s="1" t="s">
        <v>6</v>
      </c>
      <c r="FR32" s="2" t="s">
        <v>862</v>
      </c>
      <c r="FS32" s="2" t="s">
        <v>861</v>
      </c>
      <c r="FT32" s="2" t="s">
        <v>860</v>
      </c>
      <c r="FU32" s="75"/>
      <c r="FV32" s="38"/>
      <c r="FW32" s="1" t="s">
        <v>6</v>
      </c>
      <c r="FX32" s="15">
        <v>1.167</v>
      </c>
      <c r="FY32" s="2">
        <v>1.865</v>
      </c>
      <c r="FZ32" s="4">
        <v>0.01</v>
      </c>
      <c r="GA32" s="2">
        <v>0.51800000000000002</v>
      </c>
      <c r="GB32" s="2">
        <f>AVERAGE(0.793,0.04,0.362,0.037,0,0,0.033,0)</f>
        <v>0.15812499999999999</v>
      </c>
      <c r="GC32" s="2">
        <v>0.17799999999999999</v>
      </c>
      <c r="GD32" s="33"/>
      <c r="GE32" s="1" t="s">
        <v>6</v>
      </c>
      <c r="GF32" s="12">
        <f t="shared" si="48"/>
        <v>1.1000000000000121E-2</v>
      </c>
      <c r="GG32" s="12">
        <f t="shared" si="35"/>
        <v>4.9999999999998934E-3</v>
      </c>
      <c r="GH32" s="12">
        <f t="shared" si="36"/>
        <v>-7.000000000000001E-3</v>
      </c>
      <c r="GI32" s="1" t="s">
        <v>6</v>
      </c>
      <c r="GJ32" s="58">
        <f t="shared" si="49"/>
        <v>1.6000000000000014E-2</v>
      </c>
      <c r="GK32" s="131">
        <f t="shared" si="50"/>
        <v>-4.937500000000003E-2</v>
      </c>
      <c r="GL32" s="2">
        <f t="shared" si="51"/>
        <v>-1.9000000000000017E-2</v>
      </c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8"/>
      <c r="GX32" s="1" t="s">
        <v>6</v>
      </c>
      <c r="GY32" s="15" t="s">
        <v>798</v>
      </c>
      <c r="GZ32" s="2" t="s">
        <v>799</v>
      </c>
      <c r="HA32" s="4" t="s">
        <v>800</v>
      </c>
      <c r="HB32" s="1" t="s">
        <v>6</v>
      </c>
      <c r="HC32" s="2" t="s">
        <v>803</v>
      </c>
      <c r="HD32" s="2" t="s">
        <v>802</v>
      </c>
      <c r="HE32" s="2" t="s">
        <v>801</v>
      </c>
      <c r="HG32" s="33"/>
      <c r="HH32" s="1" t="s">
        <v>6</v>
      </c>
      <c r="HI32" s="15">
        <v>1.5209999999999999</v>
      </c>
      <c r="HJ32" s="15">
        <v>1.5209999999999999</v>
      </c>
      <c r="HK32" s="15">
        <v>1.17</v>
      </c>
      <c r="HL32" s="15">
        <v>1.1559999999999999</v>
      </c>
      <c r="HM32" s="15">
        <v>1.167</v>
      </c>
      <c r="HV32" s="1" t="s">
        <v>6</v>
      </c>
      <c r="HW32" s="2">
        <v>2.2930000000000001</v>
      </c>
      <c r="HX32" s="2">
        <v>2.29</v>
      </c>
      <c r="HY32" s="2">
        <v>1.885</v>
      </c>
      <c r="HZ32" s="2">
        <v>1.86</v>
      </c>
      <c r="IA32" s="2">
        <v>1.865</v>
      </c>
      <c r="IJ32" s="1" t="s">
        <v>6</v>
      </c>
      <c r="IK32" s="4">
        <v>-0.50900000000000001</v>
      </c>
      <c r="IL32" s="4">
        <v>-0.50600000000000001</v>
      </c>
      <c r="IM32" s="4">
        <v>-5.0000000000000001E-3</v>
      </c>
      <c r="IN32" s="4">
        <v>1.7000000000000001E-2</v>
      </c>
      <c r="IO32" s="4">
        <v>0.01</v>
      </c>
      <c r="IX32" s="1" t="s">
        <v>6</v>
      </c>
      <c r="IY32" s="12">
        <v>0.432</v>
      </c>
      <c r="IZ32" s="58">
        <v>0.43099999999999999</v>
      </c>
      <c r="JA32" s="15">
        <v>0.51700000000000002</v>
      </c>
      <c r="JB32" s="2">
        <v>0.502</v>
      </c>
      <c r="JC32" s="2">
        <v>0.51800000000000002</v>
      </c>
      <c r="JL32" s="1" t="s">
        <v>6</v>
      </c>
      <c r="JM32" s="12">
        <v>0.105</v>
      </c>
      <c r="JN32" s="2">
        <v>0.105</v>
      </c>
      <c r="JO32" s="15">
        <v>0.191</v>
      </c>
      <c r="JP32" s="2">
        <v>0.19700000000000001</v>
      </c>
      <c r="JQ32" s="2">
        <v>0.17799999999999999</v>
      </c>
      <c r="JZ32" s="1" t="s">
        <v>6</v>
      </c>
      <c r="KA32" s="12">
        <v>0.17737500000000003</v>
      </c>
      <c r="KB32" s="15">
        <v>0.17712500000000003</v>
      </c>
      <c r="KC32" s="15">
        <v>0.173625</v>
      </c>
      <c r="KD32" s="2">
        <v>0.20750000000000002</v>
      </c>
      <c r="KE32" s="2">
        <v>0.15812499999999999</v>
      </c>
    </row>
    <row r="33" spans="1:291" ht="30" customHeight="1" thickBot="1" x14ac:dyDescent="0.35">
      <c r="A33" s="36" t="s">
        <v>7</v>
      </c>
      <c r="B33" s="15">
        <v>1.29</v>
      </c>
      <c r="C33" s="2">
        <v>1.673</v>
      </c>
      <c r="D33" s="4">
        <v>0.20200000000000001</v>
      </c>
      <c r="N33" s="1" t="s">
        <v>7</v>
      </c>
      <c r="O33" s="12">
        <v>0.33400000000000002</v>
      </c>
      <c r="P33" s="12">
        <v>0.113</v>
      </c>
      <c r="Q33" s="12">
        <f>AVERAGE(0.492,0.415,0.211,0.237,0.037,0,0,0,)</f>
        <v>0.15466666666666665</v>
      </c>
      <c r="AB33" s="1" t="s">
        <v>7</v>
      </c>
      <c r="AC33" s="15" t="s">
        <v>131</v>
      </c>
      <c r="AD33" s="2" t="s">
        <v>142</v>
      </c>
      <c r="AE33" s="4" t="s">
        <v>153</v>
      </c>
      <c r="AF33" s="15" t="s">
        <v>164</v>
      </c>
      <c r="AG33" s="2" t="s">
        <v>175</v>
      </c>
      <c r="AH33" s="4" t="s">
        <v>186</v>
      </c>
      <c r="AK33" s="1" t="s">
        <v>7</v>
      </c>
      <c r="AL33" s="51"/>
      <c r="AM33" s="52"/>
      <c r="AN33" s="53"/>
      <c r="AO33" s="51"/>
      <c r="AP33" s="52"/>
      <c r="AQ33" s="53"/>
      <c r="BN33" s="75"/>
      <c r="BP33" s="1" t="s">
        <v>7</v>
      </c>
      <c r="BQ33" s="15">
        <v>1.29</v>
      </c>
      <c r="BR33" s="2">
        <v>1.673</v>
      </c>
      <c r="BS33" s="4">
        <v>0.20200000000000001</v>
      </c>
      <c r="BT33" s="58">
        <v>0.33700000000000002</v>
      </c>
      <c r="BU33" s="2">
        <f>AVERAGE(0.494,0.415,0.215,0.237,0.037,0,0,0)</f>
        <v>0.17475000000000002</v>
      </c>
      <c r="BV33" s="2">
        <v>0.115</v>
      </c>
      <c r="BX33" s="1" t="s">
        <v>7</v>
      </c>
      <c r="BY33" s="12">
        <f t="shared" si="37"/>
        <v>0</v>
      </c>
      <c r="BZ33" s="12">
        <f t="shared" si="38"/>
        <v>0</v>
      </c>
      <c r="CA33" s="12">
        <f t="shared" si="39"/>
        <v>0</v>
      </c>
      <c r="CB33" s="1" t="s">
        <v>7</v>
      </c>
      <c r="CC33" s="70">
        <f t="shared" si="27"/>
        <v>3.0000000000000027E-3</v>
      </c>
      <c r="CD33" s="131">
        <f t="shared" si="40"/>
        <v>2.008333333333337E-2</v>
      </c>
      <c r="CE33" s="131">
        <f t="shared" si="41"/>
        <v>2.0000000000000018E-3</v>
      </c>
      <c r="CQ33" s="1" t="s">
        <v>7</v>
      </c>
      <c r="CR33" s="15" t="s">
        <v>974</v>
      </c>
      <c r="CS33" s="2" t="s">
        <v>975</v>
      </c>
      <c r="CT33" s="4" t="s">
        <v>153</v>
      </c>
      <c r="CU33" s="1" t="s">
        <v>7</v>
      </c>
      <c r="CV33" s="58" t="s">
        <v>978</v>
      </c>
      <c r="CW33" s="2" t="s">
        <v>977</v>
      </c>
      <c r="CX33" s="2" t="s">
        <v>976</v>
      </c>
      <c r="CY33" s="75"/>
      <c r="CZ33" s="38"/>
      <c r="DA33" s="1" t="s">
        <v>7</v>
      </c>
      <c r="DB33" s="15">
        <v>1.1659999999999999</v>
      </c>
      <c r="DC33" s="2">
        <v>1.7410000000000001</v>
      </c>
      <c r="DD33" s="4">
        <v>0.13900000000000001</v>
      </c>
      <c r="DE33" s="15">
        <v>0.48699999999999999</v>
      </c>
      <c r="DF33" s="15">
        <f>AVERAGE(0.872,0.112,0.045,0.02,0.051,0,0,0)</f>
        <v>0.13749999999999998</v>
      </c>
      <c r="DG33" s="15">
        <v>0.14199999999999999</v>
      </c>
      <c r="DH33" s="33"/>
      <c r="DI33" s="1" t="s">
        <v>7</v>
      </c>
      <c r="DJ33" s="69">
        <f t="shared" si="28"/>
        <v>-0.12400000000000011</v>
      </c>
      <c r="DK33" s="12">
        <f t="shared" si="29"/>
        <v>6.800000000000006E-2</v>
      </c>
      <c r="DL33" s="12">
        <f t="shared" si="30"/>
        <v>-6.3E-2</v>
      </c>
      <c r="DM33" s="1" t="s">
        <v>7</v>
      </c>
      <c r="DN33" s="70">
        <f t="shared" si="31"/>
        <v>0.14999999999999997</v>
      </c>
      <c r="DO33" s="2">
        <f t="shared" si="32"/>
        <v>-3.7250000000000033E-2</v>
      </c>
      <c r="DP33" s="131">
        <f t="shared" si="33"/>
        <v>2.6999999999999982E-2</v>
      </c>
      <c r="DQ33" s="33"/>
      <c r="DR33" s="33"/>
      <c r="DS33" s="33"/>
      <c r="DT33" s="33"/>
      <c r="DU33" s="33"/>
      <c r="DV33" s="33"/>
      <c r="DW33" s="33"/>
      <c r="DX33" s="33"/>
      <c r="DY33" s="33"/>
      <c r="DZ33" s="34"/>
      <c r="EA33" s="33"/>
      <c r="EB33" s="1" t="s">
        <v>7</v>
      </c>
      <c r="EC33" s="15" t="s">
        <v>915</v>
      </c>
      <c r="ED33" s="2" t="s">
        <v>916</v>
      </c>
      <c r="EE33" s="4" t="s">
        <v>917</v>
      </c>
      <c r="EF33" s="1" t="s">
        <v>7</v>
      </c>
      <c r="EG33" s="15" t="s">
        <v>920</v>
      </c>
      <c r="EH33" s="15" t="s">
        <v>919</v>
      </c>
      <c r="EI33" s="15" t="s">
        <v>918</v>
      </c>
      <c r="EJ33" s="75"/>
      <c r="EK33" s="38"/>
      <c r="EL33" s="1" t="s">
        <v>7</v>
      </c>
      <c r="EM33" s="15">
        <v>1.1619999999999999</v>
      </c>
      <c r="EN33" s="2">
        <v>1.8</v>
      </c>
      <c r="EO33" s="4">
        <v>8.2000000000000003E-2</v>
      </c>
      <c r="EP33" s="2">
        <v>0.496</v>
      </c>
      <c r="EQ33" s="2">
        <f>AVERAGE(0.892,0.103,0.029,0.153,0.062,0,0,0)</f>
        <v>0.15487500000000001</v>
      </c>
      <c r="ER33" s="2">
        <v>0.121</v>
      </c>
      <c r="ES33" s="33"/>
      <c r="ET33" s="1" t="s">
        <v>7</v>
      </c>
      <c r="EU33" s="12">
        <f t="shared" si="42"/>
        <v>-4.0000000000000036E-3</v>
      </c>
      <c r="EV33" s="69">
        <f t="shared" si="43"/>
        <v>5.8999999999999941E-2</v>
      </c>
      <c r="EW33" s="69">
        <f t="shared" si="44"/>
        <v>-5.7000000000000009E-2</v>
      </c>
      <c r="EX33" s="1" t="s">
        <v>7</v>
      </c>
      <c r="EY33" s="58">
        <f t="shared" si="45"/>
        <v>9.000000000000008E-3</v>
      </c>
      <c r="EZ33" s="2">
        <f t="shared" si="46"/>
        <v>1.7375000000000029E-2</v>
      </c>
      <c r="FA33" s="131">
        <f t="shared" si="47"/>
        <v>-2.0999999999999991E-2</v>
      </c>
      <c r="FB33" s="33"/>
      <c r="FC33" s="33"/>
      <c r="FD33" s="33"/>
      <c r="FE33" s="33"/>
      <c r="FF33" s="33"/>
      <c r="FG33" s="33"/>
      <c r="FH33" s="33"/>
      <c r="FI33" s="33"/>
      <c r="FJ33" s="33"/>
      <c r="FK33" s="34"/>
      <c r="FL33" s="33"/>
      <c r="FM33" s="1" t="s">
        <v>7</v>
      </c>
      <c r="FN33" s="15" t="s">
        <v>863</v>
      </c>
      <c r="FO33" s="2" t="s">
        <v>864</v>
      </c>
      <c r="FP33" s="4" t="s">
        <v>865</v>
      </c>
      <c r="FQ33" s="1" t="s">
        <v>7</v>
      </c>
      <c r="FR33" s="2" t="s">
        <v>868</v>
      </c>
      <c r="FS33" s="2" t="s">
        <v>867</v>
      </c>
      <c r="FT33" s="2" t="s">
        <v>866</v>
      </c>
      <c r="FU33" s="75"/>
      <c r="FV33" s="38"/>
      <c r="FW33" s="1" t="s">
        <v>7</v>
      </c>
      <c r="FX33" s="15">
        <v>1.19</v>
      </c>
      <c r="FY33" s="2">
        <v>1.843</v>
      </c>
      <c r="FZ33" s="4">
        <v>3.9E-2</v>
      </c>
      <c r="GA33" s="2">
        <v>0.52300000000000002</v>
      </c>
      <c r="GB33" s="2">
        <f>AVERAGE(0.927,0,0.101,0.067,0.064,0,0,0)</f>
        <v>0.144875</v>
      </c>
      <c r="GC33" s="2">
        <v>0.126</v>
      </c>
      <c r="GD33" s="33"/>
      <c r="GE33" s="1" t="s">
        <v>7</v>
      </c>
      <c r="GF33" s="12">
        <f t="shared" si="48"/>
        <v>2.8000000000000025E-2</v>
      </c>
      <c r="GG33" s="69">
        <f t="shared" si="35"/>
        <v>4.2999999999999927E-2</v>
      </c>
      <c r="GH33" s="69">
        <f t="shared" si="36"/>
        <v>-4.3000000000000003E-2</v>
      </c>
      <c r="GI33" s="1" t="s">
        <v>7</v>
      </c>
      <c r="GJ33" s="70">
        <f t="shared" si="49"/>
        <v>2.7000000000000024E-2</v>
      </c>
      <c r="GK33" s="2">
        <f t="shared" si="50"/>
        <v>-1.0000000000000009E-2</v>
      </c>
      <c r="GL33" s="2">
        <f t="shared" si="51"/>
        <v>5.0000000000000044E-3</v>
      </c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8"/>
      <c r="GX33" s="1" t="s">
        <v>7</v>
      </c>
      <c r="GY33" s="15" t="s">
        <v>804</v>
      </c>
      <c r="GZ33" s="2" t="s">
        <v>805</v>
      </c>
      <c r="HA33" s="4" t="s">
        <v>806</v>
      </c>
      <c r="HB33" s="1" t="s">
        <v>7</v>
      </c>
      <c r="HC33" s="2" t="s">
        <v>809</v>
      </c>
      <c r="HD33" s="2" t="s">
        <v>808</v>
      </c>
      <c r="HE33" s="2" t="s">
        <v>807</v>
      </c>
      <c r="HG33" s="33"/>
      <c r="HH33" s="1" t="s">
        <v>7</v>
      </c>
      <c r="HI33" s="15">
        <v>1.29</v>
      </c>
      <c r="HJ33" s="15">
        <v>1.29</v>
      </c>
      <c r="HK33" s="15">
        <v>1.1659999999999999</v>
      </c>
      <c r="HL33" s="15">
        <v>1.1619999999999999</v>
      </c>
      <c r="HM33" s="15">
        <v>1.19</v>
      </c>
      <c r="HV33" s="1" t="s">
        <v>7</v>
      </c>
      <c r="HW33" s="2">
        <v>1.673</v>
      </c>
      <c r="HX33" s="2">
        <v>1.673</v>
      </c>
      <c r="HY33" s="2">
        <v>1.7410000000000001</v>
      </c>
      <c r="HZ33" s="2">
        <v>1.8</v>
      </c>
      <c r="IA33" s="2">
        <v>1.843</v>
      </c>
      <c r="IJ33" s="1" t="s">
        <v>7</v>
      </c>
      <c r="IK33" s="4">
        <v>0.20200000000000001</v>
      </c>
      <c r="IL33" s="4">
        <v>0.20200000000000001</v>
      </c>
      <c r="IM33" s="4">
        <v>0.13900000000000001</v>
      </c>
      <c r="IN33" s="4">
        <v>8.2000000000000003E-2</v>
      </c>
      <c r="IO33" s="4">
        <v>3.9E-2</v>
      </c>
      <c r="IX33" s="1" t="s">
        <v>7</v>
      </c>
      <c r="IY33" s="12">
        <v>0.33400000000000002</v>
      </c>
      <c r="IZ33" s="58">
        <v>0.33700000000000002</v>
      </c>
      <c r="JA33" s="15">
        <v>0.48699999999999999</v>
      </c>
      <c r="JB33" s="2">
        <v>0.496</v>
      </c>
      <c r="JC33" s="2">
        <v>0.52300000000000002</v>
      </c>
      <c r="JL33" s="1" t="s">
        <v>7</v>
      </c>
      <c r="JM33" s="12">
        <v>0.113</v>
      </c>
      <c r="JN33" s="2">
        <v>0.115</v>
      </c>
      <c r="JO33" s="15">
        <v>0.14199999999999999</v>
      </c>
      <c r="JP33" s="2">
        <v>0.121</v>
      </c>
      <c r="JQ33" s="2">
        <v>0.126</v>
      </c>
      <c r="JZ33" s="1" t="s">
        <v>7</v>
      </c>
      <c r="KA33" s="12">
        <v>0.15466666666666665</v>
      </c>
      <c r="KB33" s="15">
        <v>0.17475000000000002</v>
      </c>
      <c r="KC33" s="15">
        <v>0.13749999999999998</v>
      </c>
      <c r="KD33" s="2">
        <v>0.15487500000000001</v>
      </c>
      <c r="KE33" s="2">
        <v>0.144875</v>
      </c>
    </row>
    <row r="34" spans="1:291" ht="30" customHeight="1" thickBot="1" x14ac:dyDescent="0.35">
      <c r="A34" s="36" t="s">
        <v>10</v>
      </c>
      <c r="B34" s="15">
        <v>1.304</v>
      </c>
      <c r="C34" s="2">
        <v>1.6970000000000001</v>
      </c>
      <c r="D34" s="4">
        <v>0.185</v>
      </c>
      <c r="N34" s="1" t="s">
        <v>10</v>
      </c>
      <c r="O34" s="12">
        <v>0.35</v>
      </c>
      <c r="P34" s="12">
        <v>0.12</v>
      </c>
      <c r="Q34" s="12">
        <f>AVERAGE(0.533,0.307,0.196,0.087,0.012,0.2,0.025,0,)</f>
        <v>0.15111111111111108</v>
      </c>
      <c r="AB34" s="1" t="s">
        <v>10</v>
      </c>
      <c r="AC34" s="15" t="s">
        <v>132</v>
      </c>
      <c r="AD34" s="2" t="s">
        <v>143</v>
      </c>
      <c r="AE34" s="4" t="s">
        <v>154</v>
      </c>
      <c r="AF34" s="15" t="s">
        <v>165</v>
      </c>
      <c r="AG34" s="2" t="s">
        <v>176</v>
      </c>
      <c r="AH34" s="4" t="s">
        <v>187</v>
      </c>
      <c r="AK34" s="1" t="s">
        <v>10</v>
      </c>
      <c r="AL34" s="51"/>
      <c r="AM34" s="52"/>
      <c r="AN34" s="53"/>
      <c r="AO34" s="51"/>
      <c r="AP34" s="52"/>
      <c r="AQ34" s="53"/>
      <c r="BN34" s="75"/>
      <c r="BP34" s="1" t="s">
        <v>10</v>
      </c>
      <c r="BQ34" s="15">
        <v>1.3049999999999999</v>
      </c>
      <c r="BR34" s="2">
        <v>1.698</v>
      </c>
      <c r="BS34" s="4">
        <v>0.184</v>
      </c>
      <c r="BT34" s="58">
        <v>0.35</v>
      </c>
      <c r="BU34" s="2">
        <f>AVERAGE(0.533,0.307,0.196,0.087,0.012,0.2,0.025,0)</f>
        <v>0.16999999999999998</v>
      </c>
      <c r="BV34" s="2">
        <v>0.12</v>
      </c>
      <c r="BX34" s="1" t="s">
        <v>10</v>
      </c>
      <c r="BY34" s="12">
        <f t="shared" si="37"/>
        <v>9.9999999999988987E-4</v>
      </c>
      <c r="BZ34" s="12">
        <f t="shared" si="38"/>
        <v>9.9999999999988987E-4</v>
      </c>
      <c r="CA34" s="12">
        <f t="shared" si="39"/>
        <v>-1.0000000000000009E-3</v>
      </c>
      <c r="CB34" s="1" t="s">
        <v>10</v>
      </c>
      <c r="CC34" s="70">
        <f t="shared" si="27"/>
        <v>0</v>
      </c>
      <c r="CD34" s="131">
        <f t="shared" si="40"/>
        <v>1.8888888888888899E-2</v>
      </c>
      <c r="CE34" s="131">
        <f t="shared" si="41"/>
        <v>0</v>
      </c>
      <c r="CQ34" s="1" t="s">
        <v>10</v>
      </c>
      <c r="CR34" s="15" t="s">
        <v>979</v>
      </c>
      <c r="CS34" s="2" t="s">
        <v>980</v>
      </c>
      <c r="CT34" s="4" t="s">
        <v>981</v>
      </c>
      <c r="CU34" s="1" t="s">
        <v>10</v>
      </c>
      <c r="CV34" s="58" t="s">
        <v>165</v>
      </c>
      <c r="CW34" s="2" t="s">
        <v>983</v>
      </c>
      <c r="CX34" s="2" t="s">
        <v>982</v>
      </c>
      <c r="CZ34" s="38"/>
      <c r="DA34" s="1" t="s">
        <v>10</v>
      </c>
      <c r="DB34" s="15">
        <v>1.2789999999999999</v>
      </c>
      <c r="DC34" s="2">
        <v>1.7</v>
      </c>
      <c r="DD34" s="4">
        <v>0.183</v>
      </c>
      <c r="DE34" s="15">
        <v>0.40100000000000002</v>
      </c>
      <c r="DF34" s="15">
        <f>AVERAGE(0.653,0.443,0.121,0.117,0.08,0,0,0)</f>
        <v>0.17675000000000002</v>
      </c>
      <c r="DG34" s="15">
        <v>0.13100000000000001</v>
      </c>
      <c r="DH34" s="33"/>
      <c r="DI34" s="1" t="s">
        <v>10</v>
      </c>
      <c r="DJ34" s="12">
        <f t="shared" si="28"/>
        <v>-2.6000000000000023E-2</v>
      </c>
      <c r="DK34" s="12">
        <f t="shared" si="29"/>
        <v>2.0000000000000018E-3</v>
      </c>
      <c r="DL34" s="12">
        <f t="shared" si="30"/>
        <v>-1.0000000000000009E-3</v>
      </c>
      <c r="DM34" s="1" t="s">
        <v>10</v>
      </c>
      <c r="DN34" s="70">
        <f t="shared" si="31"/>
        <v>5.1000000000000045E-2</v>
      </c>
      <c r="DO34" s="2">
        <f t="shared" si="32"/>
        <v>6.7500000000000338E-3</v>
      </c>
      <c r="DP34" s="2">
        <f t="shared" si="33"/>
        <v>1.100000000000001E-2</v>
      </c>
      <c r="DQ34" s="33"/>
      <c r="DR34" s="33"/>
      <c r="DS34" s="33"/>
      <c r="DT34" s="33"/>
      <c r="DU34" s="33"/>
      <c r="DV34" s="33"/>
      <c r="DW34" s="33"/>
      <c r="DX34" s="33"/>
      <c r="DY34" s="33"/>
      <c r="DZ34" s="34"/>
      <c r="EA34" s="33"/>
      <c r="EB34" s="1" t="s">
        <v>10</v>
      </c>
      <c r="EC34" s="15" t="s">
        <v>921</v>
      </c>
      <c r="ED34" s="2" t="s">
        <v>922</v>
      </c>
      <c r="EE34" s="4" t="s">
        <v>923</v>
      </c>
      <c r="EF34" s="1" t="s">
        <v>10</v>
      </c>
      <c r="EG34" s="15" t="s">
        <v>926</v>
      </c>
      <c r="EH34" s="15" t="s">
        <v>925</v>
      </c>
      <c r="EI34" s="15" t="s">
        <v>924</v>
      </c>
      <c r="EJ34" s="33"/>
      <c r="EK34" s="38"/>
      <c r="EL34" s="1" t="s">
        <v>10</v>
      </c>
      <c r="EM34" s="15">
        <v>1.284</v>
      </c>
      <c r="EN34" s="2">
        <v>1.776</v>
      </c>
      <c r="EO34" s="4">
        <v>0.108</v>
      </c>
      <c r="EP34" s="2">
        <v>0.41699999999999998</v>
      </c>
      <c r="EQ34" s="2">
        <f>AVERAGE(0.697,0.195,0.153,0.025,0.043,0,0,0)</f>
        <v>0.13912499999999997</v>
      </c>
      <c r="ER34" s="2">
        <v>0.123</v>
      </c>
      <c r="ES34" s="33"/>
      <c r="ET34" s="1" t="s">
        <v>10</v>
      </c>
      <c r="EU34" s="12">
        <f t="shared" si="42"/>
        <v>5.0000000000001155E-3</v>
      </c>
      <c r="EV34" s="69">
        <f t="shared" si="43"/>
        <v>7.6000000000000068E-2</v>
      </c>
      <c r="EW34" s="69">
        <f t="shared" si="44"/>
        <v>-7.4999999999999997E-2</v>
      </c>
      <c r="EX34" s="1" t="s">
        <v>10</v>
      </c>
      <c r="EY34" s="58">
        <f t="shared" si="45"/>
        <v>1.5999999999999959E-2</v>
      </c>
      <c r="EZ34" s="2">
        <f t="shared" si="46"/>
        <v>-3.7625000000000047E-2</v>
      </c>
      <c r="FA34" s="2">
        <f t="shared" si="47"/>
        <v>-8.0000000000000071E-3</v>
      </c>
      <c r="FB34" s="33"/>
      <c r="FC34" s="33"/>
      <c r="FD34" s="33"/>
      <c r="FE34" s="33"/>
      <c r="FF34" s="33"/>
      <c r="FG34" s="33"/>
      <c r="FH34" s="33"/>
      <c r="FI34" s="33"/>
      <c r="FJ34" s="33"/>
      <c r="FK34" s="34"/>
      <c r="FL34" s="33"/>
      <c r="FM34" s="1" t="s">
        <v>10</v>
      </c>
      <c r="FN34" s="15" t="s">
        <v>869</v>
      </c>
      <c r="FO34" s="2" t="s">
        <v>870</v>
      </c>
      <c r="FP34" s="4" t="s">
        <v>871</v>
      </c>
      <c r="FQ34" s="1" t="s">
        <v>10</v>
      </c>
      <c r="FR34" s="2" t="s">
        <v>874</v>
      </c>
      <c r="FS34" s="2" t="s">
        <v>873</v>
      </c>
      <c r="FT34" s="2" t="s">
        <v>872</v>
      </c>
      <c r="FU34" s="33"/>
      <c r="FV34" s="38"/>
      <c r="FW34" s="1" t="s">
        <v>10</v>
      </c>
      <c r="FX34" s="15">
        <v>1.3</v>
      </c>
      <c r="FY34" s="2">
        <v>1.7549999999999999</v>
      </c>
      <c r="FZ34" s="4">
        <v>0.129</v>
      </c>
      <c r="GA34" s="2">
        <v>0.40899999999999997</v>
      </c>
      <c r="GB34" s="2">
        <f>AVERAGE(0.685,0.273,0.104,0.067,0.093,0,0,0)</f>
        <v>0.15275</v>
      </c>
      <c r="GC34" s="2">
        <v>0.114</v>
      </c>
      <c r="GD34" s="33"/>
      <c r="GE34" s="1" t="s">
        <v>10</v>
      </c>
      <c r="GF34" s="12">
        <f t="shared" si="48"/>
        <v>1.6000000000000014E-2</v>
      </c>
      <c r="GG34" s="12">
        <f t="shared" si="35"/>
        <v>-2.100000000000013E-2</v>
      </c>
      <c r="GH34" s="12">
        <f t="shared" si="36"/>
        <v>2.1000000000000005E-2</v>
      </c>
      <c r="GI34" s="1" t="s">
        <v>10</v>
      </c>
      <c r="GJ34" s="58">
        <f t="shared" si="49"/>
        <v>-8.0000000000000071E-3</v>
      </c>
      <c r="GK34" s="2">
        <f t="shared" si="50"/>
        <v>1.3625000000000026E-2</v>
      </c>
      <c r="GL34" s="2">
        <f t="shared" si="51"/>
        <v>-8.9999999999999941E-3</v>
      </c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8"/>
      <c r="GX34" s="1" t="s">
        <v>10</v>
      </c>
      <c r="GY34" s="15" t="s">
        <v>810</v>
      </c>
      <c r="GZ34" s="2" t="s">
        <v>811</v>
      </c>
      <c r="HA34" s="4" t="s">
        <v>812</v>
      </c>
      <c r="HB34" s="1" t="s">
        <v>10</v>
      </c>
      <c r="HC34" s="2" t="s">
        <v>815</v>
      </c>
      <c r="HD34" s="2" t="s">
        <v>814</v>
      </c>
      <c r="HE34" s="2" t="s">
        <v>813</v>
      </c>
      <c r="HG34" s="33"/>
      <c r="HH34" s="1" t="s">
        <v>10</v>
      </c>
      <c r="HI34" s="15">
        <v>1.304</v>
      </c>
      <c r="HJ34" s="15">
        <v>1.3049999999999999</v>
      </c>
      <c r="HK34" s="15">
        <v>1.2789999999999999</v>
      </c>
      <c r="HL34" s="15">
        <v>1.284</v>
      </c>
      <c r="HM34" s="15">
        <v>1.3</v>
      </c>
      <c r="HV34" s="1" t="s">
        <v>10</v>
      </c>
      <c r="HW34" s="2">
        <v>1.6970000000000001</v>
      </c>
      <c r="HX34" s="2">
        <v>1.698</v>
      </c>
      <c r="HY34" s="2">
        <v>1.7</v>
      </c>
      <c r="HZ34" s="2">
        <v>1.776</v>
      </c>
      <c r="IA34" s="2">
        <v>1.7549999999999999</v>
      </c>
      <c r="IJ34" s="1" t="s">
        <v>10</v>
      </c>
      <c r="IK34" s="4">
        <v>0.185</v>
      </c>
      <c r="IL34" s="4">
        <v>0.184</v>
      </c>
      <c r="IM34" s="4">
        <v>0.183</v>
      </c>
      <c r="IN34" s="4">
        <v>0.108</v>
      </c>
      <c r="IO34" s="4">
        <v>0.129</v>
      </c>
      <c r="IX34" s="1" t="s">
        <v>10</v>
      </c>
      <c r="IY34" s="12">
        <v>0.35</v>
      </c>
      <c r="IZ34" s="58">
        <v>0.35</v>
      </c>
      <c r="JA34" s="15">
        <v>0.40100000000000002</v>
      </c>
      <c r="JB34" s="2">
        <v>0.41699999999999998</v>
      </c>
      <c r="JC34" s="2">
        <v>0.40899999999999997</v>
      </c>
      <c r="JL34" s="1" t="s">
        <v>10</v>
      </c>
      <c r="JM34" s="12">
        <v>0.12</v>
      </c>
      <c r="JN34" s="2">
        <v>0.12</v>
      </c>
      <c r="JO34" s="15">
        <v>0.13100000000000001</v>
      </c>
      <c r="JP34" s="2">
        <v>0.123</v>
      </c>
      <c r="JQ34" s="2">
        <v>0.114</v>
      </c>
      <c r="JZ34" s="1" t="s">
        <v>10</v>
      </c>
      <c r="KA34" s="12">
        <v>0.15111111111111108</v>
      </c>
      <c r="KB34" s="15">
        <v>0.16999999999999998</v>
      </c>
      <c r="KC34" s="15">
        <v>0.17675000000000002</v>
      </c>
      <c r="KD34" s="2">
        <v>0.13912499999999997</v>
      </c>
      <c r="KE34" s="2">
        <v>0.15275</v>
      </c>
    </row>
    <row r="35" spans="1:291" ht="30" customHeight="1" thickBot="1" x14ac:dyDescent="0.35">
      <c r="A35" s="36" t="s">
        <v>18</v>
      </c>
      <c r="B35" s="15">
        <v>1.2889999999999999</v>
      </c>
      <c r="C35" s="2">
        <v>1.645</v>
      </c>
      <c r="D35" s="4">
        <v>0.23300000000000001</v>
      </c>
      <c r="N35" s="1" t="s">
        <v>18</v>
      </c>
      <c r="O35" s="12">
        <v>0.34200000000000003</v>
      </c>
      <c r="P35" s="12">
        <v>0.11799999999999999</v>
      </c>
      <c r="Q35" s="12">
        <f>AVERAGE(0.519,0.343,0.154,0.117,0.022,0.208,0.075,0.05,)</f>
        <v>0.16533333333333333</v>
      </c>
      <c r="AB35" s="1" t="s">
        <v>18</v>
      </c>
      <c r="AC35" s="15" t="s">
        <v>133</v>
      </c>
      <c r="AD35" s="2" t="s">
        <v>144</v>
      </c>
      <c r="AE35" s="4" t="s">
        <v>155</v>
      </c>
      <c r="AF35" s="15" t="s">
        <v>166</v>
      </c>
      <c r="AG35" s="2" t="s">
        <v>177</v>
      </c>
      <c r="AH35" s="4" t="s">
        <v>188</v>
      </c>
      <c r="AK35" s="1" t="s">
        <v>18</v>
      </c>
      <c r="AL35" s="51"/>
      <c r="AM35" s="52"/>
      <c r="AN35" s="53"/>
      <c r="AO35" s="51"/>
      <c r="AP35" s="52"/>
      <c r="AQ35" s="53"/>
      <c r="BP35" s="1" t="s">
        <v>18</v>
      </c>
      <c r="BQ35" s="15">
        <v>1.2889999999999999</v>
      </c>
      <c r="BR35" s="2">
        <v>1.645</v>
      </c>
      <c r="BS35" s="4">
        <v>0.23300000000000001</v>
      </c>
      <c r="BT35" s="58">
        <v>0.34200000000000003</v>
      </c>
      <c r="BU35" s="2">
        <f>AVERAGE(0.519,0.343,0.154,0.117,0.022,0.208,0.075,0.05)</f>
        <v>0.186</v>
      </c>
      <c r="BV35" s="2">
        <v>0.11799999999999999</v>
      </c>
      <c r="BX35" s="1" t="s">
        <v>18</v>
      </c>
      <c r="BY35" s="12">
        <f t="shared" si="37"/>
        <v>0</v>
      </c>
      <c r="BZ35" s="12">
        <f t="shared" si="38"/>
        <v>0</v>
      </c>
      <c r="CA35" s="12">
        <f t="shared" si="39"/>
        <v>0</v>
      </c>
      <c r="CB35" s="1" t="s">
        <v>18</v>
      </c>
      <c r="CC35" s="70">
        <f t="shared" si="27"/>
        <v>0</v>
      </c>
      <c r="CD35" s="131">
        <f t="shared" si="40"/>
        <v>2.0666666666666667E-2</v>
      </c>
      <c r="CE35" s="131">
        <f t="shared" si="41"/>
        <v>0</v>
      </c>
      <c r="CQ35" s="1" t="s">
        <v>18</v>
      </c>
      <c r="CR35" s="15" t="s">
        <v>133</v>
      </c>
      <c r="CS35" s="2" t="s">
        <v>144</v>
      </c>
      <c r="CT35" s="4" t="s">
        <v>155</v>
      </c>
      <c r="CU35" s="1" t="s">
        <v>18</v>
      </c>
      <c r="CV35" s="58" t="s">
        <v>166</v>
      </c>
      <c r="CW35" s="2" t="s">
        <v>984</v>
      </c>
      <c r="CX35" s="2" t="s">
        <v>177</v>
      </c>
      <c r="CY35" s="75"/>
      <c r="CZ35" s="38"/>
      <c r="DA35" s="1" t="s">
        <v>18</v>
      </c>
      <c r="DB35" s="15">
        <v>1.274</v>
      </c>
      <c r="DC35" s="2">
        <v>1.629</v>
      </c>
      <c r="DD35" s="4">
        <v>0.248</v>
      </c>
      <c r="DE35" s="15">
        <v>0.34200000000000003</v>
      </c>
      <c r="DF35" s="15">
        <f>AVERAGE(0.517,0.41,0.158,0.133,0.024,0.125,0.125,0)</f>
        <v>0.1865</v>
      </c>
      <c r="DG35" s="15">
        <v>0.126</v>
      </c>
      <c r="DH35" s="33"/>
      <c r="DI35" s="1" t="s">
        <v>18</v>
      </c>
      <c r="DJ35" s="12">
        <f t="shared" si="28"/>
        <v>-1.4999999999999902E-2</v>
      </c>
      <c r="DK35" s="12">
        <f t="shared" si="29"/>
        <v>-1.6000000000000014E-2</v>
      </c>
      <c r="DL35" s="12">
        <f t="shared" si="30"/>
        <v>1.4999999999999986E-2</v>
      </c>
      <c r="DM35" s="1" t="s">
        <v>18</v>
      </c>
      <c r="DN35" s="58">
        <f t="shared" si="31"/>
        <v>0</v>
      </c>
      <c r="DO35" s="2">
        <f t="shared" si="32"/>
        <v>5.0000000000000044E-4</v>
      </c>
      <c r="DP35" s="2">
        <f t="shared" si="33"/>
        <v>8.0000000000000071E-3</v>
      </c>
      <c r="DQ35" s="33"/>
      <c r="DR35" s="33"/>
      <c r="DS35" s="33"/>
      <c r="DT35" s="33"/>
      <c r="DU35" s="33"/>
      <c r="DV35" s="33"/>
      <c r="DW35" s="33"/>
      <c r="DX35" s="33"/>
      <c r="DY35" s="33"/>
      <c r="DZ35" s="34"/>
      <c r="EA35" s="33"/>
      <c r="EB35" s="1" t="s">
        <v>18</v>
      </c>
      <c r="EC35" s="15" t="s">
        <v>927</v>
      </c>
      <c r="ED35" s="2" t="s">
        <v>928</v>
      </c>
      <c r="EE35" s="4" t="s">
        <v>929</v>
      </c>
      <c r="EF35" s="1" t="s">
        <v>18</v>
      </c>
      <c r="EG35" s="15" t="s">
        <v>932</v>
      </c>
      <c r="EH35" s="15" t="s">
        <v>931</v>
      </c>
      <c r="EI35" s="15" t="s">
        <v>930</v>
      </c>
      <c r="EJ35" s="75"/>
      <c r="EK35" s="38"/>
      <c r="EL35" s="1" t="s">
        <v>18</v>
      </c>
      <c r="EM35" s="15">
        <v>1.268</v>
      </c>
      <c r="EN35" s="2">
        <v>1.633</v>
      </c>
      <c r="EO35" s="4">
        <v>0.24399999999999999</v>
      </c>
      <c r="EP35" s="2">
        <v>0.35699999999999998</v>
      </c>
      <c r="EQ35" s="2">
        <f>AVERAGE(0.558,0.302,0.152,0.017,0.027,0.15,0.1,0.05)</f>
        <v>0.16949999999999998</v>
      </c>
      <c r="ER35" s="2">
        <v>0.11899999999999999</v>
      </c>
      <c r="ES35" s="33"/>
      <c r="ET35" s="1" t="s">
        <v>18</v>
      </c>
      <c r="EU35" s="12">
        <f t="shared" si="42"/>
        <v>-6.0000000000000053E-3</v>
      </c>
      <c r="EV35" s="12">
        <f t="shared" si="43"/>
        <v>4.0000000000000036E-3</v>
      </c>
      <c r="EW35" s="12">
        <f t="shared" si="44"/>
        <v>-4.0000000000000036E-3</v>
      </c>
      <c r="EX35" s="1" t="s">
        <v>18</v>
      </c>
      <c r="EY35" s="58">
        <f t="shared" si="45"/>
        <v>1.4999999999999958E-2</v>
      </c>
      <c r="EZ35" s="2">
        <f t="shared" si="46"/>
        <v>-1.7000000000000015E-2</v>
      </c>
      <c r="FA35" s="2">
        <f t="shared" si="47"/>
        <v>-7.0000000000000062E-3</v>
      </c>
      <c r="FB35" s="33"/>
      <c r="FC35" s="33"/>
      <c r="FD35" s="33"/>
      <c r="FE35" s="33"/>
      <c r="FF35" s="33"/>
      <c r="FG35" s="33"/>
      <c r="FH35" s="33"/>
      <c r="FI35" s="33"/>
      <c r="FJ35" s="33"/>
      <c r="FK35" s="34"/>
      <c r="FL35" s="33"/>
      <c r="FM35" s="1" t="s">
        <v>18</v>
      </c>
      <c r="FN35" s="15" t="s">
        <v>875</v>
      </c>
      <c r="FO35" s="2" t="s">
        <v>876</v>
      </c>
      <c r="FP35" s="4" t="s">
        <v>877</v>
      </c>
      <c r="FQ35" s="1" t="s">
        <v>18</v>
      </c>
      <c r="FR35" s="2" t="s">
        <v>880</v>
      </c>
      <c r="FS35" s="2" t="s">
        <v>879</v>
      </c>
      <c r="FT35" s="2" t="s">
        <v>878</v>
      </c>
      <c r="FU35" s="33"/>
      <c r="FV35" s="38"/>
      <c r="FW35" s="1" t="s">
        <v>18</v>
      </c>
      <c r="FX35" s="15">
        <v>1.2809999999999999</v>
      </c>
      <c r="FY35" s="2">
        <v>1.645</v>
      </c>
      <c r="FZ35" s="4">
        <v>0.23499999999999999</v>
      </c>
      <c r="GA35" s="2">
        <v>0.33</v>
      </c>
      <c r="GB35" s="2">
        <f>AVERAGE(0.511,0.377,0.154,0.067,0.014,0.175,0,0)</f>
        <v>0.16225000000000001</v>
      </c>
      <c r="GC35" s="2">
        <v>0.108</v>
      </c>
      <c r="GD35" s="33"/>
      <c r="GE35" s="1" t="s">
        <v>18</v>
      </c>
      <c r="GF35" s="12">
        <f t="shared" si="48"/>
        <v>1.2999999999999901E-2</v>
      </c>
      <c r="GG35" s="12">
        <f t="shared" si="35"/>
        <v>1.2000000000000011E-2</v>
      </c>
      <c r="GH35" s="12">
        <f t="shared" si="36"/>
        <v>-9.000000000000008E-3</v>
      </c>
      <c r="GI35" s="1" t="s">
        <v>18</v>
      </c>
      <c r="GJ35" s="58">
        <f t="shared" si="49"/>
        <v>-2.6999999999999968E-2</v>
      </c>
      <c r="GK35" s="2">
        <f t="shared" si="50"/>
        <v>-7.2499999999999787E-3</v>
      </c>
      <c r="GL35" s="2">
        <f t="shared" si="51"/>
        <v>-1.0999999999999996E-2</v>
      </c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8"/>
      <c r="GX35" s="1" t="s">
        <v>18</v>
      </c>
      <c r="GY35" s="15" t="s">
        <v>816</v>
      </c>
      <c r="GZ35" s="2" t="s">
        <v>817</v>
      </c>
      <c r="HA35" s="4" t="s">
        <v>818</v>
      </c>
      <c r="HB35" s="1" t="s">
        <v>18</v>
      </c>
      <c r="HC35" s="2" t="s">
        <v>821</v>
      </c>
      <c r="HD35" s="2" t="s">
        <v>820</v>
      </c>
      <c r="HE35" s="2" t="s">
        <v>819</v>
      </c>
      <c r="HG35" s="33"/>
      <c r="HH35" s="1" t="s">
        <v>18</v>
      </c>
      <c r="HI35" s="15">
        <v>1.2889999999999999</v>
      </c>
      <c r="HJ35" s="15">
        <v>1.2889999999999999</v>
      </c>
      <c r="HK35" s="15">
        <v>1.274</v>
      </c>
      <c r="HL35" s="15">
        <v>1.268</v>
      </c>
      <c r="HM35" s="15">
        <v>1.2809999999999999</v>
      </c>
      <c r="HV35" s="1" t="s">
        <v>18</v>
      </c>
      <c r="HW35" s="2">
        <v>1.645</v>
      </c>
      <c r="HX35" s="2">
        <v>1.645</v>
      </c>
      <c r="HY35" s="2">
        <v>1.629</v>
      </c>
      <c r="HZ35" s="2">
        <v>1.633</v>
      </c>
      <c r="IA35" s="2">
        <v>1.645</v>
      </c>
      <c r="IJ35" s="1" t="s">
        <v>18</v>
      </c>
      <c r="IK35" s="4">
        <v>0.23300000000000001</v>
      </c>
      <c r="IL35" s="4">
        <v>0.23300000000000001</v>
      </c>
      <c r="IM35" s="4">
        <v>0.248</v>
      </c>
      <c r="IN35" s="4">
        <v>0.24399999999999999</v>
      </c>
      <c r="IO35" s="4">
        <v>0.23499999999999999</v>
      </c>
      <c r="IX35" s="1" t="s">
        <v>18</v>
      </c>
      <c r="IY35" s="12">
        <v>0.34200000000000003</v>
      </c>
      <c r="IZ35" s="58">
        <v>0.34200000000000003</v>
      </c>
      <c r="JA35" s="15">
        <v>0.34200000000000003</v>
      </c>
      <c r="JB35" s="2">
        <v>0.35699999999999998</v>
      </c>
      <c r="JC35" s="2">
        <v>0.33</v>
      </c>
      <c r="JL35" s="1" t="s">
        <v>18</v>
      </c>
      <c r="JM35" s="12">
        <v>0.11799999999999999</v>
      </c>
      <c r="JN35" s="2">
        <v>0.11799999999999999</v>
      </c>
      <c r="JO35" s="15">
        <v>0.126</v>
      </c>
      <c r="JP35" s="2">
        <v>0.11899999999999999</v>
      </c>
      <c r="JQ35" s="2">
        <v>0.108</v>
      </c>
      <c r="JZ35" s="1" t="s">
        <v>18</v>
      </c>
      <c r="KA35" s="12">
        <v>0.16533333333333333</v>
      </c>
      <c r="KB35" s="15">
        <v>0.186</v>
      </c>
      <c r="KC35" s="15">
        <v>0.1865</v>
      </c>
      <c r="KD35" s="2">
        <v>0.16949999999999998</v>
      </c>
      <c r="KE35" s="2">
        <v>0.16225000000000001</v>
      </c>
    </row>
    <row r="36" spans="1:291" ht="30" customHeight="1" thickBot="1" x14ac:dyDescent="0.35">
      <c r="A36" s="36" t="s">
        <v>19</v>
      </c>
      <c r="B36" s="15">
        <v>1.353</v>
      </c>
      <c r="C36" s="2">
        <v>1.804</v>
      </c>
      <c r="D36" s="4">
        <v>7.5999999999999998E-2</v>
      </c>
      <c r="N36" s="1" t="s">
        <v>19</v>
      </c>
      <c r="O36" s="12">
        <v>0.36799999999999999</v>
      </c>
      <c r="P36" s="12">
        <v>0.11799999999999999</v>
      </c>
      <c r="Q36" s="12">
        <f>AVERAGE(0.559,0.358,0.184,0.357,0.014,0.1,0.1,0.05,)</f>
        <v>0.19133333333333336</v>
      </c>
      <c r="AB36" s="1" t="s">
        <v>19</v>
      </c>
      <c r="AC36" s="15" t="s">
        <v>134</v>
      </c>
      <c r="AD36" s="2" t="s">
        <v>145</v>
      </c>
      <c r="AE36" s="4" t="s">
        <v>156</v>
      </c>
      <c r="AF36" s="15" t="s">
        <v>167</v>
      </c>
      <c r="AG36" s="2" t="s">
        <v>178</v>
      </c>
      <c r="AH36" s="4" t="s">
        <v>189</v>
      </c>
      <c r="AK36" s="1" t="s">
        <v>19</v>
      </c>
      <c r="AL36" s="51"/>
      <c r="AM36" s="52"/>
      <c r="AN36" s="53"/>
      <c r="AO36" s="51"/>
      <c r="AP36" s="52"/>
      <c r="AQ36" s="53"/>
      <c r="BP36" s="1" t="s">
        <v>19</v>
      </c>
      <c r="BQ36" s="15">
        <v>1.4570000000000001</v>
      </c>
      <c r="BR36" s="2">
        <v>1.8939999999999999</v>
      </c>
      <c r="BS36" s="4">
        <v>-2.8000000000000001E-2</v>
      </c>
      <c r="BT36" s="58">
        <v>0.36099999999999999</v>
      </c>
      <c r="BU36" s="2">
        <f>AVERAGE(0.529,0.22,0.237,0.125,0.143,0.2,0.033,0.033)</f>
        <v>0.18999999999999997</v>
      </c>
      <c r="BV36" s="2">
        <v>0.112</v>
      </c>
      <c r="BX36" s="1" t="s">
        <v>19</v>
      </c>
      <c r="BY36" s="12">
        <f t="shared" si="37"/>
        <v>0.10400000000000009</v>
      </c>
      <c r="BZ36" s="12">
        <f t="shared" si="38"/>
        <v>8.9999999999999858E-2</v>
      </c>
      <c r="CA36" s="12">
        <f t="shared" si="39"/>
        <v>-0.104</v>
      </c>
      <c r="CB36" s="1" t="s">
        <v>19</v>
      </c>
      <c r="CC36" s="70">
        <f t="shared" si="27"/>
        <v>-7.0000000000000062E-3</v>
      </c>
      <c r="CD36" s="131">
        <f t="shared" si="40"/>
        <v>-1.3333333333333808E-3</v>
      </c>
      <c r="CE36" s="131">
        <f t="shared" si="41"/>
        <v>-5.9999999999999915E-3</v>
      </c>
      <c r="CQ36" s="1" t="s">
        <v>19</v>
      </c>
      <c r="CR36" s="15" t="s">
        <v>985</v>
      </c>
      <c r="CS36" s="2" t="s">
        <v>986</v>
      </c>
      <c r="CT36" s="32" t="s">
        <v>987</v>
      </c>
      <c r="CU36" s="1" t="s">
        <v>19</v>
      </c>
      <c r="CV36" s="58" t="s">
        <v>990</v>
      </c>
      <c r="CW36" s="2" t="s">
        <v>989</v>
      </c>
      <c r="CX36" s="2" t="s">
        <v>988</v>
      </c>
      <c r="CY36" s="75"/>
      <c r="CZ36" s="38"/>
      <c r="DA36" s="1" t="s">
        <v>19</v>
      </c>
      <c r="DB36" s="15">
        <v>1.2889999999999999</v>
      </c>
      <c r="DC36" s="3">
        <v>1.651</v>
      </c>
      <c r="DD36" s="4">
        <v>0.22500000000000001</v>
      </c>
      <c r="DE36" s="15">
        <v>0.33500000000000002</v>
      </c>
      <c r="DF36" s="15">
        <f>AVERAGE(0.498,0.393,0.216,0.017,0.037,0,0,0)</f>
        <v>0.14512499999999998</v>
      </c>
      <c r="DG36" s="15">
        <v>0.12</v>
      </c>
      <c r="DH36" s="33"/>
      <c r="DI36" s="1" t="s">
        <v>19</v>
      </c>
      <c r="DJ36" s="69">
        <f t="shared" si="28"/>
        <v>-0.16800000000000015</v>
      </c>
      <c r="DK36" s="69">
        <f t="shared" si="29"/>
        <v>-0.24299999999999988</v>
      </c>
      <c r="DL36" s="69">
        <f t="shared" si="30"/>
        <v>0.253</v>
      </c>
      <c r="DM36" s="1" t="s">
        <v>19</v>
      </c>
      <c r="DN36" s="58">
        <f t="shared" si="31"/>
        <v>-2.5999999999999968E-2</v>
      </c>
      <c r="DO36" s="2">
        <f t="shared" si="32"/>
        <v>-4.4874999999999998E-2</v>
      </c>
      <c r="DP36" s="2">
        <f t="shared" si="33"/>
        <v>7.9999999999999932E-3</v>
      </c>
      <c r="DQ36" s="33"/>
      <c r="DR36" s="33"/>
      <c r="DS36" s="33"/>
      <c r="DT36" s="33"/>
      <c r="DU36" s="33"/>
      <c r="DV36" s="33"/>
      <c r="DW36" s="33"/>
      <c r="DX36" s="33"/>
      <c r="DY36" s="33"/>
      <c r="DZ36" s="34"/>
      <c r="EA36" s="33"/>
      <c r="EB36" s="1" t="s">
        <v>19</v>
      </c>
      <c r="EC36" s="15" t="s">
        <v>933</v>
      </c>
      <c r="ED36" s="3" t="s">
        <v>934</v>
      </c>
      <c r="EE36" s="4" t="s">
        <v>935</v>
      </c>
      <c r="EF36" s="1" t="s">
        <v>19</v>
      </c>
      <c r="EG36" s="15" t="s">
        <v>938</v>
      </c>
      <c r="EH36" s="15" t="s">
        <v>937</v>
      </c>
      <c r="EI36" s="15" t="s">
        <v>936</v>
      </c>
      <c r="EJ36" s="33"/>
      <c r="EK36" s="38"/>
      <c r="EL36" s="1" t="s">
        <v>19</v>
      </c>
      <c r="EM36" s="15">
        <v>1.2549999999999999</v>
      </c>
      <c r="EN36" s="2">
        <v>1.617</v>
      </c>
      <c r="EO36" s="4">
        <v>0.25800000000000001</v>
      </c>
      <c r="EP36" s="2">
        <v>0.34899999999999998</v>
      </c>
      <c r="EQ36" s="2">
        <f>AVERAGE(0.57,0.235,0.119,0.137,0.066,0.1,0,0)</f>
        <v>0.15337500000000001</v>
      </c>
      <c r="ER36" s="2">
        <v>0.105</v>
      </c>
      <c r="ES36" s="33"/>
      <c r="ET36" s="1" t="s">
        <v>19</v>
      </c>
      <c r="EU36" s="69">
        <f t="shared" si="42"/>
        <v>-3.400000000000003E-2</v>
      </c>
      <c r="EV36" s="69">
        <f t="shared" si="43"/>
        <v>-3.400000000000003E-2</v>
      </c>
      <c r="EW36" s="12">
        <f>EO36-DD36</f>
        <v>3.3000000000000002E-2</v>
      </c>
      <c r="EX36" s="1" t="s">
        <v>19</v>
      </c>
      <c r="EY36" s="58">
        <f t="shared" si="45"/>
        <v>1.3999999999999957E-2</v>
      </c>
      <c r="EZ36" s="2">
        <f t="shared" si="46"/>
        <v>8.2500000000000351E-3</v>
      </c>
      <c r="FA36" s="2">
        <f>ER36-DG36</f>
        <v>-1.4999999999999999E-2</v>
      </c>
      <c r="FB36" s="33"/>
      <c r="FC36" s="33"/>
      <c r="FD36" s="33"/>
      <c r="FE36" s="33"/>
      <c r="FF36" s="33"/>
      <c r="FG36" s="33"/>
      <c r="FH36" s="33"/>
      <c r="FI36" s="33"/>
      <c r="FJ36" s="33"/>
      <c r="FK36" s="34"/>
      <c r="FL36" s="33"/>
      <c r="FM36" s="1" t="s">
        <v>19</v>
      </c>
      <c r="FN36" s="15" t="s">
        <v>881</v>
      </c>
      <c r="FO36" s="2" t="s">
        <v>882</v>
      </c>
      <c r="FP36" s="4" t="s">
        <v>883</v>
      </c>
      <c r="FQ36" s="1" t="s">
        <v>19</v>
      </c>
      <c r="FR36" s="2" t="s">
        <v>886</v>
      </c>
      <c r="FS36" s="2" t="s">
        <v>885</v>
      </c>
      <c r="FT36" s="2" t="s">
        <v>884</v>
      </c>
      <c r="FU36" s="33"/>
      <c r="FV36" s="38"/>
      <c r="FW36" s="1" t="s">
        <v>19</v>
      </c>
      <c r="FX36" s="15">
        <v>1.278</v>
      </c>
      <c r="FY36" s="2">
        <v>1.645</v>
      </c>
      <c r="FZ36" s="4">
        <v>0.23400000000000001</v>
      </c>
      <c r="GA36" s="2">
        <v>0.34699999999999998</v>
      </c>
      <c r="GB36" s="2">
        <f>AVERAGE(0.539,0.382,0.13,0.067,0.039,0.158,0.15,0)</f>
        <v>0.18312499999999998</v>
      </c>
      <c r="GC36" s="2">
        <v>0.112</v>
      </c>
      <c r="GD36" s="33"/>
      <c r="GE36" s="1" t="s">
        <v>19</v>
      </c>
      <c r="GF36" s="12">
        <f t="shared" si="48"/>
        <v>2.3000000000000131E-2</v>
      </c>
      <c r="GG36" s="12">
        <f t="shared" si="35"/>
        <v>2.8000000000000025E-2</v>
      </c>
      <c r="GH36" s="12">
        <f>FZ36-EO36</f>
        <v>-2.3999999999999994E-2</v>
      </c>
      <c r="GI36" s="1" t="s">
        <v>19</v>
      </c>
      <c r="GJ36" s="58">
        <f t="shared" si="49"/>
        <v>-2.0000000000000018E-3</v>
      </c>
      <c r="GK36" s="2">
        <f t="shared" si="50"/>
        <v>2.9749999999999971E-2</v>
      </c>
      <c r="GL36" s="2">
        <f t="shared" si="51"/>
        <v>7.0000000000000062E-3</v>
      </c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8"/>
      <c r="GX36" s="1" t="s">
        <v>19</v>
      </c>
      <c r="GY36" s="15" t="s">
        <v>822</v>
      </c>
      <c r="GZ36" s="2" t="s">
        <v>823</v>
      </c>
      <c r="HA36" s="4" t="s">
        <v>524</v>
      </c>
      <c r="HB36" s="1" t="s">
        <v>19</v>
      </c>
      <c r="HC36" s="2" t="s">
        <v>826</v>
      </c>
      <c r="HD36" s="2" t="s">
        <v>825</v>
      </c>
      <c r="HE36" s="2" t="s">
        <v>824</v>
      </c>
      <c r="HG36" s="33"/>
      <c r="HH36" s="1" t="s">
        <v>19</v>
      </c>
      <c r="HI36" s="15">
        <v>1.353</v>
      </c>
      <c r="HJ36" s="15">
        <v>1.4570000000000001</v>
      </c>
      <c r="HK36" s="15">
        <v>1.2889999999999999</v>
      </c>
      <c r="HL36" s="15">
        <v>1.2549999999999999</v>
      </c>
      <c r="HM36" s="15">
        <v>1.278</v>
      </c>
      <c r="HV36" s="1" t="s">
        <v>19</v>
      </c>
      <c r="HW36" s="2">
        <v>1.804</v>
      </c>
      <c r="HX36" s="2">
        <v>1.8939999999999999</v>
      </c>
      <c r="HY36" s="3">
        <v>1.651</v>
      </c>
      <c r="HZ36" s="2">
        <v>1.617</v>
      </c>
      <c r="IA36" s="2">
        <v>1.645</v>
      </c>
      <c r="IJ36" s="1" t="s">
        <v>19</v>
      </c>
      <c r="IK36" s="4">
        <v>7.5999999999999998E-2</v>
      </c>
      <c r="IL36" s="4">
        <v>-2.8000000000000001E-2</v>
      </c>
      <c r="IM36" s="4">
        <v>0.22500000000000001</v>
      </c>
      <c r="IN36" s="4">
        <v>0.25800000000000001</v>
      </c>
      <c r="IO36" s="4">
        <v>0.23400000000000001</v>
      </c>
      <c r="IX36" s="1" t="s">
        <v>19</v>
      </c>
      <c r="IY36" s="12">
        <v>0.36799999999999999</v>
      </c>
      <c r="IZ36" s="58">
        <v>0.36099999999999999</v>
      </c>
      <c r="JA36" s="15">
        <v>0.33500000000000002</v>
      </c>
      <c r="JB36" s="2">
        <v>0.34899999999999998</v>
      </c>
      <c r="JC36" s="2">
        <v>0.34699999999999998</v>
      </c>
      <c r="JL36" s="1" t="s">
        <v>19</v>
      </c>
      <c r="JM36" s="12">
        <v>0.11799999999999999</v>
      </c>
      <c r="JN36" s="2">
        <v>0.112</v>
      </c>
      <c r="JO36" s="15">
        <v>0.12</v>
      </c>
      <c r="JP36" s="2">
        <v>0.105</v>
      </c>
      <c r="JQ36" s="2">
        <v>0.112</v>
      </c>
      <c r="JZ36" s="1" t="s">
        <v>19</v>
      </c>
      <c r="KA36" s="12">
        <v>0.19133333333333336</v>
      </c>
      <c r="KB36" s="15">
        <v>0.18999999999999997</v>
      </c>
      <c r="KC36" s="15">
        <v>0.14512499999999998</v>
      </c>
      <c r="KD36" s="2">
        <v>0.15337500000000001</v>
      </c>
      <c r="KE36" s="2">
        <v>0.18312499999999998</v>
      </c>
    </row>
    <row r="37" spans="1:291" s="33" customFormat="1" ht="30" customHeight="1" thickBot="1" x14ac:dyDescent="0.35">
      <c r="A37" s="38"/>
      <c r="Z37" s="34"/>
      <c r="AA37" s="38"/>
      <c r="AI37" s="34"/>
      <c r="AJ37" s="38"/>
      <c r="BG37" s="34"/>
      <c r="BO37" s="38"/>
      <c r="CO37" s="34"/>
      <c r="CX37" s="75"/>
      <c r="CY37" s="75"/>
      <c r="CZ37" s="38"/>
      <c r="DZ37" s="34"/>
      <c r="EI37"/>
      <c r="EK37" s="38"/>
      <c r="FK37" s="34"/>
      <c r="FT37"/>
      <c r="FV37" s="38"/>
      <c r="GW37" s="38"/>
      <c r="HC37" s="59"/>
      <c r="HD37" s="59"/>
      <c r="HE37" s="59"/>
      <c r="HF37"/>
    </row>
    <row r="38" spans="1:291" ht="30" customHeight="1" thickBot="1" x14ac:dyDescent="0.35">
      <c r="A38" s="102" t="s">
        <v>22</v>
      </c>
      <c r="B38" s="103"/>
      <c r="C38" s="103"/>
      <c r="D38" s="103"/>
      <c r="E38" s="104"/>
      <c r="AB38" s="102" t="s">
        <v>22</v>
      </c>
      <c r="AC38" s="103"/>
      <c r="AD38" s="103"/>
      <c r="AE38" s="103"/>
      <c r="AF38" s="104"/>
      <c r="AK38" s="102" t="s">
        <v>22</v>
      </c>
      <c r="AL38" s="103"/>
      <c r="AM38" s="103"/>
      <c r="AN38" s="103"/>
      <c r="AO38" s="104"/>
      <c r="AQ38" s="115" t="s">
        <v>119</v>
      </c>
      <c r="AR38" s="116"/>
      <c r="AS38" s="116"/>
      <c r="AT38" s="116"/>
      <c r="AU38" s="117"/>
      <c r="BI38" s="102" t="s">
        <v>22</v>
      </c>
      <c r="BJ38" s="103"/>
      <c r="BK38" s="103"/>
      <c r="BL38" s="103"/>
      <c r="BM38" s="104"/>
      <c r="BP38" s="102" t="s">
        <v>22</v>
      </c>
      <c r="BQ38" s="103"/>
      <c r="BR38" s="103"/>
      <c r="BS38" s="103"/>
      <c r="BT38" s="104"/>
      <c r="BX38" s="115" t="s">
        <v>119</v>
      </c>
      <c r="BY38" s="116"/>
      <c r="BZ38" s="116"/>
      <c r="CA38" s="116"/>
      <c r="CB38" s="117"/>
      <c r="CQ38" s="102" t="s">
        <v>22</v>
      </c>
      <c r="CR38" s="103"/>
      <c r="CS38" s="103"/>
      <c r="CT38" s="103"/>
      <c r="CU38" s="104"/>
      <c r="CV38" s="75"/>
      <c r="CW38" s="75"/>
      <c r="CX38" s="75"/>
      <c r="CY38" s="75"/>
      <c r="CZ38" s="38"/>
      <c r="DA38" s="102" t="s">
        <v>22</v>
      </c>
      <c r="DB38" s="103"/>
      <c r="DC38" s="103"/>
      <c r="DD38" s="103"/>
      <c r="DE38" s="104"/>
      <c r="DF38" s="33"/>
      <c r="DG38" s="33"/>
      <c r="DH38" s="33"/>
      <c r="DI38" s="115" t="s">
        <v>119</v>
      </c>
      <c r="DJ38" s="116"/>
      <c r="DK38" s="116"/>
      <c r="DL38" s="116"/>
      <c r="DM38" s="117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4"/>
      <c r="EA38" s="33"/>
      <c r="EB38" s="102" t="s">
        <v>22</v>
      </c>
      <c r="EC38" s="103"/>
      <c r="ED38" s="103"/>
      <c r="EE38" s="103"/>
      <c r="EF38" s="104"/>
      <c r="EG38" s="75"/>
      <c r="EH38" s="75"/>
      <c r="EJ38" s="75"/>
      <c r="EK38" s="38"/>
      <c r="EL38" s="102" t="s">
        <v>22</v>
      </c>
      <c r="EM38" s="103"/>
      <c r="EN38" s="103"/>
      <c r="EO38" s="103"/>
      <c r="EP38" s="104"/>
      <c r="EQ38" s="33"/>
      <c r="ER38" s="33"/>
      <c r="ES38" s="33"/>
      <c r="ET38" s="115" t="s">
        <v>119</v>
      </c>
      <c r="EU38" s="116"/>
      <c r="EV38" s="116"/>
      <c r="EW38" s="116"/>
      <c r="EX38" s="117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4"/>
      <c r="FL38" s="33"/>
      <c r="FM38" s="33"/>
      <c r="FN38" s="33"/>
      <c r="FO38" s="33"/>
      <c r="FP38" s="33"/>
      <c r="FQ38" s="33"/>
      <c r="FR38" s="33"/>
      <c r="FS38" s="33"/>
      <c r="FU38" s="33"/>
      <c r="FV38" s="38"/>
      <c r="FW38" s="102" t="s">
        <v>22</v>
      </c>
      <c r="FX38" s="103"/>
      <c r="FY38" s="103"/>
      <c r="FZ38" s="103"/>
      <c r="GA38" s="104"/>
      <c r="GB38" s="33"/>
      <c r="GC38" s="33"/>
      <c r="GD38" s="33"/>
      <c r="GE38" s="115" t="s">
        <v>119</v>
      </c>
      <c r="GF38" s="116"/>
      <c r="GG38" s="116"/>
      <c r="GH38" s="116"/>
      <c r="GI38" s="117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8"/>
      <c r="GX38" s="113" t="s">
        <v>22</v>
      </c>
      <c r="GY38" s="114"/>
      <c r="GZ38" s="114"/>
      <c r="HA38" s="114"/>
      <c r="HB38" s="114"/>
      <c r="HC38" s="83"/>
      <c r="HD38" s="83"/>
      <c r="HE38" s="83"/>
      <c r="HG38" s="33"/>
    </row>
    <row r="39" spans="1:291" ht="30" customHeight="1" thickBot="1" x14ac:dyDescent="0.35">
      <c r="A39" s="35"/>
      <c r="B39" s="10" t="s">
        <v>0</v>
      </c>
      <c r="C39" s="10" t="s">
        <v>1</v>
      </c>
      <c r="D39" s="10" t="s">
        <v>2</v>
      </c>
      <c r="E39" s="11" t="s">
        <v>3</v>
      </c>
      <c r="AB39" s="9"/>
      <c r="AC39" s="10" t="s">
        <v>0</v>
      </c>
      <c r="AD39" s="10" t="s">
        <v>1</v>
      </c>
      <c r="AE39" s="10" t="s">
        <v>2</v>
      </c>
      <c r="AF39" s="11" t="s">
        <v>3</v>
      </c>
      <c r="AK39" s="9"/>
      <c r="AL39" s="10" t="s">
        <v>0</v>
      </c>
      <c r="AM39" s="10" t="s">
        <v>1</v>
      </c>
      <c r="AN39" s="10" t="s">
        <v>2</v>
      </c>
      <c r="AO39" s="11" t="s">
        <v>3</v>
      </c>
      <c r="AQ39" s="41"/>
      <c r="AR39" s="42" t="s">
        <v>0</v>
      </c>
      <c r="AS39" s="42" t="s">
        <v>1</v>
      </c>
      <c r="AT39" s="42" t="s">
        <v>2</v>
      </c>
      <c r="AU39" s="43" t="s">
        <v>3</v>
      </c>
      <c r="BI39" s="9"/>
      <c r="BJ39" s="10" t="s">
        <v>0</v>
      </c>
      <c r="BK39" s="10" t="s">
        <v>1</v>
      </c>
      <c r="BL39" s="10" t="s">
        <v>2</v>
      </c>
      <c r="BM39" s="11" t="s">
        <v>3</v>
      </c>
      <c r="BP39" s="9"/>
      <c r="BQ39" s="10" t="s">
        <v>0</v>
      </c>
      <c r="BR39" s="10" t="s">
        <v>1</v>
      </c>
      <c r="BS39" s="10" t="s">
        <v>2</v>
      </c>
      <c r="BT39" s="11" t="s">
        <v>3</v>
      </c>
      <c r="BX39" s="41"/>
      <c r="BY39" s="42" t="s">
        <v>0</v>
      </c>
      <c r="BZ39" s="42" t="s">
        <v>1</v>
      </c>
      <c r="CA39" s="42" t="s">
        <v>2</v>
      </c>
      <c r="CB39" s="43" t="s">
        <v>3</v>
      </c>
      <c r="CQ39" s="9"/>
      <c r="CR39" s="10" t="s">
        <v>0</v>
      </c>
      <c r="CS39" s="10" t="s">
        <v>1</v>
      </c>
      <c r="CT39" s="10" t="s">
        <v>2</v>
      </c>
      <c r="CU39" s="11" t="s">
        <v>3</v>
      </c>
      <c r="CV39" s="75"/>
      <c r="CW39" s="75"/>
      <c r="CX39" s="75"/>
      <c r="CY39" s="75"/>
      <c r="CZ39" s="38"/>
      <c r="DA39" s="9"/>
      <c r="DB39" s="10" t="s">
        <v>0</v>
      </c>
      <c r="DC39" s="10" t="s">
        <v>1</v>
      </c>
      <c r="DD39" s="10" t="s">
        <v>2</v>
      </c>
      <c r="DE39" s="11" t="s">
        <v>3</v>
      </c>
      <c r="DF39" s="33"/>
      <c r="DG39" s="33"/>
      <c r="DH39" s="33"/>
      <c r="DI39" s="41"/>
      <c r="DJ39" s="42" t="s">
        <v>0</v>
      </c>
      <c r="DK39" s="42" t="s">
        <v>1</v>
      </c>
      <c r="DL39" s="42" t="s">
        <v>2</v>
      </c>
      <c r="DM39" s="43" t="s">
        <v>3</v>
      </c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4"/>
      <c r="EA39" s="33"/>
      <c r="EB39" s="9"/>
      <c r="EC39" s="10" t="s">
        <v>0</v>
      </c>
      <c r="ED39" s="10" t="s">
        <v>1</v>
      </c>
      <c r="EE39" s="10" t="s">
        <v>2</v>
      </c>
      <c r="EF39" s="11" t="s">
        <v>3</v>
      </c>
      <c r="EG39" s="75"/>
      <c r="EH39" s="75"/>
      <c r="EJ39" s="75"/>
      <c r="EK39" s="38"/>
      <c r="EL39" s="9"/>
      <c r="EM39" s="10" t="s">
        <v>0</v>
      </c>
      <c r="EN39" s="10" t="s">
        <v>1</v>
      </c>
      <c r="EO39" s="10" t="s">
        <v>2</v>
      </c>
      <c r="EP39" s="11" t="s">
        <v>3</v>
      </c>
      <c r="EQ39" s="33"/>
      <c r="ER39" s="33"/>
      <c r="ES39" s="33"/>
      <c r="ET39" s="41"/>
      <c r="EU39" s="42" t="s">
        <v>0</v>
      </c>
      <c r="EV39" s="42" t="s">
        <v>1</v>
      </c>
      <c r="EW39" s="42" t="s">
        <v>2</v>
      </c>
      <c r="EX39" s="43" t="s">
        <v>3</v>
      </c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4"/>
      <c r="FL39" s="33"/>
      <c r="FM39" s="102" t="s">
        <v>22</v>
      </c>
      <c r="FN39" s="103"/>
      <c r="FO39" s="103"/>
      <c r="FP39" s="103"/>
      <c r="FQ39" s="104"/>
      <c r="FR39" s="75"/>
      <c r="FS39" s="75"/>
      <c r="FU39" s="75"/>
      <c r="FV39" s="38"/>
      <c r="FW39" s="9"/>
      <c r="FX39" s="10" t="s">
        <v>0</v>
      </c>
      <c r="FY39" s="10" t="s">
        <v>1</v>
      </c>
      <c r="FZ39" s="10" t="s">
        <v>2</v>
      </c>
      <c r="GA39" s="11" t="s">
        <v>3</v>
      </c>
      <c r="GB39" s="33"/>
      <c r="GC39" s="33"/>
      <c r="GD39" s="33"/>
      <c r="GE39" s="41"/>
      <c r="GF39" s="42" t="s">
        <v>0</v>
      </c>
      <c r="GG39" s="42" t="s">
        <v>1</v>
      </c>
      <c r="GH39" s="42" t="s">
        <v>2</v>
      </c>
      <c r="GI39" s="43" t="s">
        <v>3</v>
      </c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8"/>
      <c r="GX39" s="99"/>
      <c r="GY39" s="100" t="s">
        <v>0</v>
      </c>
      <c r="GZ39" s="100" t="s">
        <v>1</v>
      </c>
      <c r="HA39" s="100" t="s">
        <v>2</v>
      </c>
      <c r="HB39" s="101" t="s">
        <v>3</v>
      </c>
      <c r="HC39" s="66"/>
      <c r="HD39" s="66"/>
      <c r="HE39" s="66"/>
      <c r="HG39" s="33"/>
    </row>
    <row r="40" spans="1:291" ht="30" customHeight="1" thickBot="1" x14ac:dyDescent="0.35">
      <c r="A40" s="36" t="s">
        <v>4</v>
      </c>
      <c r="B40" s="2">
        <v>0.255</v>
      </c>
      <c r="C40" s="2">
        <v>0.51500000000000001</v>
      </c>
      <c r="D40" s="3">
        <f>AVERAGE(0.119,0.874)</f>
        <v>0.4965</v>
      </c>
      <c r="E40" s="4">
        <v>5.0000000000000001E-3</v>
      </c>
      <c r="AB40" s="1" t="s">
        <v>4</v>
      </c>
      <c r="AC40" s="2" t="s">
        <v>90</v>
      </c>
      <c r="AD40" s="2" t="s">
        <v>89</v>
      </c>
      <c r="AE40" s="3" t="s">
        <v>88</v>
      </c>
      <c r="AF40" s="4" t="s">
        <v>87</v>
      </c>
      <c r="AK40" s="1" t="s">
        <v>4</v>
      </c>
      <c r="AL40" s="12">
        <v>0.70899999999999996</v>
      </c>
      <c r="AM40" s="13">
        <v>0.64600000000000002</v>
      </c>
      <c r="AN40" s="16">
        <f>AVERAGE(0.807,0.264)</f>
        <v>0.53550000000000009</v>
      </c>
      <c r="AO40" s="14">
        <v>8.4000000000000005E-2</v>
      </c>
      <c r="AQ40" s="18" t="s">
        <v>4</v>
      </c>
      <c r="AR40" s="69">
        <f>AL40-B40</f>
        <v>0.45399999999999996</v>
      </c>
      <c r="AS40" s="69">
        <f t="shared" ref="AS40:AS47" si="52">AM40-C40</f>
        <v>0.13100000000000001</v>
      </c>
      <c r="AT40" s="12">
        <f t="shared" ref="AT40:AT47" si="53">AN40-D40</f>
        <v>3.900000000000009E-2</v>
      </c>
      <c r="AU40" s="12">
        <f t="shared" ref="AU40:AU47" si="54">AO40-E40</f>
        <v>7.9000000000000001E-2</v>
      </c>
      <c r="BI40" s="1" t="s">
        <v>4</v>
      </c>
      <c r="BJ40" s="12" t="s">
        <v>443</v>
      </c>
      <c r="BK40" s="13" t="s">
        <v>420</v>
      </c>
      <c r="BL40" s="16" t="s">
        <v>428</v>
      </c>
      <c r="BM40" s="14" t="s">
        <v>435</v>
      </c>
      <c r="BN40" s="75"/>
      <c r="BP40" s="1" t="s">
        <v>4</v>
      </c>
      <c r="BQ40" s="12">
        <v>0.66800000000000004</v>
      </c>
      <c r="BR40" s="13">
        <v>0.64500000000000002</v>
      </c>
      <c r="BS40" s="16">
        <f>AVERAGE(0.759,0.258)</f>
        <v>0.50849999999999995</v>
      </c>
      <c r="BT40" s="14">
        <v>0.03</v>
      </c>
      <c r="BX40" s="18" t="s">
        <v>4</v>
      </c>
      <c r="BY40" s="12">
        <f t="shared" ref="BY40:CB47" si="55">BQ40-AL40</f>
        <v>-4.0999999999999925E-2</v>
      </c>
      <c r="BZ40" s="12">
        <f t="shared" si="55"/>
        <v>-1.0000000000000009E-3</v>
      </c>
      <c r="CA40" s="12">
        <f t="shared" si="55"/>
        <v>-2.7000000000000135E-2</v>
      </c>
      <c r="CB40" s="12">
        <f t="shared" si="55"/>
        <v>-5.4000000000000006E-2</v>
      </c>
      <c r="CQ40" s="1" t="s">
        <v>4</v>
      </c>
      <c r="CR40" s="12" t="s">
        <v>525</v>
      </c>
      <c r="CS40" s="13" t="s">
        <v>505</v>
      </c>
      <c r="CT40" s="13" t="s">
        <v>512</v>
      </c>
      <c r="CU40" s="14" t="s">
        <v>518</v>
      </c>
      <c r="CV40" s="75"/>
      <c r="CW40" s="75"/>
      <c r="CX40" s="75"/>
      <c r="CY40" s="75"/>
      <c r="CZ40" s="38"/>
      <c r="DA40" s="1" t="s">
        <v>4</v>
      </c>
      <c r="DB40" s="12">
        <v>0.66800000000000004</v>
      </c>
      <c r="DC40" s="13">
        <v>0.64500000000000002</v>
      </c>
      <c r="DD40" s="16">
        <f>AVERAGE(0.759,0.258)</f>
        <v>0.50849999999999995</v>
      </c>
      <c r="DE40" s="14">
        <v>0.03</v>
      </c>
      <c r="DF40" s="33"/>
      <c r="DG40" s="33"/>
      <c r="DH40" s="33"/>
      <c r="DI40" s="18" t="s">
        <v>4</v>
      </c>
      <c r="DJ40" s="12">
        <f t="shared" ref="DJ40:DM47" si="56">DB40-BQ40</f>
        <v>0</v>
      </c>
      <c r="DK40" s="12">
        <f t="shared" si="56"/>
        <v>0</v>
      </c>
      <c r="DL40" s="12">
        <f t="shared" si="56"/>
        <v>0</v>
      </c>
      <c r="DM40" s="12">
        <f t="shared" si="56"/>
        <v>0</v>
      </c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4"/>
      <c r="EA40" s="33"/>
      <c r="EB40" s="1" t="s">
        <v>4</v>
      </c>
      <c r="EC40" s="12" t="s">
        <v>525</v>
      </c>
      <c r="ED40" s="13" t="s">
        <v>505</v>
      </c>
      <c r="EE40" s="16" t="s">
        <v>593</v>
      </c>
      <c r="EF40" s="14" t="s">
        <v>600</v>
      </c>
      <c r="EG40" s="75"/>
      <c r="EH40" s="75"/>
      <c r="EJ40" s="75"/>
      <c r="EK40" s="38"/>
      <c r="EL40" s="1" t="s">
        <v>4</v>
      </c>
      <c r="EM40" s="12">
        <v>0.72899999999999998</v>
      </c>
      <c r="EN40" s="13">
        <v>0.69399999999999995</v>
      </c>
      <c r="EO40" s="16">
        <f>AVERAGE(0.833,0.258)</f>
        <v>0.54549999999999998</v>
      </c>
      <c r="EP40" s="14">
        <v>8.8999999999999996E-2</v>
      </c>
      <c r="EQ40" s="33"/>
      <c r="ER40" s="33"/>
      <c r="ES40" s="33"/>
      <c r="ET40" s="18" t="s">
        <v>4</v>
      </c>
      <c r="EU40" s="69">
        <f>EM40-DB40</f>
        <v>6.0999999999999943E-2</v>
      </c>
      <c r="EV40" s="69">
        <f>EN40-DC40</f>
        <v>4.8999999999999932E-2</v>
      </c>
      <c r="EW40" s="12">
        <f>EO40-DD40</f>
        <v>3.7000000000000033E-2</v>
      </c>
      <c r="EX40" s="12">
        <f>EP40-DE40</f>
        <v>5.8999999999999997E-2</v>
      </c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4"/>
      <c r="FL40" s="33"/>
      <c r="FM40" s="9"/>
      <c r="FN40" s="10" t="s">
        <v>0</v>
      </c>
      <c r="FO40" s="10" t="s">
        <v>1</v>
      </c>
      <c r="FP40" s="10" t="s">
        <v>2</v>
      </c>
      <c r="FQ40" s="11" t="s">
        <v>3</v>
      </c>
      <c r="FR40" s="75"/>
      <c r="FS40" s="75"/>
      <c r="FU40" s="75"/>
      <c r="FV40" s="38"/>
      <c r="FW40" s="1" t="s">
        <v>4</v>
      </c>
      <c r="FX40" s="12">
        <v>0.72799999999999998</v>
      </c>
      <c r="FY40" s="13">
        <v>0.70199999999999996</v>
      </c>
      <c r="FZ40" s="16">
        <f>AVERAGE(0.774,0.52)</f>
        <v>0.64700000000000002</v>
      </c>
      <c r="GA40" s="14">
        <v>0.24099999999999999</v>
      </c>
      <c r="GB40" s="33"/>
      <c r="GC40" s="33"/>
      <c r="GD40" s="33"/>
      <c r="GE40" s="18" t="s">
        <v>4</v>
      </c>
      <c r="GF40" s="12">
        <f>FX40-EM40</f>
        <v>-1.0000000000000009E-3</v>
      </c>
      <c r="GG40" s="12">
        <f t="shared" ref="GG40:GG47" si="57">FY40-EN40</f>
        <v>8.0000000000000071E-3</v>
      </c>
      <c r="GH40" s="69">
        <f t="shared" ref="GH40:GH45" si="58">FZ40-EO40</f>
        <v>0.10150000000000003</v>
      </c>
      <c r="GI40" s="69">
        <f t="shared" ref="GI40:GI47" si="59">GA40-EP40</f>
        <v>0.152</v>
      </c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8"/>
      <c r="GX40" s="36" t="s">
        <v>4</v>
      </c>
      <c r="GY40" s="12" t="s">
        <v>611</v>
      </c>
      <c r="GZ40" s="13" t="s">
        <v>610</v>
      </c>
      <c r="HA40" s="16" t="s">
        <v>609</v>
      </c>
      <c r="HB40" s="97" t="s">
        <v>608</v>
      </c>
      <c r="HC40" s="65"/>
      <c r="HD40" s="65"/>
      <c r="HE40" s="65"/>
      <c r="HG40" s="33"/>
      <c r="HH40" s="18" t="s">
        <v>4</v>
      </c>
      <c r="HI40" s="2">
        <v>0.255</v>
      </c>
      <c r="HJ40" s="12">
        <v>0.70899999999999996</v>
      </c>
      <c r="HK40" s="12">
        <v>0.66800000000000004</v>
      </c>
      <c r="HL40" s="12">
        <v>0.66800000000000004</v>
      </c>
      <c r="HM40" s="12">
        <v>0.72899999999999998</v>
      </c>
      <c r="HN40" s="12">
        <v>0.72799999999999998</v>
      </c>
      <c r="HW40" s="18" t="s">
        <v>4</v>
      </c>
      <c r="HX40" s="2">
        <v>0.51500000000000001</v>
      </c>
      <c r="HY40" s="13">
        <v>0.64600000000000002</v>
      </c>
      <c r="HZ40" s="13">
        <v>0.64500000000000002</v>
      </c>
      <c r="IA40" s="13">
        <v>0.64500000000000002</v>
      </c>
      <c r="IB40" s="13">
        <v>0.69399999999999995</v>
      </c>
      <c r="IC40" s="13">
        <v>0.70199999999999996</v>
      </c>
      <c r="IL40" s="18" t="s">
        <v>4</v>
      </c>
      <c r="IM40" s="3">
        <v>0.4965</v>
      </c>
      <c r="IN40" s="16">
        <v>0.53550000000000009</v>
      </c>
      <c r="IO40" s="16">
        <v>0.50849999999999995</v>
      </c>
      <c r="IP40" s="16">
        <v>0.50849999999999995</v>
      </c>
      <c r="IQ40" s="16">
        <v>0.54549999999999998</v>
      </c>
      <c r="IR40" s="16">
        <v>0.64700000000000002</v>
      </c>
      <c r="JA40" s="18" t="s">
        <v>4</v>
      </c>
      <c r="JB40" s="4">
        <v>5.0000000000000001E-3</v>
      </c>
      <c r="JC40" s="14">
        <v>8.4000000000000005E-2</v>
      </c>
      <c r="JD40" s="14">
        <v>0.03</v>
      </c>
      <c r="JE40" s="14">
        <v>0.03</v>
      </c>
      <c r="JF40" s="14">
        <v>8.8999999999999996E-2</v>
      </c>
      <c r="JG40" s="14">
        <v>0.24099999999999999</v>
      </c>
    </row>
    <row r="41" spans="1:291" ht="30" customHeight="1" thickBot="1" x14ac:dyDescent="0.35">
      <c r="A41" s="36" t="s">
        <v>5</v>
      </c>
      <c r="B41" s="2">
        <v>0.80700000000000005</v>
      </c>
      <c r="C41" s="2">
        <v>0.68100000000000005</v>
      </c>
      <c r="D41" s="3">
        <f>AVERAGE(0.949,0.158)</f>
        <v>0.55349999999999999</v>
      </c>
      <c r="E41" s="4">
        <v>0.13800000000000001</v>
      </c>
      <c r="AB41" s="1" t="s">
        <v>5</v>
      </c>
      <c r="AC41" s="2" t="s">
        <v>94</v>
      </c>
      <c r="AD41" s="2" t="s">
        <v>93</v>
      </c>
      <c r="AE41" s="3" t="s">
        <v>92</v>
      </c>
      <c r="AF41" s="4" t="s">
        <v>91</v>
      </c>
      <c r="AK41" s="1" t="s">
        <v>5</v>
      </c>
      <c r="AL41" s="15">
        <v>0.52600000000000002</v>
      </c>
      <c r="AM41" s="2">
        <v>0.68500000000000005</v>
      </c>
      <c r="AN41" s="3">
        <f>AVERAGE(0.47,0.782)</f>
        <v>0.626</v>
      </c>
      <c r="AO41" s="4">
        <v>0.13600000000000001</v>
      </c>
      <c r="AQ41" s="18" t="s">
        <v>5</v>
      </c>
      <c r="AR41" s="69">
        <f t="shared" ref="AR41:AR47" si="60">AL41-B41</f>
        <v>-0.28100000000000003</v>
      </c>
      <c r="AS41" s="12">
        <f t="shared" si="52"/>
        <v>4.0000000000000036E-3</v>
      </c>
      <c r="AT41" s="69">
        <f t="shared" si="53"/>
        <v>7.2500000000000009E-2</v>
      </c>
      <c r="AU41" s="12">
        <f t="shared" si="54"/>
        <v>-2.0000000000000018E-3</v>
      </c>
      <c r="BI41" s="1" t="s">
        <v>5</v>
      </c>
      <c r="BJ41" s="15" t="s">
        <v>413</v>
      </c>
      <c r="BK41" s="2" t="s">
        <v>421</v>
      </c>
      <c r="BL41" s="3" t="s">
        <v>429</v>
      </c>
      <c r="BM41" s="4" t="s">
        <v>436</v>
      </c>
      <c r="BN41" s="75"/>
      <c r="BP41" s="1" t="s">
        <v>5</v>
      </c>
      <c r="BQ41" s="15">
        <v>0.46200000000000002</v>
      </c>
      <c r="BR41" s="2">
        <v>0.68600000000000005</v>
      </c>
      <c r="BS41" s="3">
        <f>AVERAGE(0.383,0.822)</f>
        <v>0.60250000000000004</v>
      </c>
      <c r="BT41" s="4">
        <v>0.10100000000000001</v>
      </c>
      <c r="BX41" s="18" t="s">
        <v>5</v>
      </c>
      <c r="BY41" s="69">
        <f t="shared" si="55"/>
        <v>-6.4000000000000001E-2</v>
      </c>
      <c r="BZ41" s="12">
        <f t="shared" si="55"/>
        <v>1.0000000000000009E-3</v>
      </c>
      <c r="CA41" s="12">
        <f t="shared" si="55"/>
        <v>-2.3499999999999965E-2</v>
      </c>
      <c r="CB41" s="12">
        <f t="shared" si="55"/>
        <v>-3.5000000000000003E-2</v>
      </c>
      <c r="CQ41" s="1" t="s">
        <v>5</v>
      </c>
      <c r="CR41" s="15" t="s">
        <v>499</v>
      </c>
      <c r="CS41" s="2" t="s">
        <v>506</v>
      </c>
      <c r="CT41" s="3" t="s">
        <v>513</v>
      </c>
      <c r="CU41" s="4" t="s">
        <v>519</v>
      </c>
      <c r="CV41" s="75"/>
      <c r="CW41" s="75"/>
      <c r="CX41" s="75"/>
      <c r="CY41" s="75"/>
      <c r="CZ41" s="38"/>
      <c r="DA41" s="1" t="s">
        <v>5</v>
      </c>
      <c r="DB41" s="15">
        <v>0.55900000000000005</v>
      </c>
      <c r="DC41" s="2">
        <v>0.68200000000000005</v>
      </c>
      <c r="DD41" s="3">
        <f>AVERAGE(0.512,0.775)</f>
        <v>0.64349999999999996</v>
      </c>
      <c r="DE41" s="4">
        <v>0.161</v>
      </c>
      <c r="DF41" s="33"/>
      <c r="DG41" s="33"/>
      <c r="DH41" s="33"/>
      <c r="DI41" s="18" t="s">
        <v>5</v>
      </c>
      <c r="DJ41" s="69">
        <f t="shared" si="56"/>
        <v>9.7000000000000031E-2</v>
      </c>
      <c r="DK41" s="12">
        <f t="shared" si="56"/>
        <v>-4.0000000000000036E-3</v>
      </c>
      <c r="DL41" s="69">
        <f t="shared" si="56"/>
        <v>4.0999999999999925E-2</v>
      </c>
      <c r="DM41" s="69">
        <f t="shared" si="56"/>
        <v>0.06</v>
      </c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4"/>
      <c r="EA41" s="33"/>
      <c r="EB41" s="1" t="s">
        <v>5</v>
      </c>
      <c r="EC41" s="15" t="s">
        <v>579</v>
      </c>
      <c r="ED41" s="2" t="s">
        <v>586</v>
      </c>
      <c r="EE41" s="3" t="s">
        <v>594</v>
      </c>
      <c r="EF41" s="4" t="s">
        <v>601</v>
      </c>
      <c r="EG41" s="75"/>
      <c r="EH41" s="75"/>
      <c r="EJ41" s="75"/>
      <c r="EK41" s="38"/>
      <c r="EL41" s="1" t="s">
        <v>5</v>
      </c>
      <c r="EM41" s="15">
        <v>0.65700000000000003</v>
      </c>
      <c r="EN41" s="2">
        <v>0.72099999999999997</v>
      </c>
      <c r="EO41" s="3">
        <f>AVERAGE(0.649,0.692)</f>
        <v>0.67049999999999998</v>
      </c>
      <c r="EP41" s="4">
        <v>0.22800000000000001</v>
      </c>
      <c r="EQ41" s="33"/>
      <c r="ER41" s="33"/>
      <c r="ES41" s="33"/>
      <c r="ET41" s="18" t="s">
        <v>5</v>
      </c>
      <c r="EU41" s="69">
        <f t="shared" ref="EU41:EU47" si="61">EM41-DB41</f>
        <v>9.7999999999999976E-2</v>
      </c>
      <c r="EV41" s="12">
        <f t="shared" ref="EV41:EV47" si="62">EN41-DC41</f>
        <v>3.8999999999999924E-2</v>
      </c>
      <c r="EW41" s="12">
        <f t="shared" ref="EW41:EW47" si="63">EO41-DD41</f>
        <v>2.7000000000000024E-2</v>
      </c>
      <c r="EX41" s="12">
        <f t="shared" ref="EX41:EX47" si="64">EP41-DE41</f>
        <v>6.7000000000000004E-2</v>
      </c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4"/>
      <c r="FL41" s="33"/>
      <c r="FM41" s="1" t="s">
        <v>4</v>
      </c>
      <c r="FN41" s="12" t="s">
        <v>245</v>
      </c>
      <c r="FO41" s="13" t="s">
        <v>258</v>
      </c>
      <c r="FP41" s="16" t="s">
        <v>271</v>
      </c>
      <c r="FQ41" s="14" t="s">
        <v>284</v>
      </c>
      <c r="FR41" s="75"/>
      <c r="FS41" s="75"/>
      <c r="FU41" s="75"/>
      <c r="FV41" s="38"/>
      <c r="FW41" s="1" t="s">
        <v>5</v>
      </c>
      <c r="FX41" s="15">
        <v>0.628</v>
      </c>
      <c r="FY41" s="2">
        <v>0.68600000000000005</v>
      </c>
      <c r="FZ41" s="3">
        <f>AVERAGE(0.616,0.684)</f>
        <v>0.65</v>
      </c>
      <c r="GA41" s="4">
        <v>0.72799999999999998</v>
      </c>
      <c r="GB41" s="33"/>
      <c r="GC41" s="33"/>
      <c r="GD41" s="33"/>
      <c r="GE41" s="18" t="s">
        <v>5</v>
      </c>
      <c r="GF41" s="12">
        <f t="shared" ref="GF41:GF47" si="65">FX41-EM41</f>
        <v>-2.9000000000000026E-2</v>
      </c>
      <c r="GG41" s="12">
        <f t="shared" si="57"/>
        <v>-3.499999999999992E-2</v>
      </c>
      <c r="GH41" s="12">
        <f t="shared" si="58"/>
        <v>-2.0499999999999963E-2</v>
      </c>
      <c r="GI41" s="12">
        <f t="shared" si="59"/>
        <v>0.5</v>
      </c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8"/>
      <c r="GX41" s="36" t="s">
        <v>5</v>
      </c>
      <c r="GY41" s="15" t="s">
        <v>615</v>
      </c>
      <c r="GZ41" s="2" t="s">
        <v>614</v>
      </c>
      <c r="HA41" s="3" t="s">
        <v>613</v>
      </c>
      <c r="HB41" s="27" t="s">
        <v>612</v>
      </c>
      <c r="HC41" s="65"/>
      <c r="HD41" s="65"/>
      <c r="HE41" s="65"/>
      <c r="HG41" s="33"/>
      <c r="HH41" s="18" t="s">
        <v>5</v>
      </c>
      <c r="HI41" s="2">
        <v>0.80700000000000005</v>
      </c>
      <c r="HJ41" s="15">
        <v>0.52600000000000002</v>
      </c>
      <c r="HK41" s="15">
        <v>0.46200000000000002</v>
      </c>
      <c r="HL41" s="15">
        <v>0.55900000000000005</v>
      </c>
      <c r="HM41" s="15">
        <v>0.65700000000000003</v>
      </c>
      <c r="HN41" s="15">
        <v>0.628</v>
      </c>
      <c r="HW41" s="18" t="s">
        <v>5</v>
      </c>
      <c r="HX41" s="2">
        <v>0.68100000000000005</v>
      </c>
      <c r="HY41" s="2">
        <v>0.68500000000000005</v>
      </c>
      <c r="HZ41" s="2">
        <v>0.68600000000000005</v>
      </c>
      <c r="IA41" s="2">
        <v>0.68200000000000005</v>
      </c>
      <c r="IB41" s="2">
        <v>0.72099999999999997</v>
      </c>
      <c r="IC41" s="2">
        <v>0.68600000000000005</v>
      </c>
      <c r="IL41" s="18" t="s">
        <v>5</v>
      </c>
      <c r="IM41" s="3">
        <v>0.55349999999999999</v>
      </c>
      <c r="IN41" s="3">
        <v>0.626</v>
      </c>
      <c r="IO41" s="3">
        <v>0.60250000000000004</v>
      </c>
      <c r="IP41" s="3">
        <v>0.64349999999999996</v>
      </c>
      <c r="IQ41" s="3">
        <v>0.67049999999999998</v>
      </c>
      <c r="IR41" s="3">
        <v>0.65</v>
      </c>
      <c r="JA41" s="18" t="s">
        <v>5</v>
      </c>
      <c r="JB41" s="4">
        <v>0.13800000000000001</v>
      </c>
      <c r="JC41" s="4">
        <v>0.13600000000000001</v>
      </c>
      <c r="JD41" s="4">
        <v>0.10100000000000001</v>
      </c>
      <c r="JE41" s="4">
        <v>0.161</v>
      </c>
      <c r="JF41" s="4">
        <v>0.22800000000000001</v>
      </c>
      <c r="JG41" s="4">
        <v>0.72799999999999998</v>
      </c>
    </row>
    <row r="42" spans="1:291" ht="30" customHeight="1" thickBot="1" x14ac:dyDescent="0.35">
      <c r="A42" s="36" t="s">
        <v>6</v>
      </c>
      <c r="B42" s="2">
        <v>0.748</v>
      </c>
      <c r="C42" s="2">
        <v>0.58699999999999997</v>
      </c>
      <c r="D42" s="3">
        <f>AVERAGE(0.839,0.336)</f>
        <v>0.58750000000000002</v>
      </c>
      <c r="E42" s="4">
        <v>0.17299999999999999</v>
      </c>
      <c r="AB42" s="1" t="s">
        <v>6</v>
      </c>
      <c r="AC42" s="2" t="s">
        <v>98</v>
      </c>
      <c r="AD42" s="2" t="s">
        <v>97</v>
      </c>
      <c r="AE42" s="3" t="s">
        <v>96</v>
      </c>
      <c r="AF42" s="4" t="s">
        <v>95</v>
      </c>
      <c r="AK42" s="1" t="s">
        <v>6</v>
      </c>
      <c r="AL42" s="15">
        <v>0.68300000000000005</v>
      </c>
      <c r="AM42" s="2">
        <v>0.63200000000000001</v>
      </c>
      <c r="AN42" s="3">
        <f>AVERAGE(0.712,0.552)</f>
        <v>0.63200000000000001</v>
      </c>
      <c r="AO42" s="4">
        <v>0.19500000000000001</v>
      </c>
      <c r="AQ42" s="18" t="s">
        <v>6</v>
      </c>
      <c r="AR42" s="69">
        <f t="shared" si="60"/>
        <v>-6.4999999999999947E-2</v>
      </c>
      <c r="AS42" s="12">
        <f t="shared" si="52"/>
        <v>4.500000000000004E-2</v>
      </c>
      <c r="AT42" s="12">
        <f t="shared" si="53"/>
        <v>4.4499999999999984E-2</v>
      </c>
      <c r="AU42" s="12">
        <f t="shared" si="54"/>
        <v>2.200000000000002E-2</v>
      </c>
      <c r="BI42" s="1" t="s">
        <v>6</v>
      </c>
      <c r="BJ42" s="15" t="s">
        <v>414</v>
      </c>
      <c r="BK42" s="2" t="s">
        <v>422</v>
      </c>
      <c r="BL42" s="3" t="s">
        <v>422</v>
      </c>
      <c r="BM42" s="4" t="s">
        <v>437</v>
      </c>
      <c r="BN42" s="75"/>
      <c r="BP42" s="1" t="s">
        <v>6</v>
      </c>
      <c r="BQ42" s="15">
        <v>0.69599999999999995</v>
      </c>
      <c r="BR42" s="2">
        <v>0.64800000000000002</v>
      </c>
      <c r="BS42" s="3">
        <f>AVERAGE(0.723,0.573)</f>
        <v>0.64799999999999991</v>
      </c>
      <c r="BT42" s="4">
        <v>0.22800000000000001</v>
      </c>
      <c r="BX42" s="18" t="s">
        <v>6</v>
      </c>
      <c r="BY42" s="12">
        <f t="shared" si="55"/>
        <v>1.2999999999999901E-2</v>
      </c>
      <c r="BZ42" s="12">
        <f t="shared" si="55"/>
        <v>1.6000000000000014E-2</v>
      </c>
      <c r="CA42" s="12">
        <f t="shared" si="55"/>
        <v>1.5999999999999903E-2</v>
      </c>
      <c r="CB42" s="12">
        <f t="shared" si="55"/>
        <v>3.3000000000000002E-2</v>
      </c>
      <c r="CQ42" s="1" t="s">
        <v>6</v>
      </c>
      <c r="CR42" s="15" t="s">
        <v>500</v>
      </c>
      <c r="CS42" s="2" t="s">
        <v>507</v>
      </c>
      <c r="CT42" s="3" t="s">
        <v>507</v>
      </c>
      <c r="CU42" s="4" t="s">
        <v>520</v>
      </c>
      <c r="CV42" s="75"/>
      <c r="CW42" s="75"/>
      <c r="CX42" s="75"/>
      <c r="CY42" s="75"/>
      <c r="CZ42" s="38"/>
      <c r="DA42" s="1" t="s">
        <v>6</v>
      </c>
      <c r="DB42" s="15">
        <v>0.66800000000000004</v>
      </c>
      <c r="DC42" s="2">
        <v>0.67</v>
      </c>
      <c r="DD42" s="3">
        <f>AVERAGE(0.667,0.673)</f>
        <v>0.67</v>
      </c>
      <c r="DE42" s="4">
        <v>0.23</v>
      </c>
      <c r="DF42" s="33"/>
      <c r="DG42" s="33"/>
      <c r="DH42" s="33"/>
      <c r="DI42" s="18" t="s">
        <v>6</v>
      </c>
      <c r="DJ42" s="12">
        <f t="shared" si="56"/>
        <v>-2.7999999999999914E-2</v>
      </c>
      <c r="DK42" s="12">
        <f t="shared" si="56"/>
        <v>2.200000000000002E-2</v>
      </c>
      <c r="DL42" s="12">
        <f t="shared" si="56"/>
        <v>2.2000000000000131E-2</v>
      </c>
      <c r="DM42" s="12">
        <f t="shared" si="56"/>
        <v>2.0000000000000018E-3</v>
      </c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4"/>
      <c r="EA42" s="33"/>
      <c r="EB42" s="1" t="s">
        <v>6</v>
      </c>
      <c r="EC42" s="15" t="s">
        <v>580</v>
      </c>
      <c r="ED42" s="2" t="s">
        <v>587</v>
      </c>
      <c r="EE42" s="3" t="s">
        <v>587</v>
      </c>
      <c r="EF42" s="4" t="s">
        <v>602</v>
      </c>
      <c r="EG42" s="75"/>
      <c r="EH42" s="75"/>
      <c r="EJ42" s="75"/>
      <c r="EK42" s="38"/>
      <c r="EL42" s="1" t="s">
        <v>6</v>
      </c>
      <c r="EM42" s="15">
        <v>0.61899999999999999</v>
      </c>
      <c r="EN42" s="2">
        <v>0.68300000000000005</v>
      </c>
      <c r="EO42" s="3">
        <f>AVERAGE(0.616,0.631)</f>
        <v>0.62349999999999994</v>
      </c>
      <c r="EP42" s="4">
        <v>0.16300000000000001</v>
      </c>
      <c r="EQ42" s="33"/>
      <c r="ER42" s="33"/>
      <c r="ES42" s="33"/>
      <c r="ET42" s="18" t="s">
        <v>6</v>
      </c>
      <c r="EU42" s="69">
        <f t="shared" si="61"/>
        <v>-4.9000000000000044E-2</v>
      </c>
      <c r="EV42" s="12">
        <f t="shared" si="62"/>
        <v>1.3000000000000012E-2</v>
      </c>
      <c r="EW42" s="69">
        <f t="shared" si="63"/>
        <v>-4.6500000000000097E-2</v>
      </c>
      <c r="EX42" s="69">
        <f t="shared" si="64"/>
        <v>-6.7000000000000004E-2</v>
      </c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4"/>
      <c r="FL42" s="33"/>
      <c r="FM42" s="1" t="s">
        <v>5</v>
      </c>
      <c r="FN42" s="15" t="s">
        <v>246</v>
      </c>
      <c r="FO42" s="2" t="s">
        <v>259</v>
      </c>
      <c r="FP42" s="3" t="s">
        <v>272</v>
      </c>
      <c r="FQ42" s="4" t="s">
        <v>285</v>
      </c>
      <c r="FR42" s="75"/>
      <c r="FS42" s="75"/>
      <c r="FU42" s="75"/>
      <c r="FV42" s="38"/>
      <c r="FW42" s="1" t="s">
        <v>6</v>
      </c>
      <c r="FX42" s="15">
        <v>0.65300000000000002</v>
      </c>
      <c r="FY42" s="2">
        <v>0.70199999999999996</v>
      </c>
      <c r="FZ42" s="3">
        <f>AVERAGE(0.636,0.73)</f>
        <v>0.68300000000000005</v>
      </c>
      <c r="GA42" s="4">
        <v>0.24</v>
      </c>
      <c r="GB42" s="33"/>
      <c r="GC42" s="33"/>
      <c r="GD42" s="33"/>
      <c r="GE42" s="18" t="s">
        <v>6</v>
      </c>
      <c r="GF42" s="69">
        <f t="shared" si="65"/>
        <v>3.400000000000003E-2</v>
      </c>
      <c r="GG42" s="12">
        <f t="shared" si="57"/>
        <v>1.8999999999999906E-2</v>
      </c>
      <c r="GH42" s="69">
        <f t="shared" si="58"/>
        <v>5.9500000000000108E-2</v>
      </c>
      <c r="GI42" s="69">
        <f t="shared" si="59"/>
        <v>7.6999999999999985E-2</v>
      </c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8"/>
      <c r="GX42" s="36" t="s">
        <v>6</v>
      </c>
      <c r="GY42" s="15" t="s">
        <v>619</v>
      </c>
      <c r="GZ42" s="2" t="s">
        <v>618</v>
      </c>
      <c r="HA42" s="3" t="s">
        <v>617</v>
      </c>
      <c r="HB42" s="27" t="s">
        <v>616</v>
      </c>
      <c r="HC42" s="65"/>
      <c r="HD42" s="65"/>
      <c r="HE42" s="65"/>
      <c r="HG42" s="33"/>
      <c r="HH42" s="18" t="s">
        <v>6</v>
      </c>
      <c r="HI42" s="2">
        <v>0.748</v>
      </c>
      <c r="HJ42" s="15">
        <v>0.68300000000000005</v>
      </c>
      <c r="HK42" s="15">
        <v>0.69599999999999995</v>
      </c>
      <c r="HL42" s="15">
        <v>0.66800000000000004</v>
      </c>
      <c r="HM42" s="15">
        <v>0.61899999999999999</v>
      </c>
      <c r="HN42" s="15">
        <v>0.65300000000000002</v>
      </c>
      <c r="HW42" s="18" t="s">
        <v>6</v>
      </c>
      <c r="HX42" s="2">
        <v>0.58699999999999997</v>
      </c>
      <c r="HY42" s="2">
        <v>0.63200000000000001</v>
      </c>
      <c r="HZ42" s="2">
        <v>0.64800000000000002</v>
      </c>
      <c r="IA42" s="2">
        <v>0.67</v>
      </c>
      <c r="IB42" s="2">
        <v>0.68300000000000005</v>
      </c>
      <c r="IC42" s="2">
        <v>0.70199999999999996</v>
      </c>
      <c r="IL42" s="18" t="s">
        <v>6</v>
      </c>
      <c r="IM42" s="3">
        <v>0.58750000000000002</v>
      </c>
      <c r="IN42" s="3">
        <v>0.63200000000000001</v>
      </c>
      <c r="IO42" s="3">
        <v>0.64799999999999991</v>
      </c>
      <c r="IP42" s="3">
        <v>0.67</v>
      </c>
      <c r="IQ42" s="3">
        <v>0.62349999999999994</v>
      </c>
      <c r="IR42" s="3">
        <v>0.68300000000000005</v>
      </c>
      <c r="JA42" s="18" t="s">
        <v>6</v>
      </c>
      <c r="JB42" s="4">
        <v>0.17299999999999999</v>
      </c>
      <c r="JC42" s="4">
        <v>0.19500000000000001</v>
      </c>
      <c r="JD42" s="4">
        <v>0.22800000000000001</v>
      </c>
      <c r="JE42" s="4">
        <v>0.23</v>
      </c>
      <c r="JF42" s="4">
        <v>0.16300000000000001</v>
      </c>
      <c r="JG42" s="4">
        <v>0.24</v>
      </c>
    </row>
    <row r="43" spans="1:291" ht="30" customHeight="1" thickBot="1" x14ac:dyDescent="0.35">
      <c r="A43" s="36" t="s">
        <v>7</v>
      </c>
      <c r="B43" s="2">
        <v>0.83099999999999996</v>
      </c>
      <c r="C43" s="2">
        <v>0.77</v>
      </c>
      <c r="D43" s="3">
        <f>AVERAGE(0.984,0.138)</f>
        <v>0.56099999999999994</v>
      </c>
      <c r="E43" s="4">
        <v>0.16800000000000001</v>
      </c>
      <c r="AB43" s="1" t="s">
        <v>7</v>
      </c>
      <c r="AC43" s="2" t="s">
        <v>102</v>
      </c>
      <c r="AD43" s="2" t="s">
        <v>101</v>
      </c>
      <c r="AE43" s="3" t="s">
        <v>100</v>
      </c>
      <c r="AF43" s="4" t="s">
        <v>99</v>
      </c>
      <c r="AK43" s="1" t="s">
        <v>7</v>
      </c>
      <c r="AL43" s="15">
        <v>0.74199999999999999</v>
      </c>
      <c r="AM43" s="2">
        <v>0.755</v>
      </c>
      <c r="AN43" s="3">
        <f>AVERAGE(0.783,0.559)</f>
        <v>0.67100000000000004</v>
      </c>
      <c r="AO43" s="4">
        <v>0.27800000000000002</v>
      </c>
      <c r="AQ43" s="18" t="s">
        <v>7</v>
      </c>
      <c r="AR43" s="69">
        <f t="shared" si="60"/>
        <v>-8.8999999999999968E-2</v>
      </c>
      <c r="AS43" s="12">
        <f t="shared" si="52"/>
        <v>-1.5000000000000013E-2</v>
      </c>
      <c r="AT43" s="69">
        <f t="shared" si="53"/>
        <v>0.1100000000000001</v>
      </c>
      <c r="AU43" s="69">
        <f t="shared" si="54"/>
        <v>0.11000000000000001</v>
      </c>
      <c r="BI43" s="1" t="s">
        <v>7</v>
      </c>
      <c r="BJ43" s="15" t="s">
        <v>415</v>
      </c>
      <c r="BK43" s="2" t="s">
        <v>423</v>
      </c>
      <c r="BL43" s="3" t="s">
        <v>430</v>
      </c>
      <c r="BM43" s="4" t="s">
        <v>438</v>
      </c>
      <c r="BN43" s="75"/>
      <c r="BP43" s="1" t="s">
        <v>7</v>
      </c>
      <c r="BQ43" s="15">
        <v>0.73899999999999999</v>
      </c>
      <c r="BR43" s="2">
        <v>0.75</v>
      </c>
      <c r="BS43" s="3">
        <f>AVERAGE(0.78,0.552)</f>
        <v>0.66600000000000004</v>
      </c>
      <c r="BT43" s="4">
        <v>0.27100000000000002</v>
      </c>
      <c r="BX43" s="18" t="s">
        <v>7</v>
      </c>
      <c r="BY43" s="12">
        <f t="shared" si="55"/>
        <v>-3.0000000000000027E-3</v>
      </c>
      <c r="BZ43" s="12">
        <f t="shared" si="55"/>
        <v>-5.0000000000000044E-3</v>
      </c>
      <c r="CA43" s="12">
        <f t="shared" si="55"/>
        <v>-5.0000000000000044E-3</v>
      </c>
      <c r="CB43" s="12">
        <f t="shared" si="55"/>
        <v>-7.0000000000000062E-3</v>
      </c>
      <c r="CQ43" s="1" t="s">
        <v>7</v>
      </c>
      <c r="CR43" s="15" t="s">
        <v>501</v>
      </c>
      <c r="CS43" s="2" t="s">
        <v>508</v>
      </c>
      <c r="CT43" s="3" t="s">
        <v>514</v>
      </c>
      <c r="CU43" s="4" t="s">
        <v>521</v>
      </c>
      <c r="CV43" s="75"/>
      <c r="CW43" s="75"/>
      <c r="CX43" s="75"/>
      <c r="CY43" s="75"/>
      <c r="CZ43" s="38"/>
      <c r="DA43" s="1" t="s">
        <v>7</v>
      </c>
      <c r="DB43" s="15">
        <v>0.7</v>
      </c>
      <c r="DC43" s="2">
        <v>0.752</v>
      </c>
      <c r="DD43" s="3">
        <f>AVERAGE(0.707,0.665)</f>
        <v>0.68599999999999994</v>
      </c>
      <c r="DE43" s="4">
        <v>0.26700000000000002</v>
      </c>
      <c r="DF43" s="33"/>
      <c r="DG43" s="33"/>
      <c r="DH43" s="33"/>
      <c r="DI43" s="18" t="s">
        <v>7</v>
      </c>
      <c r="DJ43" s="69">
        <f t="shared" si="56"/>
        <v>-3.9000000000000035E-2</v>
      </c>
      <c r="DK43" s="12">
        <f t="shared" si="56"/>
        <v>2.0000000000000018E-3</v>
      </c>
      <c r="DL43" s="12">
        <f t="shared" si="56"/>
        <v>1.9999999999999907E-2</v>
      </c>
      <c r="DM43" s="12">
        <f t="shared" si="56"/>
        <v>-4.0000000000000036E-3</v>
      </c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4"/>
      <c r="EA43" s="33"/>
      <c r="EB43" s="1" t="s">
        <v>7</v>
      </c>
      <c r="EC43" s="15" t="s">
        <v>581</v>
      </c>
      <c r="ED43" s="2" t="s">
        <v>588</v>
      </c>
      <c r="EE43" s="3" t="s">
        <v>595</v>
      </c>
      <c r="EF43" s="4" t="s">
        <v>603</v>
      </c>
      <c r="EG43" s="75"/>
      <c r="EH43" s="75"/>
      <c r="EI43" s="75"/>
      <c r="EJ43" s="75"/>
      <c r="EK43" s="38"/>
      <c r="EL43" s="1" t="s">
        <v>7</v>
      </c>
      <c r="EM43" s="15">
        <v>0.66900000000000004</v>
      </c>
      <c r="EN43" s="2">
        <v>0.76200000000000001</v>
      </c>
      <c r="EO43" s="3">
        <f>AVERAGE(0.654,0.738)</f>
        <v>0.69599999999999995</v>
      </c>
      <c r="EP43" s="4">
        <v>0.26100000000000001</v>
      </c>
      <c r="EQ43" s="33"/>
      <c r="ER43" s="33"/>
      <c r="ES43" s="33"/>
      <c r="ET43" s="18" t="s">
        <v>7</v>
      </c>
      <c r="EU43" s="69">
        <f t="shared" si="61"/>
        <v>-3.0999999999999917E-2</v>
      </c>
      <c r="EV43" s="12">
        <f t="shared" si="62"/>
        <v>1.0000000000000009E-2</v>
      </c>
      <c r="EW43" s="12">
        <f t="shared" si="63"/>
        <v>1.0000000000000009E-2</v>
      </c>
      <c r="EX43" s="12">
        <f t="shared" si="64"/>
        <v>-6.0000000000000053E-3</v>
      </c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4"/>
      <c r="FL43" s="33"/>
      <c r="FM43" s="1" t="s">
        <v>6</v>
      </c>
      <c r="FN43" s="15" t="s">
        <v>247</v>
      </c>
      <c r="FO43" s="2" t="s">
        <v>260</v>
      </c>
      <c r="FP43" s="3" t="s">
        <v>273</v>
      </c>
      <c r="FQ43" s="4" t="s">
        <v>286</v>
      </c>
      <c r="FR43" s="75"/>
      <c r="FS43" s="75"/>
      <c r="FU43" s="75"/>
      <c r="FV43" s="38"/>
      <c r="FW43" s="1" t="s">
        <v>7</v>
      </c>
      <c r="FX43" s="15">
        <v>0.63</v>
      </c>
      <c r="FY43" s="2">
        <v>0.72099999999999997</v>
      </c>
      <c r="FZ43" s="3">
        <f>AVERAGE(0.609,0.724)</f>
        <v>0.66649999999999998</v>
      </c>
      <c r="GA43" s="4">
        <v>0.20899999999999999</v>
      </c>
      <c r="GB43" s="33"/>
      <c r="GC43" s="33"/>
      <c r="GD43" s="33"/>
      <c r="GE43" s="18" t="s">
        <v>7</v>
      </c>
      <c r="GF43" s="69">
        <f t="shared" si="65"/>
        <v>-3.9000000000000035E-2</v>
      </c>
      <c r="GG43" s="69">
        <f t="shared" si="57"/>
        <v>-4.1000000000000036E-2</v>
      </c>
      <c r="GH43" s="12">
        <f t="shared" si="58"/>
        <v>-2.9499999999999971E-2</v>
      </c>
      <c r="GI43" s="69">
        <f t="shared" si="59"/>
        <v>-5.2000000000000018E-2</v>
      </c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8"/>
      <c r="GX43" s="36" t="s">
        <v>7</v>
      </c>
      <c r="GY43" s="15" t="s">
        <v>623</v>
      </c>
      <c r="GZ43" s="2" t="s">
        <v>622</v>
      </c>
      <c r="HA43" s="3" t="s">
        <v>621</v>
      </c>
      <c r="HB43" s="27" t="s">
        <v>620</v>
      </c>
      <c r="HC43" s="65"/>
      <c r="HD43" s="65"/>
      <c r="HE43" s="65"/>
      <c r="HG43" s="33"/>
      <c r="HH43" s="18" t="s">
        <v>7</v>
      </c>
      <c r="HI43" s="2">
        <v>0.83099999999999996</v>
      </c>
      <c r="HJ43" s="15">
        <v>0.74199999999999999</v>
      </c>
      <c r="HK43" s="15">
        <v>0.73899999999999999</v>
      </c>
      <c r="HL43" s="15">
        <v>0.7</v>
      </c>
      <c r="HM43" s="15">
        <v>0.66900000000000004</v>
      </c>
      <c r="HN43" s="15">
        <v>0.63</v>
      </c>
      <c r="HW43" s="18" t="s">
        <v>7</v>
      </c>
      <c r="HX43" s="2">
        <v>0.77</v>
      </c>
      <c r="HY43" s="2">
        <v>0.755</v>
      </c>
      <c r="HZ43" s="2">
        <v>0.75</v>
      </c>
      <c r="IA43" s="2">
        <v>0.752</v>
      </c>
      <c r="IB43" s="2">
        <v>0.76200000000000001</v>
      </c>
      <c r="IC43" s="2">
        <v>0.72099999999999997</v>
      </c>
      <c r="IL43" s="18" t="s">
        <v>7</v>
      </c>
      <c r="IM43" s="3">
        <v>0.56099999999999994</v>
      </c>
      <c r="IN43" s="3">
        <v>0.67100000000000004</v>
      </c>
      <c r="IO43" s="3">
        <v>0.66600000000000004</v>
      </c>
      <c r="IP43" s="3">
        <v>0.68599999999999994</v>
      </c>
      <c r="IQ43" s="3">
        <v>0.69599999999999995</v>
      </c>
      <c r="IR43" s="3">
        <v>0.66649999999999998</v>
      </c>
      <c r="JA43" s="18" t="s">
        <v>7</v>
      </c>
      <c r="JB43" s="4">
        <v>0.16800000000000001</v>
      </c>
      <c r="JC43" s="4">
        <v>0.27800000000000002</v>
      </c>
      <c r="JD43" s="4">
        <v>0.27100000000000002</v>
      </c>
      <c r="JE43" s="4">
        <v>0.26700000000000002</v>
      </c>
      <c r="JF43" s="4">
        <v>0.26100000000000001</v>
      </c>
      <c r="JG43" s="4">
        <v>0.20899999999999999</v>
      </c>
    </row>
    <row r="44" spans="1:291" ht="30" customHeight="1" thickBot="1" x14ac:dyDescent="0.35">
      <c r="A44" s="36" t="s">
        <v>8</v>
      </c>
      <c r="B44" s="2">
        <v>0.81899999999999995</v>
      </c>
      <c r="C44" s="2">
        <v>0.70599999999999996</v>
      </c>
      <c r="D44" s="3">
        <f>AVERAGE(1,0)</f>
        <v>0.5</v>
      </c>
      <c r="E44" s="4">
        <v>0</v>
      </c>
      <c r="AB44" s="1" t="s">
        <v>8</v>
      </c>
      <c r="AC44" s="2" t="s">
        <v>106</v>
      </c>
      <c r="AD44" s="2" t="s">
        <v>105</v>
      </c>
      <c r="AE44" s="3" t="s">
        <v>104</v>
      </c>
      <c r="AF44" s="4" t="s">
        <v>103</v>
      </c>
      <c r="AK44" s="1" t="s">
        <v>8</v>
      </c>
      <c r="AL44" s="15">
        <v>0.45700000000000002</v>
      </c>
      <c r="AM44" s="2">
        <v>0.70899999999999996</v>
      </c>
      <c r="AN44" s="3">
        <f>AVERAGE(0.361,0.895)</f>
        <v>0.628</v>
      </c>
      <c r="AO44" s="4">
        <v>0.123</v>
      </c>
      <c r="AQ44" s="18" t="s">
        <v>8</v>
      </c>
      <c r="AR44" s="69">
        <f t="shared" si="60"/>
        <v>-0.36199999999999993</v>
      </c>
      <c r="AS44" s="12">
        <f t="shared" si="52"/>
        <v>3.0000000000000027E-3</v>
      </c>
      <c r="AT44" s="69">
        <f t="shared" si="53"/>
        <v>0.128</v>
      </c>
      <c r="AU44" s="69">
        <f t="shared" si="54"/>
        <v>0.123</v>
      </c>
      <c r="BI44" s="1" t="s">
        <v>8</v>
      </c>
      <c r="BJ44" s="15" t="s">
        <v>416</v>
      </c>
      <c r="BK44" s="2" t="s">
        <v>424</v>
      </c>
      <c r="BL44" s="3" t="s">
        <v>431</v>
      </c>
      <c r="BM44" s="4" t="s">
        <v>439</v>
      </c>
      <c r="BN44" s="75"/>
      <c r="BP44" s="1" t="s">
        <v>8</v>
      </c>
      <c r="BQ44" s="15">
        <v>0.66900000000000004</v>
      </c>
      <c r="BR44" s="2">
        <v>0.73199999999999998</v>
      </c>
      <c r="BS44" s="3">
        <f>AVERAGE(0.668,0.671)</f>
        <v>0.66949999999999998</v>
      </c>
      <c r="BT44" s="4">
        <v>0.23499999999999999</v>
      </c>
      <c r="BX44" s="18" t="s">
        <v>8</v>
      </c>
      <c r="BY44" s="69">
        <f t="shared" si="55"/>
        <v>0.21200000000000002</v>
      </c>
      <c r="BZ44" s="12">
        <f t="shared" si="55"/>
        <v>2.300000000000002E-2</v>
      </c>
      <c r="CA44" s="12">
        <f t="shared" si="55"/>
        <v>4.1499999999999981E-2</v>
      </c>
      <c r="CB44" s="69">
        <f t="shared" si="55"/>
        <v>0.11199999999999999</v>
      </c>
      <c r="CQ44" s="1" t="s">
        <v>8</v>
      </c>
      <c r="CR44" s="15" t="s">
        <v>502</v>
      </c>
      <c r="CS44" s="2" t="s">
        <v>509</v>
      </c>
      <c r="CT44" s="3" t="s">
        <v>515</v>
      </c>
      <c r="CU44" s="4" t="s">
        <v>522</v>
      </c>
      <c r="CV44" s="75"/>
      <c r="CW44" s="75"/>
      <c r="CX44" s="75"/>
      <c r="CY44" s="75"/>
      <c r="CZ44" s="38"/>
      <c r="DA44" s="1" t="s">
        <v>8</v>
      </c>
      <c r="DB44" s="15">
        <v>0.69799999999999995</v>
      </c>
      <c r="DC44" s="2">
        <v>0.73499999999999999</v>
      </c>
      <c r="DD44" s="3">
        <f>AVERAGE(0.713,0.632)</f>
        <v>0.67249999999999999</v>
      </c>
      <c r="DE44" s="4">
        <v>0.25</v>
      </c>
      <c r="DF44" s="33"/>
      <c r="DG44" s="33"/>
      <c r="DH44" s="33"/>
      <c r="DI44" s="18" t="s">
        <v>8</v>
      </c>
      <c r="DJ44" s="69">
        <f t="shared" si="56"/>
        <v>2.8999999999999915E-2</v>
      </c>
      <c r="DK44" s="12">
        <f t="shared" si="56"/>
        <v>3.0000000000000027E-3</v>
      </c>
      <c r="DL44" s="12">
        <f t="shared" si="56"/>
        <v>3.0000000000000027E-3</v>
      </c>
      <c r="DM44" s="12">
        <f t="shared" si="56"/>
        <v>1.5000000000000013E-2</v>
      </c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4"/>
      <c r="EA44" s="33"/>
      <c r="EB44" s="1" t="s">
        <v>8</v>
      </c>
      <c r="EC44" s="15" t="s">
        <v>582</v>
      </c>
      <c r="ED44" s="2" t="s">
        <v>589</v>
      </c>
      <c r="EE44" s="3" t="s">
        <v>596</v>
      </c>
      <c r="EF44" s="4" t="s">
        <v>604</v>
      </c>
      <c r="EG44" s="75"/>
      <c r="EH44" s="75"/>
      <c r="EI44" s="75"/>
      <c r="EJ44" s="75"/>
      <c r="EK44" s="38"/>
      <c r="EL44" s="1" t="s">
        <v>8</v>
      </c>
      <c r="EM44" s="15">
        <v>0.59899999999999998</v>
      </c>
      <c r="EN44" s="2">
        <v>0.74299999999999999</v>
      </c>
      <c r="EO44" s="3">
        <f>AVERAGE(0.552,0.809)</f>
        <v>0.6805000000000001</v>
      </c>
      <c r="EP44" s="4">
        <v>0.21</v>
      </c>
      <c r="EQ44" s="33"/>
      <c r="ER44" s="33"/>
      <c r="ES44" s="33"/>
      <c r="ET44" s="18" t="s">
        <v>8</v>
      </c>
      <c r="EU44" s="69">
        <f t="shared" si="61"/>
        <v>-9.8999999999999977E-2</v>
      </c>
      <c r="EV44" s="12">
        <f t="shared" si="62"/>
        <v>8.0000000000000071E-3</v>
      </c>
      <c r="EW44" s="12">
        <f t="shared" si="63"/>
        <v>8.0000000000001181E-3</v>
      </c>
      <c r="EX44" s="12">
        <f t="shared" si="64"/>
        <v>-4.0000000000000008E-2</v>
      </c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4"/>
      <c r="FL44" s="33"/>
      <c r="FM44" s="1" t="s">
        <v>7</v>
      </c>
      <c r="FN44" s="15" t="s">
        <v>248</v>
      </c>
      <c r="FO44" s="2" t="s">
        <v>261</v>
      </c>
      <c r="FP44" s="3" t="s">
        <v>274</v>
      </c>
      <c r="FQ44" s="4" t="s">
        <v>287</v>
      </c>
      <c r="FR44" s="75"/>
      <c r="FS44" s="75"/>
      <c r="FU44" s="75"/>
      <c r="FV44" s="38"/>
      <c r="FW44" s="1" t="s">
        <v>8</v>
      </c>
      <c r="FX44" s="15">
        <v>0.57399999999999995</v>
      </c>
      <c r="FY44" s="2">
        <v>0.71199999999999997</v>
      </c>
      <c r="FZ44" s="3">
        <f>AVERAGE(0.525,0.796)</f>
        <v>0.66050000000000009</v>
      </c>
      <c r="GA44" s="4">
        <v>0.184</v>
      </c>
      <c r="GB44" s="33"/>
      <c r="GC44" s="33"/>
      <c r="GD44" s="33"/>
      <c r="GE44" s="18" t="s">
        <v>8</v>
      </c>
      <c r="GF44" s="12">
        <f t="shared" si="65"/>
        <v>-2.5000000000000022E-2</v>
      </c>
      <c r="GG44" s="12">
        <f t="shared" si="57"/>
        <v>-3.1000000000000028E-2</v>
      </c>
      <c r="GH44" s="12">
        <f t="shared" si="58"/>
        <v>-2.0000000000000018E-2</v>
      </c>
      <c r="GI44" s="12">
        <f t="shared" si="59"/>
        <v>-2.5999999999999995E-2</v>
      </c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8"/>
      <c r="GX44" s="36" t="s">
        <v>8</v>
      </c>
      <c r="GY44" s="15" t="s">
        <v>626</v>
      </c>
      <c r="GZ44" s="2" t="s">
        <v>625</v>
      </c>
      <c r="HA44" s="3" t="s">
        <v>341</v>
      </c>
      <c r="HB44" s="27" t="s">
        <v>624</v>
      </c>
      <c r="HC44" s="65"/>
      <c r="HD44" s="65"/>
      <c r="HE44" s="65"/>
      <c r="HG44" s="33"/>
      <c r="HH44" s="18" t="s">
        <v>8</v>
      </c>
      <c r="HI44" s="2">
        <v>0.81899999999999995</v>
      </c>
      <c r="HJ44" s="15">
        <v>0.45700000000000002</v>
      </c>
      <c r="HK44" s="15">
        <v>0.66900000000000004</v>
      </c>
      <c r="HL44" s="15">
        <v>0.69799999999999995</v>
      </c>
      <c r="HM44" s="15">
        <v>0.59899999999999998</v>
      </c>
      <c r="HN44" s="15">
        <v>0.57399999999999995</v>
      </c>
      <c r="HW44" s="18" t="s">
        <v>8</v>
      </c>
      <c r="HX44" s="2">
        <v>0.70599999999999996</v>
      </c>
      <c r="HY44" s="2">
        <v>0.70899999999999996</v>
      </c>
      <c r="HZ44" s="2">
        <v>0.73199999999999998</v>
      </c>
      <c r="IA44" s="2">
        <v>0.73499999999999999</v>
      </c>
      <c r="IB44" s="2">
        <v>0.74299999999999999</v>
      </c>
      <c r="IC44" s="2">
        <v>0.71199999999999997</v>
      </c>
      <c r="IL44" s="18" t="s">
        <v>8</v>
      </c>
      <c r="IM44" s="3">
        <v>0.5</v>
      </c>
      <c r="IN44" s="3">
        <v>0.628</v>
      </c>
      <c r="IO44" s="3">
        <v>0.66949999999999998</v>
      </c>
      <c r="IP44" s="3">
        <v>0.67249999999999999</v>
      </c>
      <c r="IQ44" s="3">
        <v>0.6805000000000001</v>
      </c>
      <c r="IR44" s="3">
        <v>0.66050000000000009</v>
      </c>
      <c r="JA44" s="18" t="s">
        <v>8</v>
      </c>
      <c r="JB44" s="4">
        <v>0</v>
      </c>
      <c r="JC44" s="4">
        <v>0.123</v>
      </c>
      <c r="JD44" s="4">
        <v>0.23499999999999999</v>
      </c>
      <c r="JE44" s="4">
        <v>0.25</v>
      </c>
      <c r="JF44" s="4">
        <v>0.21</v>
      </c>
      <c r="JG44" s="4">
        <v>0.184</v>
      </c>
    </row>
    <row r="45" spans="1:291" ht="30" customHeight="1" thickBot="1" x14ac:dyDescent="0.35">
      <c r="A45" s="36" t="s">
        <v>9</v>
      </c>
      <c r="B45" s="2">
        <v>0.80900000000000005</v>
      </c>
      <c r="C45" s="2">
        <v>0.73399999999999999</v>
      </c>
      <c r="D45" s="3">
        <f>AVERAGE(0.929,0.262)</f>
        <v>0.59550000000000003</v>
      </c>
      <c r="E45" s="4">
        <v>0.223</v>
      </c>
      <c r="AB45" s="1" t="s">
        <v>9</v>
      </c>
      <c r="AC45" s="2" t="s">
        <v>110</v>
      </c>
      <c r="AD45" s="2" t="s">
        <v>109</v>
      </c>
      <c r="AE45" s="3" t="s">
        <v>108</v>
      </c>
      <c r="AF45" s="4" t="s">
        <v>107</v>
      </c>
      <c r="AK45" s="1" t="s">
        <v>9</v>
      </c>
      <c r="AL45" s="15">
        <v>0.625</v>
      </c>
      <c r="AM45" s="2">
        <v>0.73099999999999998</v>
      </c>
      <c r="AN45" s="3">
        <f>AVERAGE(0.599,0.745)</f>
        <v>0.67199999999999993</v>
      </c>
      <c r="AO45" s="4">
        <v>0.21299999999999999</v>
      </c>
      <c r="AQ45" s="18" t="s">
        <v>9</v>
      </c>
      <c r="AR45" s="69">
        <f t="shared" si="60"/>
        <v>-0.18400000000000005</v>
      </c>
      <c r="AS45" s="12">
        <f t="shared" si="52"/>
        <v>-3.0000000000000027E-3</v>
      </c>
      <c r="AT45" s="69">
        <f t="shared" si="53"/>
        <v>7.6499999999999901E-2</v>
      </c>
      <c r="AU45" s="12">
        <f t="shared" si="54"/>
        <v>-1.0000000000000009E-2</v>
      </c>
      <c r="BI45" s="1" t="s">
        <v>9</v>
      </c>
      <c r="BJ45" s="15" t="s">
        <v>417</v>
      </c>
      <c r="BK45" s="2" t="s">
        <v>425</v>
      </c>
      <c r="BL45" s="3" t="s">
        <v>432</v>
      </c>
      <c r="BM45" s="4" t="s">
        <v>440</v>
      </c>
      <c r="BN45" s="75"/>
      <c r="BP45" s="1" t="s">
        <v>9</v>
      </c>
      <c r="BQ45" s="15">
        <v>0.63400000000000001</v>
      </c>
      <c r="BR45" s="2">
        <v>0.72299999999999998</v>
      </c>
      <c r="BS45" s="3">
        <f>AVERAGE(0.625,0.679)</f>
        <v>0.65200000000000002</v>
      </c>
      <c r="BT45" s="4">
        <v>0.19700000000000001</v>
      </c>
      <c r="BX45" s="18" t="s">
        <v>9</v>
      </c>
      <c r="BY45" s="12">
        <f t="shared" si="55"/>
        <v>9.000000000000008E-3</v>
      </c>
      <c r="BZ45" s="12">
        <f t="shared" si="55"/>
        <v>-8.0000000000000071E-3</v>
      </c>
      <c r="CA45" s="12">
        <f t="shared" si="55"/>
        <v>-1.9999999999999907E-2</v>
      </c>
      <c r="CB45" s="12">
        <f t="shared" si="55"/>
        <v>-1.5999999999999986E-2</v>
      </c>
      <c r="CQ45" s="1" t="s">
        <v>9</v>
      </c>
      <c r="CR45" s="15" t="s">
        <v>503</v>
      </c>
      <c r="CS45" s="2" t="s">
        <v>510</v>
      </c>
      <c r="CT45" s="3" t="s">
        <v>516</v>
      </c>
      <c r="CU45" s="4" t="s">
        <v>523</v>
      </c>
      <c r="CV45" s="75"/>
      <c r="CW45" s="75"/>
      <c r="CX45" s="75"/>
      <c r="CY45" s="75"/>
      <c r="CZ45" s="38"/>
      <c r="DA45" s="1" t="s">
        <v>9</v>
      </c>
      <c r="DB45" s="15">
        <v>0.62</v>
      </c>
      <c r="DC45" s="2">
        <v>0.746</v>
      </c>
      <c r="DD45" s="3">
        <f>AVERAGE(0.59,0.756)</f>
        <v>0.67300000000000004</v>
      </c>
      <c r="DE45" s="4">
        <v>0.21199999999999999</v>
      </c>
      <c r="DF45" s="33"/>
      <c r="DG45" s="33"/>
      <c r="DH45" s="33"/>
      <c r="DI45" s="18" t="s">
        <v>9</v>
      </c>
      <c r="DJ45" s="12">
        <f t="shared" si="56"/>
        <v>-1.4000000000000012E-2</v>
      </c>
      <c r="DK45" s="69">
        <f t="shared" si="56"/>
        <v>2.300000000000002E-2</v>
      </c>
      <c r="DL45" s="12">
        <f t="shared" si="56"/>
        <v>2.1000000000000019E-2</v>
      </c>
      <c r="DM45" s="12">
        <f t="shared" si="56"/>
        <v>1.4999999999999986E-2</v>
      </c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4"/>
      <c r="EA45" s="33"/>
      <c r="EB45" s="1" t="s">
        <v>9</v>
      </c>
      <c r="EC45" s="15" t="s">
        <v>583</v>
      </c>
      <c r="ED45" s="2" t="s">
        <v>590</v>
      </c>
      <c r="EE45" s="3" t="s">
        <v>597</v>
      </c>
      <c r="EF45" s="4" t="s">
        <v>605</v>
      </c>
      <c r="EG45" s="75"/>
      <c r="EH45" s="75"/>
      <c r="EI45" s="75"/>
      <c r="EJ45" s="75"/>
      <c r="EK45" s="38"/>
      <c r="EL45" s="1" t="s">
        <v>9</v>
      </c>
      <c r="EM45" s="15">
        <v>0.61799999999999999</v>
      </c>
      <c r="EN45" s="2">
        <v>0.746</v>
      </c>
      <c r="EO45" s="3">
        <f>AVERAGE(0.572,0.822)</f>
        <v>0.69699999999999995</v>
      </c>
      <c r="EP45" s="4">
        <v>0.23599999999999999</v>
      </c>
      <c r="EQ45" s="33"/>
      <c r="ER45" s="33"/>
      <c r="ES45" s="33"/>
      <c r="ET45" s="18" t="s">
        <v>9</v>
      </c>
      <c r="EU45" s="12">
        <f t="shared" si="61"/>
        <v>-2.0000000000000018E-3</v>
      </c>
      <c r="EV45" s="12">
        <f t="shared" si="62"/>
        <v>0</v>
      </c>
      <c r="EW45" s="12">
        <f t="shared" si="63"/>
        <v>2.399999999999991E-2</v>
      </c>
      <c r="EX45" s="12">
        <f t="shared" si="64"/>
        <v>2.3999999999999994E-2</v>
      </c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4"/>
      <c r="FL45" s="33"/>
      <c r="FM45" s="1" t="s">
        <v>8</v>
      </c>
      <c r="FN45" s="15" t="s">
        <v>249</v>
      </c>
      <c r="FO45" s="2" t="s">
        <v>262</v>
      </c>
      <c r="FP45" s="3" t="s">
        <v>275</v>
      </c>
      <c r="FQ45" s="4" t="s">
        <v>288</v>
      </c>
      <c r="FR45" s="75"/>
      <c r="FS45" s="75"/>
      <c r="FU45" s="75"/>
      <c r="FV45" s="38"/>
      <c r="FW45" s="1" t="s">
        <v>9</v>
      </c>
      <c r="FX45" s="15">
        <v>0.57699999999999996</v>
      </c>
      <c r="FY45" s="2">
        <v>0.71199999999999997</v>
      </c>
      <c r="FZ45" s="3">
        <f>AVERAGE(0.536,0.763)</f>
        <v>0.64949999999999997</v>
      </c>
      <c r="GA45" s="4">
        <v>0.17399999999999999</v>
      </c>
      <c r="GB45" s="33"/>
      <c r="GC45" s="33"/>
      <c r="GD45" s="33"/>
      <c r="GE45" s="18" t="s">
        <v>9</v>
      </c>
      <c r="GF45" s="69">
        <f t="shared" si="65"/>
        <v>-4.1000000000000036E-2</v>
      </c>
      <c r="GG45" s="12">
        <f t="shared" si="57"/>
        <v>-3.400000000000003E-2</v>
      </c>
      <c r="GH45" s="69">
        <f t="shared" si="58"/>
        <v>-4.7499999999999987E-2</v>
      </c>
      <c r="GI45" s="69">
        <f t="shared" si="59"/>
        <v>-6.2E-2</v>
      </c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8"/>
      <c r="GX45" s="36" t="s">
        <v>9</v>
      </c>
      <c r="GY45" s="15" t="s">
        <v>630</v>
      </c>
      <c r="GZ45" s="2" t="s">
        <v>629</v>
      </c>
      <c r="HA45" s="3" t="s">
        <v>628</v>
      </c>
      <c r="HB45" s="27" t="s">
        <v>627</v>
      </c>
      <c r="HC45" s="65"/>
      <c r="HD45" s="65"/>
      <c r="HE45" s="65"/>
      <c r="HG45" s="33"/>
      <c r="HH45" s="18" t="s">
        <v>9</v>
      </c>
      <c r="HI45" s="2">
        <v>0.80900000000000005</v>
      </c>
      <c r="HJ45" s="15">
        <v>0.625</v>
      </c>
      <c r="HK45" s="15">
        <v>0.63400000000000001</v>
      </c>
      <c r="HL45" s="15">
        <v>0.62</v>
      </c>
      <c r="HM45" s="15">
        <v>0.61799999999999999</v>
      </c>
      <c r="HN45" s="15">
        <v>0.57699999999999996</v>
      </c>
      <c r="HW45" s="18" t="s">
        <v>9</v>
      </c>
      <c r="HX45" s="2">
        <v>0.73399999999999999</v>
      </c>
      <c r="HY45" s="2">
        <v>0.73099999999999998</v>
      </c>
      <c r="HZ45" s="2">
        <v>0.72299999999999998</v>
      </c>
      <c r="IA45" s="2">
        <v>0.746</v>
      </c>
      <c r="IB45" s="2">
        <v>0.746</v>
      </c>
      <c r="IC45" s="2">
        <v>0.71199999999999997</v>
      </c>
      <c r="IL45" s="18" t="s">
        <v>9</v>
      </c>
      <c r="IM45" s="3">
        <v>0.59550000000000003</v>
      </c>
      <c r="IN45" s="3">
        <v>0.67199999999999993</v>
      </c>
      <c r="IO45" s="3">
        <v>0.65200000000000002</v>
      </c>
      <c r="IP45" s="3">
        <v>0.67300000000000004</v>
      </c>
      <c r="IQ45" s="3">
        <v>0.69699999999999995</v>
      </c>
      <c r="IR45" s="3">
        <v>0.64949999999999997</v>
      </c>
      <c r="JA45" s="18" t="s">
        <v>9</v>
      </c>
      <c r="JB45" s="4">
        <v>0.223</v>
      </c>
      <c r="JC45" s="4">
        <v>0.21299999999999999</v>
      </c>
      <c r="JD45" s="4">
        <v>0.19700000000000001</v>
      </c>
      <c r="JE45" s="4">
        <v>0.21199999999999999</v>
      </c>
      <c r="JF45" s="4">
        <v>0.23599999999999999</v>
      </c>
      <c r="JG45" s="4">
        <v>0.17399999999999999</v>
      </c>
    </row>
    <row r="46" spans="1:291" ht="30" customHeight="1" thickBot="1" x14ac:dyDescent="0.35">
      <c r="A46" s="36" t="s">
        <v>10</v>
      </c>
      <c r="B46" s="2">
        <v>0.83</v>
      </c>
      <c r="C46" s="2">
        <v>0.72899999999999998</v>
      </c>
      <c r="D46" s="3">
        <f>AVERAGE(0.965,0.218)</f>
        <v>0.59150000000000003</v>
      </c>
      <c r="E46" s="4">
        <v>0.24199999999999999</v>
      </c>
      <c r="AB46" s="1" t="s">
        <v>10</v>
      </c>
      <c r="AC46" s="2" t="s">
        <v>114</v>
      </c>
      <c r="AD46" s="2" t="s">
        <v>113</v>
      </c>
      <c r="AE46" s="3" t="s">
        <v>112</v>
      </c>
      <c r="AF46" s="4" t="s">
        <v>111</v>
      </c>
      <c r="AK46" s="1" t="s">
        <v>10</v>
      </c>
      <c r="AL46" s="15">
        <v>0.76300000000000001</v>
      </c>
      <c r="AM46" s="2">
        <v>0.752</v>
      </c>
      <c r="AN46" s="3">
        <f>AVERAGE(0.812,0.54)</f>
        <v>0.67600000000000005</v>
      </c>
      <c r="AO46" s="4">
        <v>0.30299999999999999</v>
      </c>
      <c r="AQ46" s="18" t="s">
        <v>10</v>
      </c>
      <c r="AR46" s="69">
        <f t="shared" si="60"/>
        <v>-6.6999999999999948E-2</v>
      </c>
      <c r="AS46" s="12">
        <f t="shared" si="52"/>
        <v>2.300000000000002E-2</v>
      </c>
      <c r="AT46" s="69">
        <f t="shared" si="53"/>
        <v>8.450000000000002E-2</v>
      </c>
      <c r="AU46" s="12">
        <f t="shared" si="54"/>
        <v>6.0999999999999999E-2</v>
      </c>
      <c r="BI46" s="1" t="s">
        <v>10</v>
      </c>
      <c r="BJ46" s="15" t="s">
        <v>418</v>
      </c>
      <c r="BK46" s="2" t="s">
        <v>426</v>
      </c>
      <c r="BL46" s="3" t="s">
        <v>433</v>
      </c>
      <c r="BM46" s="4" t="s">
        <v>441</v>
      </c>
      <c r="BN46" s="75"/>
      <c r="BP46" s="1" t="s">
        <v>10</v>
      </c>
      <c r="BQ46" s="15">
        <v>0.76300000000000001</v>
      </c>
      <c r="BR46" s="2">
        <v>0.752</v>
      </c>
      <c r="BS46" s="3">
        <f>AVERAGE(0.812,0.54)</f>
        <v>0.67600000000000005</v>
      </c>
      <c r="BT46" s="4">
        <v>0.30299999999999999</v>
      </c>
      <c r="BX46" s="18" t="s">
        <v>10</v>
      </c>
      <c r="BY46" s="12">
        <f t="shared" si="55"/>
        <v>0</v>
      </c>
      <c r="BZ46" s="12">
        <f t="shared" si="55"/>
        <v>0</v>
      </c>
      <c r="CA46" s="12">
        <f t="shared" si="55"/>
        <v>0</v>
      </c>
      <c r="CB46" s="12">
        <f t="shared" si="55"/>
        <v>0</v>
      </c>
      <c r="CQ46" s="1" t="s">
        <v>10</v>
      </c>
      <c r="CR46" s="15" t="s">
        <v>418</v>
      </c>
      <c r="CS46" s="2" t="s">
        <v>426</v>
      </c>
      <c r="CT46" s="3" t="s">
        <v>433</v>
      </c>
      <c r="CU46" s="4" t="s">
        <v>441</v>
      </c>
      <c r="CV46" s="75"/>
      <c r="CW46" s="75"/>
      <c r="CX46" s="75"/>
      <c r="CY46" s="75"/>
      <c r="CZ46" s="38"/>
      <c r="DA46" s="1" t="s">
        <v>10</v>
      </c>
      <c r="DB46" s="15">
        <v>0.754</v>
      </c>
      <c r="DC46" s="2">
        <v>0.75900000000000001</v>
      </c>
      <c r="DD46" s="3">
        <f>AVERAGE(0.794,0.572)</f>
        <v>0.68300000000000005</v>
      </c>
      <c r="DE46" s="4">
        <v>0.30499999999999999</v>
      </c>
      <c r="DF46" s="33"/>
      <c r="DG46" s="33"/>
      <c r="DH46" s="33"/>
      <c r="DI46" s="18" t="s">
        <v>10</v>
      </c>
      <c r="DJ46" s="12">
        <f t="shared" si="56"/>
        <v>-9.000000000000008E-3</v>
      </c>
      <c r="DK46" s="12">
        <f t="shared" si="56"/>
        <v>7.0000000000000062E-3</v>
      </c>
      <c r="DL46" s="12">
        <f t="shared" si="56"/>
        <v>7.0000000000000062E-3</v>
      </c>
      <c r="DM46" s="12">
        <f t="shared" si="56"/>
        <v>2.0000000000000018E-3</v>
      </c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4"/>
      <c r="EA46" s="33"/>
      <c r="EB46" s="1" t="s">
        <v>10</v>
      </c>
      <c r="EC46" s="15" t="s">
        <v>584</v>
      </c>
      <c r="ED46" s="2" t="s">
        <v>591</v>
      </c>
      <c r="EE46" s="3" t="s">
        <v>598</v>
      </c>
      <c r="EF46" s="4" t="s">
        <v>606</v>
      </c>
      <c r="EG46" s="75"/>
      <c r="EH46" s="75"/>
      <c r="EI46" s="75"/>
      <c r="EJ46" s="75"/>
      <c r="EK46" s="38"/>
      <c r="EL46" s="1" t="s">
        <v>10</v>
      </c>
      <c r="EM46" s="15">
        <v>0.73799999999999999</v>
      </c>
      <c r="EN46" s="2">
        <v>0.74399999999999999</v>
      </c>
      <c r="EO46" s="3">
        <f>AVERAGE(0.762,0.626)</f>
        <v>0.69399999999999995</v>
      </c>
      <c r="EP46" s="4">
        <v>0.30499999999999999</v>
      </c>
      <c r="EQ46" s="33"/>
      <c r="ER46" s="33"/>
      <c r="ES46" s="33"/>
      <c r="ET46" s="18" t="s">
        <v>10</v>
      </c>
      <c r="EU46" s="69">
        <f t="shared" si="61"/>
        <v>-1.6000000000000014E-2</v>
      </c>
      <c r="EV46" s="12">
        <f t="shared" si="62"/>
        <v>-1.5000000000000013E-2</v>
      </c>
      <c r="EW46" s="12">
        <f>EO46-DD46</f>
        <v>1.0999999999999899E-2</v>
      </c>
      <c r="EX46" s="12">
        <f t="shared" si="64"/>
        <v>0</v>
      </c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4"/>
      <c r="FL46" s="33"/>
      <c r="FM46" s="1" t="s">
        <v>9</v>
      </c>
      <c r="FN46" s="15" t="s">
        <v>250</v>
      </c>
      <c r="FO46" s="2" t="s">
        <v>263</v>
      </c>
      <c r="FP46" s="3" t="s">
        <v>276</v>
      </c>
      <c r="FQ46" s="4" t="s">
        <v>289</v>
      </c>
      <c r="FR46" s="75"/>
      <c r="FS46" s="75"/>
      <c r="FU46" s="75"/>
      <c r="FV46" s="38"/>
      <c r="FW46" s="1" t="s">
        <v>10</v>
      </c>
      <c r="FX46" s="15">
        <v>0.71599999999999997</v>
      </c>
      <c r="FY46" s="2">
        <v>0.7</v>
      </c>
      <c r="FZ46" s="3">
        <f>AVERAGE(0.732,0.645)</f>
        <v>0.6885</v>
      </c>
      <c r="GA46" s="4">
        <v>0.28199999999999997</v>
      </c>
      <c r="GB46" s="33"/>
      <c r="GC46" s="33"/>
      <c r="GD46" s="33"/>
      <c r="GE46" s="18" t="s">
        <v>10</v>
      </c>
      <c r="GF46" s="12">
        <f t="shared" si="65"/>
        <v>-2.200000000000002E-2</v>
      </c>
      <c r="GG46" s="69">
        <f t="shared" si="57"/>
        <v>-4.4000000000000039E-2</v>
      </c>
      <c r="GH46" s="12">
        <f>FZ46-EO46</f>
        <v>-5.4999999999999494E-3</v>
      </c>
      <c r="GI46" s="12">
        <f t="shared" si="59"/>
        <v>-2.300000000000002E-2</v>
      </c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8"/>
      <c r="GX46" s="36" t="s">
        <v>10</v>
      </c>
      <c r="GY46" s="15" t="s">
        <v>634</v>
      </c>
      <c r="GZ46" s="2" t="s">
        <v>633</v>
      </c>
      <c r="HA46" s="3" t="s">
        <v>632</v>
      </c>
      <c r="HB46" s="27" t="s">
        <v>631</v>
      </c>
      <c r="HC46" s="65"/>
      <c r="HD46" s="65"/>
      <c r="HE46" s="65"/>
      <c r="HG46" s="33"/>
      <c r="HH46" s="18" t="s">
        <v>10</v>
      </c>
      <c r="HI46" s="2">
        <v>0.83</v>
      </c>
      <c r="HJ46" s="15">
        <v>0.76300000000000001</v>
      </c>
      <c r="HK46" s="15">
        <v>0.76300000000000001</v>
      </c>
      <c r="HL46" s="15">
        <v>0.754</v>
      </c>
      <c r="HM46" s="15">
        <v>0.73799999999999999</v>
      </c>
      <c r="HN46" s="15">
        <v>0.71599999999999997</v>
      </c>
      <c r="HW46" s="18" t="s">
        <v>10</v>
      </c>
      <c r="HX46" s="2">
        <v>0.72899999999999998</v>
      </c>
      <c r="HY46" s="2">
        <v>0.752</v>
      </c>
      <c r="HZ46" s="2">
        <v>0.752</v>
      </c>
      <c r="IA46" s="2">
        <v>0.75900000000000001</v>
      </c>
      <c r="IB46" s="2">
        <v>0.74399999999999999</v>
      </c>
      <c r="IC46" s="2">
        <v>0.7</v>
      </c>
      <c r="IL46" s="18" t="s">
        <v>10</v>
      </c>
      <c r="IM46" s="3">
        <v>0.59150000000000003</v>
      </c>
      <c r="IN46" s="3">
        <v>0.67600000000000005</v>
      </c>
      <c r="IO46" s="3">
        <v>0.67600000000000005</v>
      </c>
      <c r="IP46" s="3">
        <v>0.68300000000000005</v>
      </c>
      <c r="IQ46" s="3">
        <v>0.69399999999999995</v>
      </c>
      <c r="IR46" s="3">
        <v>0.6885</v>
      </c>
      <c r="JA46" s="18" t="s">
        <v>10</v>
      </c>
      <c r="JB46" s="4">
        <v>0.24199999999999999</v>
      </c>
      <c r="JC46" s="4">
        <v>0.30299999999999999</v>
      </c>
      <c r="JD46" s="4">
        <v>0.30299999999999999</v>
      </c>
      <c r="JE46" s="4">
        <v>0.30499999999999999</v>
      </c>
      <c r="JF46" s="4">
        <v>0.30499999999999999</v>
      </c>
      <c r="JG46" s="4">
        <v>0.28199999999999997</v>
      </c>
    </row>
    <row r="47" spans="1:291" ht="30" customHeight="1" thickBot="1" x14ac:dyDescent="0.35">
      <c r="A47" s="37" t="s">
        <v>11</v>
      </c>
      <c r="B47" s="6">
        <v>0.79200000000000004</v>
      </c>
      <c r="C47" s="6">
        <v>0.71899999999999997</v>
      </c>
      <c r="D47" s="7">
        <f>AVERAGE(0.906,0.275)</f>
        <v>0.59050000000000002</v>
      </c>
      <c r="E47" s="8">
        <v>0.19700000000000001</v>
      </c>
      <c r="AB47" s="5" t="s">
        <v>11</v>
      </c>
      <c r="AC47" s="6" t="s">
        <v>118</v>
      </c>
      <c r="AD47" s="6" t="s">
        <v>117</v>
      </c>
      <c r="AE47" s="7" t="s">
        <v>116</v>
      </c>
      <c r="AF47" s="8" t="s">
        <v>115</v>
      </c>
      <c r="AK47" s="5" t="s">
        <v>11</v>
      </c>
      <c r="AL47" s="17">
        <v>0.69599999999999995</v>
      </c>
      <c r="AM47" s="6">
        <v>0.72799999999999998</v>
      </c>
      <c r="AN47" s="7">
        <f>AVERAGE(0.703,0.665)</f>
        <v>0.68399999999999994</v>
      </c>
      <c r="AO47" s="8">
        <v>0.26900000000000002</v>
      </c>
      <c r="AQ47" s="19" t="s">
        <v>11</v>
      </c>
      <c r="AR47" s="69">
        <f t="shared" si="60"/>
        <v>-9.6000000000000085E-2</v>
      </c>
      <c r="AS47" s="12">
        <f t="shared" si="52"/>
        <v>9.000000000000008E-3</v>
      </c>
      <c r="AT47" s="69">
        <f t="shared" si="53"/>
        <v>9.3499999999999917E-2</v>
      </c>
      <c r="AU47" s="12">
        <f t="shared" si="54"/>
        <v>7.2000000000000008E-2</v>
      </c>
      <c r="BI47" s="5" t="s">
        <v>11</v>
      </c>
      <c r="BJ47" s="17" t="s">
        <v>419</v>
      </c>
      <c r="BK47" s="6" t="s">
        <v>427</v>
      </c>
      <c r="BL47" s="7" t="s">
        <v>434</v>
      </c>
      <c r="BM47" s="8" t="s">
        <v>442</v>
      </c>
      <c r="BN47" s="75"/>
      <c r="BP47" s="5" t="s">
        <v>11</v>
      </c>
      <c r="BQ47" s="17">
        <v>0.7</v>
      </c>
      <c r="BR47" s="6">
        <v>0.70299999999999996</v>
      </c>
      <c r="BS47" s="7">
        <f>AVERAGE(0.725,0.585)</f>
        <v>0.65500000000000003</v>
      </c>
      <c r="BT47" s="8">
        <v>0.23400000000000001</v>
      </c>
      <c r="BX47" s="19" t="s">
        <v>11</v>
      </c>
      <c r="BY47" s="12">
        <f t="shared" si="55"/>
        <v>4.0000000000000036E-3</v>
      </c>
      <c r="BZ47" s="69">
        <f t="shared" si="55"/>
        <v>-2.5000000000000022E-2</v>
      </c>
      <c r="CA47" s="69">
        <f t="shared" si="55"/>
        <v>-2.8999999999999915E-2</v>
      </c>
      <c r="CB47" s="12">
        <f t="shared" si="55"/>
        <v>-3.5000000000000003E-2</v>
      </c>
      <c r="CQ47" s="5" t="s">
        <v>11</v>
      </c>
      <c r="CR47" s="17" t="s">
        <v>504</v>
      </c>
      <c r="CS47" s="6" t="s">
        <v>511</v>
      </c>
      <c r="CT47" s="7" t="s">
        <v>517</v>
      </c>
      <c r="CU47" s="8" t="s">
        <v>524</v>
      </c>
      <c r="CV47" s="75"/>
      <c r="CW47" s="75"/>
      <c r="CX47" s="75"/>
      <c r="CY47" s="75"/>
      <c r="CZ47" s="38"/>
      <c r="DA47" s="5" t="s">
        <v>11</v>
      </c>
      <c r="DB47" s="17">
        <v>0.60599999999999998</v>
      </c>
      <c r="DC47" s="6">
        <v>0.73299999999999998</v>
      </c>
      <c r="DD47" s="7">
        <f>AVERAGE(0.583,0.71)</f>
        <v>0.64649999999999996</v>
      </c>
      <c r="DE47" s="8">
        <v>0.186</v>
      </c>
      <c r="DF47" s="33"/>
      <c r="DG47" s="33"/>
      <c r="DH47" s="33"/>
      <c r="DI47" s="19" t="s">
        <v>11</v>
      </c>
      <c r="DJ47" s="69">
        <f t="shared" si="56"/>
        <v>-9.3999999999999972E-2</v>
      </c>
      <c r="DK47" s="69">
        <f t="shared" si="56"/>
        <v>3.0000000000000027E-2</v>
      </c>
      <c r="DL47" s="12">
        <f t="shared" si="56"/>
        <v>-8.5000000000000631E-3</v>
      </c>
      <c r="DM47" s="12">
        <f t="shared" si="56"/>
        <v>-4.8000000000000015E-2</v>
      </c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4"/>
      <c r="EA47" s="33"/>
      <c r="EB47" s="5" t="s">
        <v>11</v>
      </c>
      <c r="EC47" s="17" t="s">
        <v>585</v>
      </c>
      <c r="ED47" s="6" t="s">
        <v>592</v>
      </c>
      <c r="EE47" s="7" t="s">
        <v>599</v>
      </c>
      <c r="EF47" s="8" t="s">
        <v>607</v>
      </c>
      <c r="EG47" s="75"/>
      <c r="EH47" s="75"/>
      <c r="EI47" s="75"/>
      <c r="EJ47" s="75"/>
      <c r="EK47" s="38"/>
      <c r="EL47" s="5" t="s">
        <v>11</v>
      </c>
      <c r="EM47" s="17">
        <v>0.59199999999999997</v>
      </c>
      <c r="EN47" s="6">
        <v>0.73899999999999999</v>
      </c>
      <c r="EO47" s="7">
        <f>AVERAGE(0.554,0.763)</f>
        <v>0.65850000000000009</v>
      </c>
      <c r="EP47" s="8">
        <v>0.185</v>
      </c>
      <c r="EQ47" s="33"/>
      <c r="ER47" s="33"/>
      <c r="ES47" s="33"/>
      <c r="ET47" s="19" t="s">
        <v>11</v>
      </c>
      <c r="EU47" s="12">
        <f t="shared" si="61"/>
        <v>-1.4000000000000012E-2</v>
      </c>
      <c r="EV47" s="12">
        <f t="shared" si="62"/>
        <v>6.0000000000000053E-3</v>
      </c>
      <c r="EW47" s="12">
        <f t="shared" si="63"/>
        <v>1.2000000000000122E-2</v>
      </c>
      <c r="EX47" s="12">
        <f t="shared" si="64"/>
        <v>-1.0000000000000009E-3</v>
      </c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4"/>
      <c r="FL47" s="33"/>
      <c r="FM47" s="1" t="s">
        <v>10</v>
      </c>
      <c r="FN47" s="15" t="s">
        <v>251</v>
      </c>
      <c r="FO47" s="2" t="s">
        <v>264</v>
      </c>
      <c r="FP47" s="3" t="s">
        <v>277</v>
      </c>
      <c r="FQ47" s="4" t="s">
        <v>290</v>
      </c>
      <c r="FR47" s="75"/>
      <c r="FS47" s="75"/>
      <c r="FU47" s="75"/>
      <c r="FV47" s="38"/>
      <c r="FW47" s="5" t="s">
        <v>11</v>
      </c>
      <c r="FX47" s="17">
        <v>0.57399999999999995</v>
      </c>
      <c r="FY47" s="6">
        <v>0.71799999999999997</v>
      </c>
      <c r="FZ47" s="7">
        <f>AVERAGE(0.53,0.769)</f>
        <v>0.64949999999999997</v>
      </c>
      <c r="GA47" s="8">
        <v>0.17299999999999999</v>
      </c>
      <c r="GB47" s="33"/>
      <c r="GC47" s="33"/>
      <c r="GD47" s="33"/>
      <c r="GE47" s="19" t="s">
        <v>11</v>
      </c>
      <c r="GF47" s="12">
        <f t="shared" si="65"/>
        <v>-1.8000000000000016E-2</v>
      </c>
      <c r="GG47" s="12">
        <f t="shared" si="57"/>
        <v>-2.1000000000000019E-2</v>
      </c>
      <c r="GH47" s="12">
        <f t="shared" ref="GH47" si="66">FZ47-EO47</f>
        <v>-9.000000000000119E-3</v>
      </c>
      <c r="GI47" s="12">
        <f t="shared" si="59"/>
        <v>-1.2000000000000011E-2</v>
      </c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8"/>
      <c r="GX47" s="45" t="s">
        <v>11</v>
      </c>
      <c r="GY47" s="91" t="s">
        <v>638</v>
      </c>
      <c r="GZ47" s="29" t="s">
        <v>637</v>
      </c>
      <c r="HA47" s="30" t="s">
        <v>636</v>
      </c>
      <c r="HB47" s="31" t="s">
        <v>635</v>
      </c>
      <c r="HC47" s="65"/>
      <c r="HD47" s="65"/>
      <c r="HE47" s="65"/>
      <c r="HG47" s="33"/>
      <c r="HH47" s="19" t="s">
        <v>11</v>
      </c>
      <c r="HI47" s="6">
        <v>0.79200000000000004</v>
      </c>
      <c r="HJ47" s="17">
        <v>0.69599999999999995</v>
      </c>
      <c r="HK47" s="17">
        <v>0.7</v>
      </c>
      <c r="HL47" s="17">
        <v>0.60599999999999998</v>
      </c>
      <c r="HM47" s="17">
        <v>0.59199999999999997</v>
      </c>
      <c r="HN47" s="17">
        <v>0.57399999999999995</v>
      </c>
      <c r="HW47" s="19" t="s">
        <v>11</v>
      </c>
      <c r="HX47" s="6">
        <v>0.71899999999999997</v>
      </c>
      <c r="HY47" s="6">
        <v>0.72799999999999998</v>
      </c>
      <c r="HZ47" s="6">
        <v>0.70299999999999996</v>
      </c>
      <c r="IA47" s="6">
        <v>0.73299999999999998</v>
      </c>
      <c r="IB47" s="6">
        <v>0.73899999999999999</v>
      </c>
      <c r="IC47" s="6">
        <v>0.71799999999999997</v>
      </c>
      <c r="IL47" s="19" t="s">
        <v>11</v>
      </c>
      <c r="IM47" s="7">
        <v>0.59050000000000002</v>
      </c>
      <c r="IN47" s="7">
        <v>0.68399999999999994</v>
      </c>
      <c r="IO47" s="7">
        <v>0.65500000000000003</v>
      </c>
      <c r="IP47" s="7">
        <v>0.64649999999999996</v>
      </c>
      <c r="IQ47" s="7">
        <v>0.65850000000000009</v>
      </c>
      <c r="IR47" s="7">
        <v>0.64949999999999997</v>
      </c>
      <c r="JA47" s="19" t="s">
        <v>11</v>
      </c>
      <c r="JB47" s="8">
        <v>0.19700000000000001</v>
      </c>
      <c r="JC47" s="8">
        <v>0.26900000000000002</v>
      </c>
      <c r="JD47" s="8">
        <v>0.23400000000000001</v>
      </c>
      <c r="JE47" s="8">
        <v>0.186</v>
      </c>
      <c r="JF47" s="8">
        <v>0.185</v>
      </c>
      <c r="JG47" s="8">
        <v>0.17299999999999999</v>
      </c>
    </row>
    <row r="48" spans="1:291" s="33" customFormat="1" ht="30" customHeight="1" thickBot="1" x14ac:dyDescent="0.35">
      <c r="A48" s="38"/>
      <c r="Z48" s="34"/>
      <c r="AA48" s="38"/>
      <c r="AI48" s="34"/>
      <c r="AJ48" s="38"/>
      <c r="BG48" s="34"/>
      <c r="BN48" s="75"/>
      <c r="BO48" s="38"/>
      <c r="CO48" s="34"/>
      <c r="CV48" s="75"/>
      <c r="CW48" s="75"/>
      <c r="CX48" s="75"/>
      <c r="CY48" s="75"/>
      <c r="CZ48" s="38"/>
      <c r="DZ48" s="34"/>
      <c r="EG48"/>
      <c r="EH48"/>
      <c r="EI48"/>
      <c r="EJ48"/>
      <c r="EK48" s="38"/>
      <c r="FK48" s="34"/>
      <c r="FM48" s="5" t="s">
        <v>11</v>
      </c>
      <c r="FN48" s="17" t="s">
        <v>252</v>
      </c>
      <c r="FO48" s="6" t="s">
        <v>265</v>
      </c>
      <c r="FP48" s="7" t="s">
        <v>278</v>
      </c>
      <c r="FQ48" s="8" t="s">
        <v>291</v>
      </c>
      <c r="FR48" s="75"/>
      <c r="FS48" s="75"/>
      <c r="FU48" s="75"/>
      <c r="FV48" s="38"/>
      <c r="GW48" s="38"/>
      <c r="HC48" s="59"/>
      <c r="HD48" s="59"/>
      <c r="HE48" s="59"/>
      <c r="HF48" s="60"/>
    </row>
    <row r="49" spans="1:249" ht="30" customHeight="1" thickBot="1" x14ac:dyDescent="0.55000000000000004">
      <c r="A49" s="102" t="s">
        <v>23</v>
      </c>
      <c r="B49" s="103"/>
      <c r="C49" s="103"/>
      <c r="D49" s="103"/>
      <c r="E49" s="104"/>
      <c r="AB49" s="102" t="s">
        <v>23</v>
      </c>
      <c r="AC49" s="103"/>
      <c r="AD49" s="103"/>
      <c r="AE49" s="103"/>
      <c r="AF49" s="104"/>
      <c r="AK49" s="102" t="s">
        <v>23</v>
      </c>
      <c r="AL49" s="103"/>
      <c r="AM49" s="103"/>
      <c r="AN49" s="103"/>
      <c r="AO49" s="104"/>
      <c r="BN49" s="75"/>
      <c r="BP49" s="102" t="s">
        <v>23</v>
      </c>
      <c r="BQ49" s="103"/>
      <c r="BR49" s="103"/>
      <c r="BS49" s="103"/>
      <c r="BT49" s="104"/>
      <c r="BX49" s="118" t="s">
        <v>119</v>
      </c>
      <c r="BY49" s="119"/>
      <c r="BZ49" s="119"/>
      <c r="CA49" s="120"/>
      <c r="CV49" s="75"/>
      <c r="CW49" s="75"/>
      <c r="CX49" s="75"/>
      <c r="CY49" s="75"/>
      <c r="CZ49" s="38"/>
      <c r="DA49" s="102" t="s">
        <v>23</v>
      </c>
      <c r="DB49" s="103"/>
      <c r="DC49" s="103"/>
      <c r="DD49" s="103"/>
      <c r="DE49" s="104"/>
      <c r="DF49" s="33"/>
      <c r="DG49" s="33"/>
      <c r="DH49" s="33"/>
      <c r="DI49" s="118" t="s">
        <v>119</v>
      </c>
      <c r="DJ49" s="119"/>
      <c r="DK49" s="119"/>
      <c r="DL49" s="120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4"/>
      <c r="EA49" s="33"/>
      <c r="EB49" s="33"/>
      <c r="EC49" s="33"/>
      <c r="ED49" s="33"/>
      <c r="EE49" s="33"/>
      <c r="EF49" s="33"/>
      <c r="EK49" s="38"/>
      <c r="EL49" s="102" t="s">
        <v>23</v>
      </c>
      <c r="EM49" s="103"/>
      <c r="EN49" s="103"/>
      <c r="EO49" s="103"/>
      <c r="EP49" s="104"/>
      <c r="EQ49" s="33"/>
      <c r="ER49" s="33"/>
      <c r="ES49" s="33"/>
      <c r="ET49" s="118" t="s">
        <v>119</v>
      </c>
      <c r="EU49" s="119"/>
      <c r="EV49" s="119"/>
      <c r="EW49" s="120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4"/>
      <c r="FL49" s="33"/>
      <c r="FM49" s="33"/>
      <c r="FN49" s="33"/>
      <c r="FO49" s="33"/>
      <c r="FP49" s="33"/>
      <c r="FQ49" s="33"/>
      <c r="FR49" s="75"/>
      <c r="FS49" s="75"/>
      <c r="FU49" s="75"/>
      <c r="FV49" s="38"/>
      <c r="FW49" s="102" t="s">
        <v>23</v>
      </c>
      <c r="FX49" s="103"/>
      <c r="FY49" s="103"/>
      <c r="FZ49" s="103"/>
      <c r="GA49" s="104"/>
      <c r="GB49" s="33"/>
      <c r="GC49" s="33"/>
      <c r="GD49" s="33"/>
      <c r="GE49" s="118" t="s">
        <v>119</v>
      </c>
      <c r="GF49" s="119"/>
      <c r="GG49" s="119"/>
      <c r="GH49" s="120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8"/>
      <c r="GX49" s="33"/>
      <c r="GY49" s="33"/>
      <c r="GZ49" s="33"/>
      <c r="HA49" s="33"/>
      <c r="HB49" s="33"/>
      <c r="HC49" s="59"/>
      <c r="HD49" s="59"/>
      <c r="HE49" s="59"/>
      <c r="HG49" s="33"/>
    </row>
    <row r="50" spans="1:249" ht="30" customHeight="1" thickBot="1" x14ac:dyDescent="0.35">
      <c r="A50" s="35"/>
      <c r="B50" s="10" t="s">
        <v>20</v>
      </c>
      <c r="C50" s="10" t="s">
        <v>12</v>
      </c>
      <c r="D50" s="11" t="s">
        <v>220</v>
      </c>
      <c r="AB50" s="9"/>
      <c r="AC50" s="10" t="s">
        <v>20</v>
      </c>
      <c r="AD50" s="10" t="s">
        <v>12</v>
      </c>
      <c r="AE50" s="11" t="s">
        <v>24</v>
      </c>
      <c r="AK50" s="9"/>
      <c r="AL50" s="10" t="s">
        <v>20</v>
      </c>
      <c r="AM50" s="10" t="s">
        <v>12</v>
      </c>
      <c r="AN50" s="11" t="s">
        <v>24</v>
      </c>
      <c r="BN50" s="75"/>
      <c r="BP50" s="9"/>
      <c r="BQ50" s="10" t="s">
        <v>20</v>
      </c>
      <c r="BR50" s="10" t="s">
        <v>12</v>
      </c>
      <c r="BS50" s="11" t="s">
        <v>24</v>
      </c>
      <c r="BX50" s="41"/>
      <c r="BY50" s="62" t="s">
        <v>20</v>
      </c>
      <c r="BZ50" s="62" t="s">
        <v>12</v>
      </c>
      <c r="CA50" s="63" t="s">
        <v>24</v>
      </c>
      <c r="CQ50" s="9"/>
      <c r="CR50" s="10" t="s">
        <v>20</v>
      </c>
      <c r="CS50" s="10" t="s">
        <v>12</v>
      </c>
      <c r="CT50" s="11" t="s">
        <v>24</v>
      </c>
      <c r="CV50" s="75"/>
      <c r="CW50" s="75"/>
      <c r="CX50" s="75"/>
      <c r="CY50" s="75"/>
      <c r="CZ50" s="38"/>
      <c r="DA50" s="9"/>
      <c r="DB50" s="10" t="s">
        <v>20</v>
      </c>
      <c r="DC50" s="10" t="s">
        <v>12</v>
      </c>
      <c r="DD50" s="11" t="s">
        <v>24</v>
      </c>
      <c r="DE50" s="33"/>
      <c r="DF50" s="33"/>
      <c r="DG50" s="33"/>
      <c r="DH50" s="33"/>
      <c r="DI50" s="41"/>
      <c r="DJ50" s="62" t="s">
        <v>20</v>
      </c>
      <c r="DK50" s="62" t="s">
        <v>12</v>
      </c>
      <c r="DL50" s="63" t="s">
        <v>24</v>
      </c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4"/>
      <c r="EA50" s="33"/>
      <c r="EB50" s="9"/>
      <c r="EC50" s="10" t="s">
        <v>20</v>
      </c>
      <c r="ED50" s="10" t="s">
        <v>12</v>
      </c>
      <c r="EE50" s="11" t="s">
        <v>24</v>
      </c>
      <c r="EF50" s="33"/>
      <c r="EK50" s="38"/>
      <c r="EL50" s="9"/>
      <c r="EM50" s="10" t="s">
        <v>20</v>
      </c>
      <c r="EN50" s="10" t="s">
        <v>12</v>
      </c>
      <c r="EO50" s="11" t="s">
        <v>24</v>
      </c>
      <c r="EP50" s="33"/>
      <c r="EQ50" s="33"/>
      <c r="ER50" s="33"/>
      <c r="ES50" s="33"/>
      <c r="ET50" s="41"/>
      <c r="EU50" s="62" t="s">
        <v>20</v>
      </c>
      <c r="EV50" s="62" t="s">
        <v>12</v>
      </c>
      <c r="EW50" s="63" t="s">
        <v>24</v>
      </c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4"/>
      <c r="FL50" s="33"/>
      <c r="FM50" s="9"/>
      <c r="FN50" s="10" t="s">
        <v>20</v>
      </c>
      <c r="FO50" s="10" t="s">
        <v>12</v>
      </c>
      <c r="FP50" s="11" t="s">
        <v>24</v>
      </c>
      <c r="FQ50" s="33"/>
      <c r="FV50" s="38"/>
      <c r="FW50" s="9"/>
      <c r="FX50" s="10" t="s">
        <v>20</v>
      </c>
      <c r="FY50" s="10" t="s">
        <v>12</v>
      </c>
      <c r="FZ50" s="11" t="s">
        <v>24</v>
      </c>
      <c r="GA50" s="33"/>
      <c r="GB50" s="33"/>
      <c r="GC50" s="33"/>
      <c r="GD50" s="33"/>
      <c r="GE50" s="41"/>
      <c r="GF50" s="62" t="s">
        <v>20</v>
      </c>
      <c r="GG50" s="62" t="s">
        <v>12</v>
      </c>
      <c r="GH50" s="63" t="s">
        <v>24</v>
      </c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8"/>
      <c r="GX50" s="9"/>
      <c r="GY50" s="10" t="s">
        <v>20</v>
      </c>
      <c r="GZ50" s="10" t="s">
        <v>12</v>
      </c>
      <c r="HA50" s="11" t="s">
        <v>24</v>
      </c>
      <c r="HB50" s="33"/>
      <c r="HC50" s="59"/>
      <c r="HD50" s="59"/>
      <c r="HE50" s="59"/>
      <c r="HG50" s="33"/>
    </row>
    <row r="51" spans="1:249" ht="30" customHeight="1" thickBot="1" x14ac:dyDescent="0.35">
      <c r="A51" s="36" t="s">
        <v>13</v>
      </c>
      <c r="B51" s="2">
        <v>1.2789999999999999</v>
      </c>
      <c r="C51" s="2">
        <v>2.101</v>
      </c>
      <c r="D51" s="4">
        <v>-0.61099999999999999</v>
      </c>
      <c r="AB51" s="1" t="s">
        <v>13</v>
      </c>
      <c r="AC51" s="2" t="s">
        <v>190</v>
      </c>
      <c r="AD51" s="2" t="s">
        <v>200</v>
      </c>
      <c r="AE51" s="32" t="s">
        <v>210</v>
      </c>
      <c r="AK51" s="1" t="s">
        <v>13</v>
      </c>
      <c r="AL51" s="52"/>
      <c r="AM51" s="52"/>
      <c r="AN51" s="54"/>
      <c r="BN51" s="75"/>
      <c r="BP51" s="1" t="s">
        <v>13</v>
      </c>
      <c r="BQ51" s="12">
        <v>1.2789999999999999</v>
      </c>
      <c r="BR51" s="13">
        <v>2.101</v>
      </c>
      <c r="BS51" s="14">
        <v>-0.61099999999999999</v>
      </c>
      <c r="BX51" s="1" t="s">
        <v>13</v>
      </c>
      <c r="BY51" s="12">
        <f t="shared" ref="BY51:BY61" si="67">BQ51-B51</f>
        <v>0</v>
      </c>
      <c r="BZ51" s="12">
        <f t="shared" ref="BZ51:BZ61" si="68">BR51-C51</f>
        <v>0</v>
      </c>
      <c r="CA51" s="12">
        <f t="shared" ref="CA51:CA61" si="69">BS51-D51</f>
        <v>0</v>
      </c>
      <c r="CQ51" s="1" t="s">
        <v>13</v>
      </c>
      <c r="CR51" s="12" t="s">
        <v>190</v>
      </c>
      <c r="CS51" s="13" t="s">
        <v>200</v>
      </c>
      <c r="CT51" s="82" t="s">
        <v>210</v>
      </c>
      <c r="CZ51" s="38"/>
      <c r="DA51" s="1" t="s">
        <v>13</v>
      </c>
      <c r="DB51" s="12">
        <v>1.2609999999999999</v>
      </c>
      <c r="DC51" s="13">
        <v>2.0390000000000001</v>
      </c>
      <c r="DD51" s="14">
        <v>-0.48399999999999999</v>
      </c>
      <c r="DE51" s="33"/>
      <c r="DF51" s="33"/>
      <c r="DG51" s="33"/>
      <c r="DH51" s="33"/>
      <c r="DI51" s="1" t="s">
        <v>13</v>
      </c>
      <c r="DJ51" s="69">
        <f t="shared" ref="DJ51:DJ61" si="70">DB51-BQ51</f>
        <v>-1.8000000000000016E-2</v>
      </c>
      <c r="DK51" s="12">
        <f t="shared" ref="DK51:DK61" si="71">DC51-BR51</f>
        <v>-6.1999999999999833E-2</v>
      </c>
      <c r="DL51" s="12">
        <f t="shared" ref="DL51:DL61" si="72">DD51-BS51</f>
        <v>0.127</v>
      </c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4"/>
      <c r="EA51" s="33"/>
      <c r="EB51" s="1" t="s">
        <v>13</v>
      </c>
      <c r="EC51" s="12" t="s">
        <v>736</v>
      </c>
      <c r="ED51" s="13" t="s">
        <v>737</v>
      </c>
      <c r="EE51" s="82" t="s">
        <v>738</v>
      </c>
      <c r="EF51" s="33"/>
      <c r="EK51" s="38"/>
      <c r="EL51" s="1" t="s">
        <v>13</v>
      </c>
      <c r="EM51" s="12">
        <v>85271798.923999995</v>
      </c>
      <c r="EN51" s="13">
        <v>781528937.41600001</v>
      </c>
      <c r="EO51" s="14">
        <v>-2.28951403005789E+18</v>
      </c>
      <c r="EP51" s="33"/>
      <c r="EQ51" s="33"/>
      <c r="ER51" s="33"/>
      <c r="ES51" s="33"/>
      <c r="ET51" s="1" t="s">
        <v>13</v>
      </c>
      <c r="EU51" s="12">
        <f>EM51-DB51</f>
        <v>85271797.662999988</v>
      </c>
      <c r="EV51" s="12">
        <f>EN51-DC51</f>
        <v>781528935.37699997</v>
      </c>
      <c r="EW51" s="12">
        <f>EO51-DD51</f>
        <v>-2.28951403005789E+18</v>
      </c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4"/>
      <c r="FL51" s="33"/>
      <c r="FM51" s="1" t="s">
        <v>13</v>
      </c>
      <c r="FN51" s="12" t="s">
        <v>706</v>
      </c>
      <c r="FO51" s="13" t="s">
        <v>707</v>
      </c>
      <c r="FP51" s="82" t="s">
        <v>708</v>
      </c>
      <c r="FQ51" s="33"/>
      <c r="FV51" s="38"/>
      <c r="FW51" s="1" t="s">
        <v>13</v>
      </c>
      <c r="FX51" s="12">
        <v>2118583774.7609999</v>
      </c>
      <c r="FY51" s="13">
        <v>19532377289.441002</v>
      </c>
      <c r="FZ51" s="14">
        <v>-1.0223002647076199E+21</v>
      </c>
      <c r="GA51" s="33"/>
      <c r="GB51" s="33"/>
      <c r="GC51" s="33"/>
      <c r="GD51" s="33"/>
      <c r="GE51" s="1" t="s">
        <v>13</v>
      </c>
      <c r="GF51" s="69">
        <f>FX51-EM51</f>
        <v>2033311975.8369999</v>
      </c>
      <c r="GG51" s="12">
        <f t="shared" ref="GG51:GG61" si="73">FY51-EN51</f>
        <v>18750848352.025002</v>
      </c>
      <c r="GH51" s="12">
        <f t="shared" ref="GH51:GH60" si="74">FZ51-EO51</f>
        <v>-1.020010750677562E+21</v>
      </c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8"/>
      <c r="GX51" s="1" t="s">
        <v>13</v>
      </c>
      <c r="GY51" s="12" t="s">
        <v>676</v>
      </c>
      <c r="GZ51" s="13" t="s">
        <v>677</v>
      </c>
      <c r="HA51" s="82" t="s">
        <v>678</v>
      </c>
      <c r="HB51" s="33"/>
      <c r="HC51" s="59"/>
      <c r="HD51" s="59"/>
      <c r="HE51" s="59"/>
      <c r="HG51" s="33"/>
      <c r="HH51" s="1" t="s">
        <v>13</v>
      </c>
      <c r="HI51" s="2">
        <v>1.2789999999999999</v>
      </c>
      <c r="HJ51" s="12">
        <v>1.2789999999999999</v>
      </c>
      <c r="HK51" s="12">
        <v>1.2609999999999999</v>
      </c>
      <c r="HL51" s="12">
        <v>85271798.923999995</v>
      </c>
      <c r="HM51" s="12">
        <v>2118583774.7609999</v>
      </c>
      <c r="HV51" s="1" t="s">
        <v>13</v>
      </c>
      <c r="HW51" s="2">
        <v>2.101</v>
      </c>
      <c r="HX51" s="13">
        <v>2.101</v>
      </c>
      <c r="HY51" s="13">
        <v>2.0390000000000001</v>
      </c>
      <c r="HZ51" s="13">
        <v>781528937.41600001</v>
      </c>
      <c r="IA51" s="13">
        <v>19532377289.441002</v>
      </c>
      <c r="IJ51" s="1" t="s">
        <v>13</v>
      </c>
      <c r="IK51" s="4">
        <v>-0.61099999999999999</v>
      </c>
      <c r="IL51" s="14">
        <v>-0.61099999999999999</v>
      </c>
      <c r="IM51" s="14">
        <v>-0.48399999999999999</v>
      </c>
      <c r="IN51" s="14">
        <v>-2.28951403005789E+18</v>
      </c>
      <c r="IO51" s="14">
        <v>-1.0223002647076199E+21</v>
      </c>
    </row>
    <row r="52" spans="1:249" ht="30" customHeight="1" thickBot="1" x14ac:dyDescent="0.35">
      <c r="A52" s="36" t="s">
        <v>14</v>
      </c>
      <c r="B52" s="2">
        <v>1.1539999999999999</v>
      </c>
      <c r="C52" s="2">
        <v>1.8360000000000001</v>
      </c>
      <c r="D52" s="4">
        <v>-0.115</v>
      </c>
      <c r="AB52" s="1" t="s">
        <v>14</v>
      </c>
      <c r="AC52" s="2" t="s">
        <v>191</v>
      </c>
      <c r="AD52" s="2" t="s">
        <v>201</v>
      </c>
      <c r="AE52" s="32" t="s">
        <v>211</v>
      </c>
      <c r="AK52" s="1" t="s">
        <v>14</v>
      </c>
      <c r="AL52" s="52"/>
      <c r="AM52" s="52"/>
      <c r="AN52" s="54"/>
      <c r="BN52" s="75"/>
      <c r="BP52" s="1" t="s">
        <v>14</v>
      </c>
      <c r="BQ52" s="15">
        <v>1.1539999999999999</v>
      </c>
      <c r="BR52" s="2">
        <v>1.8360000000000001</v>
      </c>
      <c r="BS52" s="4">
        <v>-0.115</v>
      </c>
      <c r="BX52" s="1" t="s">
        <v>14</v>
      </c>
      <c r="BY52" s="12">
        <f t="shared" si="67"/>
        <v>0</v>
      </c>
      <c r="BZ52" s="12">
        <f t="shared" si="68"/>
        <v>0</v>
      </c>
      <c r="CA52" s="12">
        <f t="shared" si="69"/>
        <v>0</v>
      </c>
      <c r="CQ52" s="1" t="s">
        <v>14</v>
      </c>
      <c r="CR52" s="15" t="s">
        <v>191</v>
      </c>
      <c r="CS52" s="2" t="s">
        <v>201</v>
      </c>
      <c r="CT52" s="32" t="s">
        <v>211</v>
      </c>
      <c r="CZ52" s="38"/>
      <c r="DA52" s="1" t="s">
        <v>14</v>
      </c>
      <c r="DB52" s="15">
        <v>1.036</v>
      </c>
      <c r="DC52" s="2">
        <v>1.716</v>
      </c>
      <c r="DD52" s="4">
        <v>0.06</v>
      </c>
      <c r="DE52" s="33"/>
      <c r="DF52" s="33"/>
      <c r="DG52" s="33"/>
      <c r="DH52" s="33"/>
      <c r="DI52" s="1" t="s">
        <v>14</v>
      </c>
      <c r="DJ52" s="69">
        <f t="shared" si="70"/>
        <v>-0.11799999999999988</v>
      </c>
      <c r="DK52" s="69">
        <f t="shared" si="71"/>
        <v>-0.12000000000000011</v>
      </c>
      <c r="DL52" s="69">
        <f t="shared" si="72"/>
        <v>0.17499999999999999</v>
      </c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4"/>
      <c r="EA52" s="33"/>
      <c r="EB52" s="1" t="s">
        <v>14</v>
      </c>
      <c r="EC52" s="15" t="s">
        <v>739</v>
      </c>
      <c r="ED52" s="2" t="s">
        <v>740</v>
      </c>
      <c r="EE52" s="4" t="s">
        <v>741</v>
      </c>
      <c r="EF52" s="33"/>
      <c r="EK52" s="38"/>
      <c r="EL52" s="1" t="s">
        <v>14</v>
      </c>
      <c r="EM52" s="15">
        <v>1.0429999999999999</v>
      </c>
      <c r="EN52" s="2">
        <v>1.722</v>
      </c>
      <c r="EO52" s="4">
        <v>4.7E-2</v>
      </c>
      <c r="EP52" s="33"/>
      <c r="EQ52" s="33"/>
      <c r="ER52" s="33"/>
      <c r="ES52" s="33"/>
      <c r="ET52" s="1" t="s">
        <v>14</v>
      </c>
      <c r="EU52" s="12">
        <f t="shared" ref="EU52:EU61" si="75">EM52-DB52</f>
        <v>6.9999999999998952E-3</v>
      </c>
      <c r="EV52" s="12">
        <f t="shared" ref="EV52:EV61" si="76">EN52-DC52</f>
        <v>6.0000000000000053E-3</v>
      </c>
      <c r="EW52" s="12">
        <f t="shared" ref="EW52:EW61" si="77">EO52-DD52</f>
        <v>-1.2999999999999998E-2</v>
      </c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4"/>
      <c r="FL52" s="33"/>
      <c r="FM52" s="1" t="s">
        <v>14</v>
      </c>
      <c r="FN52" s="15" t="s">
        <v>710</v>
      </c>
      <c r="FO52" s="2" t="s">
        <v>709</v>
      </c>
      <c r="FP52" s="4" t="s">
        <v>711</v>
      </c>
      <c r="FQ52" s="33"/>
      <c r="FV52" s="38"/>
      <c r="FW52" s="1" t="s">
        <v>14</v>
      </c>
      <c r="FX52" s="15">
        <v>1.0429999999999999</v>
      </c>
      <c r="FY52" s="2">
        <v>1.712</v>
      </c>
      <c r="FZ52" s="4">
        <v>5.8000000000000003E-2</v>
      </c>
      <c r="GA52" s="33"/>
      <c r="GB52" s="33"/>
      <c r="GC52" s="33"/>
      <c r="GD52" s="33"/>
      <c r="GE52" s="1" t="s">
        <v>14</v>
      </c>
      <c r="GF52" s="12">
        <f t="shared" ref="GF52:GF61" si="78">FX52-EM52</f>
        <v>0</v>
      </c>
      <c r="GG52" s="12">
        <f t="shared" si="73"/>
        <v>-1.0000000000000009E-2</v>
      </c>
      <c r="GH52" s="12">
        <f t="shared" si="74"/>
        <v>1.1000000000000003E-2</v>
      </c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8"/>
      <c r="GX52" s="1" t="s">
        <v>14</v>
      </c>
      <c r="GY52" s="15" t="s">
        <v>679</v>
      </c>
      <c r="GZ52" s="2" t="s">
        <v>680</v>
      </c>
      <c r="HA52" s="4" t="s">
        <v>681</v>
      </c>
      <c r="HB52" s="33"/>
      <c r="HC52" s="59"/>
      <c r="HD52" s="59"/>
      <c r="HE52" s="59"/>
      <c r="HG52" s="33"/>
      <c r="HH52" s="1" t="s">
        <v>14</v>
      </c>
      <c r="HI52" s="2">
        <v>1.1539999999999999</v>
      </c>
      <c r="HJ52" s="15">
        <v>1.1539999999999999</v>
      </c>
      <c r="HK52" s="15">
        <v>1.036</v>
      </c>
      <c r="HL52" s="15">
        <v>1.0429999999999999</v>
      </c>
      <c r="HM52" s="15">
        <v>1.0429999999999999</v>
      </c>
      <c r="HV52" s="1" t="s">
        <v>14</v>
      </c>
      <c r="HW52" s="2">
        <v>1.8360000000000001</v>
      </c>
      <c r="HX52" s="2">
        <v>1.8360000000000001</v>
      </c>
      <c r="HY52" s="2">
        <v>1.716</v>
      </c>
      <c r="HZ52" s="2">
        <v>1.722</v>
      </c>
      <c r="IA52" s="2">
        <v>1.712</v>
      </c>
      <c r="IJ52" s="1" t="s">
        <v>14</v>
      </c>
      <c r="IK52" s="4">
        <v>-0.115</v>
      </c>
      <c r="IL52" s="4">
        <v>-0.115</v>
      </c>
      <c r="IM52" s="4">
        <v>0.06</v>
      </c>
      <c r="IN52" s="4">
        <v>4.7E-2</v>
      </c>
      <c r="IO52" s="4">
        <v>5.8000000000000003E-2</v>
      </c>
    </row>
    <row r="53" spans="1:249" ht="30" customHeight="1" thickBot="1" x14ac:dyDescent="0.35">
      <c r="A53" s="36" t="s">
        <v>15</v>
      </c>
      <c r="B53" s="2">
        <v>1.0920000000000001</v>
      </c>
      <c r="C53" s="2">
        <v>1.7849999999999999</v>
      </c>
      <c r="D53" s="4">
        <v>-8.9999999999999993E-3</v>
      </c>
      <c r="AB53" s="1" t="s">
        <v>15</v>
      </c>
      <c r="AC53" s="2" t="s">
        <v>192</v>
      </c>
      <c r="AD53" s="2" t="s">
        <v>202</v>
      </c>
      <c r="AE53" s="32" t="s">
        <v>212</v>
      </c>
      <c r="AK53" s="1" t="s">
        <v>15</v>
      </c>
      <c r="AL53" s="52"/>
      <c r="AM53" s="52"/>
      <c r="AN53" s="54"/>
      <c r="BN53" s="75"/>
      <c r="BP53" s="1" t="s">
        <v>15</v>
      </c>
      <c r="BQ53" s="15">
        <v>1.0920000000000001</v>
      </c>
      <c r="BR53" s="2">
        <v>1.7849999999999999</v>
      </c>
      <c r="BS53" s="4">
        <v>1.7849999999999999</v>
      </c>
      <c r="BX53" s="1" t="s">
        <v>15</v>
      </c>
      <c r="BY53" s="12">
        <f t="shared" si="67"/>
        <v>0</v>
      </c>
      <c r="BZ53" s="12">
        <f t="shared" si="68"/>
        <v>0</v>
      </c>
      <c r="CA53" s="12">
        <f t="shared" si="69"/>
        <v>1.7939999999999998</v>
      </c>
      <c r="CQ53" s="1" t="s">
        <v>15</v>
      </c>
      <c r="CR53" s="15" t="s">
        <v>192</v>
      </c>
      <c r="CS53" s="2" t="s">
        <v>202</v>
      </c>
      <c r="CT53" s="4" t="s">
        <v>670</v>
      </c>
      <c r="CZ53" s="38"/>
      <c r="DA53" s="1" t="s">
        <v>15</v>
      </c>
      <c r="DB53" s="15">
        <v>1.0920000000000001</v>
      </c>
      <c r="DC53" s="2">
        <v>1.7849999999999999</v>
      </c>
      <c r="DD53" s="4">
        <v>-8.9999999999999993E-3</v>
      </c>
      <c r="DE53" s="33"/>
      <c r="DF53" s="33"/>
      <c r="DG53" s="33"/>
      <c r="DH53" s="33"/>
      <c r="DI53" s="1" t="s">
        <v>15</v>
      </c>
      <c r="DJ53" s="12">
        <f t="shared" si="70"/>
        <v>0</v>
      </c>
      <c r="DK53" s="12">
        <f t="shared" si="71"/>
        <v>0</v>
      </c>
      <c r="DL53" s="12">
        <f t="shared" si="72"/>
        <v>-1.7939999999999998</v>
      </c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4"/>
      <c r="EA53" s="33"/>
      <c r="EB53" s="1" t="s">
        <v>15</v>
      </c>
      <c r="EC53" s="15" t="s">
        <v>192</v>
      </c>
      <c r="ED53" s="2" t="s">
        <v>202</v>
      </c>
      <c r="EE53" s="32" t="s">
        <v>212</v>
      </c>
      <c r="EF53" s="33"/>
      <c r="EK53" s="38"/>
      <c r="EL53" s="1" t="s">
        <v>15</v>
      </c>
      <c r="EM53" s="15">
        <v>1.0920000000000001</v>
      </c>
      <c r="EN53" s="2">
        <v>1.7849999999999999</v>
      </c>
      <c r="EO53" s="4">
        <v>-8.9999999999999993E-3</v>
      </c>
      <c r="EP53" s="33"/>
      <c r="EQ53" s="33"/>
      <c r="ER53" s="33"/>
      <c r="ES53" s="33"/>
      <c r="ET53" s="1" t="s">
        <v>15</v>
      </c>
      <c r="EU53" s="12">
        <f t="shared" si="75"/>
        <v>0</v>
      </c>
      <c r="EV53" s="12">
        <f t="shared" si="76"/>
        <v>0</v>
      </c>
      <c r="EW53" s="12">
        <f t="shared" si="77"/>
        <v>0</v>
      </c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4"/>
      <c r="FL53" s="33"/>
      <c r="FM53" s="1" t="s">
        <v>15</v>
      </c>
      <c r="FN53" s="15" t="s">
        <v>192</v>
      </c>
      <c r="FO53" s="2" t="s">
        <v>202</v>
      </c>
      <c r="FP53" s="32" t="s">
        <v>212</v>
      </c>
      <c r="FQ53" s="33"/>
      <c r="FV53" s="38"/>
      <c r="FW53" s="1" t="s">
        <v>15</v>
      </c>
      <c r="FX53" s="15">
        <v>1.0920000000000001</v>
      </c>
      <c r="FY53" s="2">
        <v>1.7849999999999999</v>
      </c>
      <c r="FZ53" s="4">
        <v>-8.9999999999999993E-3</v>
      </c>
      <c r="GA53" s="33"/>
      <c r="GB53" s="33"/>
      <c r="GC53" s="33"/>
      <c r="GD53" s="33"/>
      <c r="GE53" s="1" t="s">
        <v>15</v>
      </c>
      <c r="GF53" s="12">
        <f t="shared" si="78"/>
        <v>0</v>
      </c>
      <c r="GG53" s="12">
        <f t="shared" si="73"/>
        <v>0</v>
      </c>
      <c r="GH53" s="12">
        <f t="shared" si="74"/>
        <v>0</v>
      </c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8"/>
      <c r="GX53" s="1" t="s">
        <v>15</v>
      </c>
      <c r="GY53" s="15" t="s">
        <v>192</v>
      </c>
      <c r="GZ53" s="2" t="s">
        <v>202</v>
      </c>
      <c r="HA53" s="32" t="s">
        <v>212</v>
      </c>
      <c r="HB53" s="33"/>
      <c r="HC53" s="59"/>
      <c r="HD53" s="59"/>
      <c r="HE53" s="59"/>
      <c r="HG53" s="33"/>
      <c r="HH53" s="1" t="s">
        <v>15</v>
      </c>
      <c r="HI53" s="2">
        <v>1.0920000000000001</v>
      </c>
      <c r="HJ53" s="15">
        <v>1.0920000000000001</v>
      </c>
      <c r="HK53" s="15">
        <v>1.0920000000000001</v>
      </c>
      <c r="HL53" s="15">
        <v>1.0920000000000001</v>
      </c>
      <c r="HM53" s="15">
        <v>1.0920000000000001</v>
      </c>
      <c r="HV53" s="1" t="s">
        <v>15</v>
      </c>
      <c r="HW53" s="2">
        <v>1.7849999999999999</v>
      </c>
      <c r="HX53" s="2">
        <v>1.7849999999999999</v>
      </c>
      <c r="HY53" s="2">
        <v>1.7849999999999999</v>
      </c>
      <c r="HZ53" s="2">
        <v>1.7849999999999999</v>
      </c>
      <c r="IA53" s="2">
        <v>1.7849999999999999</v>
      </c>
      <c r="IJ53" s="1" t="s">
        <v>15</v>
      </c>
      <c r="IK53" s="4">
        <v>-8.9999999999999993E-3</v>
      </c>
      <c r="IL53" s="4">
        <v>1.7849999999999999</v>
      </c>
      <c r="IM53" s="4">
        <v>-8.9999999999999993E-3</v>
      </c>
      <c r="IN53" s="4">
        <v>-8.9999999999999993E-3</v>
      </c>
      <c r="IO53" s="4">
        <v>-8.9999999999999993E-3</v>
      </c>
    </row>
    <row r="54" spans="1:249" ht="30" customHeight="1" thickBot="1" x14ac:dyDescent="0.35">
      <c r="A54" s="36" t="s">
        <v>16</v>
      </c>
      <c r="B54" s="2">
        <v>0.94699999999999995</v>
      </c>
      <c r="C54" s="2">
        <v>1.76</v>
      </c>
      <c r="D54" s="4">
        <v>1.7999999999999999E-2</v>
      </c>
      <c r="AB54" s="1" t="s">
        <v>16</v>
      </c>
      <c r="AC54" s="2" t="s">
        <v>193</v>
      </c>
      <c r="AD54" s="2" t="s">
        <v>203</v>
      </c>
      <c r="AE54" s="32" t="s">
        <v>213</v>
      </c>
      <c r="AK54" s="1" t="s">
        <v>16</v>
      </c>
      <c r="AL54" s="52"/>
      <c r="AM54" s="52"/>
      <c r="AN54" s="54"/>
      <c r="BN54" s="75"/>
      <c r="BP54" s="1" t="s">
        <v>16</v>
      </c>
      <c r="BQ54" s="15">
        <v>0.94699999999999995</v>
      </c>
      <c r="BR54" s="2">
        <v>1.76</v>
      </c>
      <c r="BS54" s="4">
        <v>1.7999999999999999E-2</v>
      </c>
      <c r="BX54" s="1" t="s">
        <v>16</v>
      </c>
      <c r="BY54" s="12">
        <f t="shared" si="67"/>
        <v>0</v>
      </c>
      <c r="BZ54" s="12">
        <f t="shared" si="68"/>
        <v>0</v>
      </c>
      <c r="CA54" s="12">
        <f t="shared" si="69"/>
        <v>0</v>
      </c>
      <c r="CQ54" s="1" t="s">
        <v>16</v>
      </c>
      <c r="CR54" s="15" t="s">
        <v>193</v>
      </c>
      <c r="CS54" s="2" t="s">
        <v>203</v>
      </c>
      <c r="CT54" s="4" t="s">
        <v>671</v>
      </c>
      <c r="CZ54" s="38"/>
      <c r="DA54" s="1" t="s">
        <v>16</v>
      </c>
      <c r="DB54" s="15">
        <v>0.94199999999999995</v>
      </c>
      <c r="DC54" s="2">
        <v>1.7450000000000001</v>
      </c>
      <c r="DD54" s="4">
        <v>3.2000000000000001E-2</v>
      </c>
      <c r="DE54" s="33"/>
      <c r="DF54" s="33"/>
      <c r="DG54" s="33"/>
      <c r="DH54" s="33"/>
      <c r="DI54" s="1" t="s">
        <v>16</v>
      </c>
      <c r="DJ54" s="12">
        <f t="shared" si="70"/>
        <v>-5.0000000000000044E-3</v>
      </c>
      <c r="DK54" s="69">
        <f t="shared" si="71"/>
        <v>-1.4999999999999902E-2</v>
      </c>
      <c r="DL54" s="69">
        <f t="shared" si="72"/>
        <v>1.4000000000000002E-2</v>
      </c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4"/>
      <c r="EA54" s="33"/>
      <c r="EB54" s="1" t="s">
        <v>16</v>
      </c>
      <c r="EC54" s="15" t="s">
        <v>742</v>
      </c>
      <c r="ED54" s="2" t="s">
        <v>743</v>
      </c>
      <c r="EE54" s="4" t="s">
        <v>744</v>
      </c>
      <c r="EF54" s="33"/>
      <c r="EK54" s="38"/>
      <c r="EL54" s="1" t="s">
        <v>16</v>
      </c>
      <c r="EM54" s="15">
        <v>0.94099999999999995</v>
      </c>
      <c r="EN54" s="2">
        <v>1.768</v>
      </c>
      <c r="EO54" s="4">
        <v>7.0000000000000001E-3</v>
      </c>
      <c r="EP54" s="33"/>
      <c r="EQ54" s="33"/>
      <c r="ER54" s="33"/>
      <c r="ES54" s="33"/>
      <c r="ET54" s="1" t="s">
        <v>16</v>
      </c>
      <c r="EU54" s="12">
        <f t="shared" si="75"/>
        <v>-1.0000000000000009E-3</v>
      </c>
      <c r="EV54" s="69">
        <f t="shared" si="76"/>
        <v>2.2999999999999909E-2</v>
      </c>
      <c r="EW54" s="69">
        <f t="shared" si="77"/>
        <v>-2.5000000000000001E-2</v>
      </c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4"/>
      <c r="FL54" s="33"/>
      <c r="FM54" s="1" t="s">
        <v>16</v>
      </c>
      <c r="FN54" s="15" t="s">
        <v>712</v>
      </c>
      <c r="FO54" s="2" t="s">
        <v>713</v>
      </c>
      <c r="FP54" s="4" t="s">
        <v>714</v>
      </c>
      <c r="FQ54" s="33"/>
      <c r="FV54" s="38"/>
      <c r="FW54" s="1" t="s">
        <v>16</v>
      </c>
      <c r="FX54" s="15">
        <v>0.94199999999999995</v>
      </c>
      <c r="FY54" s="2">
        <v>1.75</v>
      </c>
      <c r="FZ54" s="4">
        <v>3.2000000000000001E-2</v>
      </c>
      <c r="GA54" s="33"/>
      <c r="GB54" s="33"/>
      <c r="GC54" s="33"/>
      <c r="GD54" s="33"/>
      <c r="GE54" s="1" t="s">
        <v>16</v>
      </c>
      <c r="GF54" s="12">
        <f t="shared" si="78"/>
        <v>1.0000000000000009E-3</v>
      </c>
      <c r="GG54" s="12">
        <f t="shared" si="73"/>
        <v>-1.8000000000000016E-2</v>
      </c>
      <c r="GH54" s="12">
        <f t="shared" si="74"/>
        <v>2.5000000000000001E-2</v>
      </c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8"/>
      <c r="GX54" s="1" t="s">
        <v>16</v>
      </c>
      <c r="GY54" s="15" t="s">
        <v>682</v>
      </c>
      <c r="GZ54" s="2" t="s">
        <v>683</v>
      </c>
      <c r="HA54" s="4" t="s">
        <v>684</v>
      </c>
      <c r="HB54" s="33"/>
      <c r="HC54" s="59"/>
      <c r="HD54" s="59"/>
      <c r="HE54" s="59"/>
      <c r="HG54" s="33"/>
      <c r="HH54" s="1" t="s">
        <v>16</v>
      </c>
      <c r="HI54" s="2">
        <v>0.94699999999999995</v>
      </c>
      <c r="HJ54" s="15">
        <v>0.94699999999999995</v>
      </c>
      <c r="HK54" s="15">
        <v>0.94199999999999995</v>
      </c>
      <c r="HL54" s="15">
        <v>0.94099999999999995</v>
      </c>
      <c r="HM54" s="15">
        <v>0.94199999999999995</v>
      </c>
      <c r="HV54" s="1" t="s">
        <v>16</v>
      </c>
      <c r="HW54" s="2">
        <v>1.76</v>
      </c>
      <c r="HX54" s="2">
        <v>1.76</v>
      </c>
      <c r="HY54" s="2">
        <v>1.7450000000000001</v>
      </c>
      <c r="HZ54" s="2">
        <v>1.768</v>
      </c>
      <c r="IA54" s="2">
        <v>1.75</v>
      </c>
      <c r="IJ54" s="1" t="s">
        <v>16</v>
      </c>
      <c r="IK54" s="4">
        <v>1.7999999999999999E-2</v>
      </c>
      <c r="IL54" s="4">
        <v>1.7999999999999999E-2</v>
      </c>
      <c r="IM54" s="4">
        <v>3.2000000000000001E-2</v>
      </c>
      <c r="IN54" s="4">
        <v>7.0000000000000001E-3</v>
      </c>
      <c r="IO54" s="4">
        <v>3.2000000000000001E-2</v>
      </c>
    </row>
    <row r="55" spans="1:249" ht="30" customHeight="1" thickBot="1" x14ac:dyDescent="0.35">
      <c r="A55" s="36" t="s">
        <v>17</v>
      </c>
      <c r="B55" s="2">
        <v>1.0920000000000001</v>
      </c>
      <c r="C55" s="2">
        <v>1.7849999999999999</v>
      </c>
      <c r="D55" s="4">
        <v>-8.9999999999999993E-3</v>
      </c>
      <c r="AB55" s="1" t="s">
        <v>17</v>
      </c>
      <c r="AC55" s="2" t="s">
        <v>192</v>
      </c>
      <c r="AD55" s="2" t="s">
        <v>202</v>
      </c>
      <c r="AE55" s="32" t="s">
        <v>212</v>
      </c>
      <c r="AK55" s="1" t="s">
        <v>17</v>
      </c>
      <c r="AL55" s="52"/>
      <c r="AM55" s="52"/>
      <c r="AN55" s="54"/>
      <c r="BN55" s="75"/>
      <c r="BP55" s="1" t="s">
        <v>17</v>
      </c>
      <c r="BQ55" s="15">
        <v>1.0920000000000001</v>
      </c>
      <c r="BR55" s="2">
        <v>1.7849999999999999</v>
      </c>
      <c r="BS55" s="4">
        <v>-8.9999999999999993E-3</v>
      </c>
      <c r="BX55" s="1" t="s">
        <v>17</v>
      </c>
      <c r="BY55" s="12">
        <f t="shared" si="67"/>
        <v>0</v>
      </c>
      <c r="BZ55" s="12">
        <f t="shared" si="68"/>
        <v>0</v>
      </c>
      <c r="CA55" s="12">
        <f t="shared" si="69"/>
        <v>0</v>
      </c>
      <c r="CQ55" s="1" t="s">
        <v>17</v>
      </c>
      <c r="CR55" s="15" t="s">
        <v>192</v>
      </c>
      <c r="CS55" s="2" t="s">
        <v>202</v>
      </c>
      <c r="CT55" s="32" t="s">
        <v>212</v>
      </c>
      <c r="CZ55" s="38"/>
      <c r="DA55" s="1" t="s">
        <v>17</v>
      </c>
      <c r="DB55" s="15">
        <v>1.046</v>
      </c>
      <c r="DC55" s="2">
        <v>1.774</v>
      </c>
      <c r="DD55" s="4">
        <v>4.0000000000000001E-3</v>
      </c>
      <c r="DE55" s="33"/>
      <c r="DF55" s="33"/>
      <c r="DG55" s="33"/>
      <c r="DH55" s="33"/>
      <c r="DI55" s="1" t="s">
        <v>17</v>
      </c>
      <c r="DJ55" s="69">
        <f t="shared" si="70"/>
        <v>-4.6000000000000041E-2</v>
      </c>
      <c r="DK55" s="12">
        <f t="shared" si="71"/>
        <v>-1.0999999999999899E-2</v>
      </c>
      <c r="DL55" s="12">
        <f t="shared" si="72"/>
        <v>1.2999999999999999E-2</v>
      </c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4"/>
      <c r="EA55" s="33"/>
      <c r="EB55" s="1" t="s">
        <v>17</v>
      </c>
      <c r="EC55" s="15" t="s">
        <v>745</v>
      </c>
      <c r="ED55" s="2" t="s">
        <v>746</v>
      </c>
      <c r="EE55" s="4" t="s">
        <v>747</v>
      </c>
      <c r="EF55" s="33"/>
      <c r="EK55" s="38"/>
      <c r="EL55" s="1" t="s">
        <v>17</v>
      </c>
      <c r="EM55" s="15">
        <v>1.0389999999999999</v>
      </c>
      <c r="EN55" s="2">
        <v>1.7789999999999999</v>
      </c>
      <c r="EO55" s="4">
        <v>-1E-3</v>
      </c>
      <c r="EP55" s="33"/>
      <c r="EQ55" s="33"/>
      <c r="ER55" s="33"/>
      <c r="ES55" s="33"/>
      <c r="ET55" s="1" t="s">
        <v>17</v>
      </c>
      <c r="EU55" s="69">
        <f t="shared" si="75"/>
        <v>-7.0000000000001172E-3</v>
      </c>
      <c r="EV55" s="69">
        <f t="shared" si="76"/>
        <v>4.9999999999998934E-3</v>
      </c>
      <c r="EW55" s="12">
        <f t="shared" si="77"/>
        <v>-5.0000000000000001E-3</v>
      </c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4"/>
      <c r="FL55" s="33"/>
      <c r="FM55" s="1" t="s">
        <v>17</v>
      </c>
      <c r="FN55" s="15" t="s">
        <v>715</v>
      </c>
      <c r="FO55" s="2" t="s">
        <v>716</v>
      </c>
      <c r="FP55" s="32" t="s">
        <v>717</v>
      </c>
      <c r="FQ55" s="33"/>
      <c r="FV55" s="38"/>
      <c r="FW55" s="1" t="s">
        <v>17</v>
      </c>
      <c r="FX55" s="15">
        <v>1.012</v>
      </c>
      <c r="FY55" s="2">
        <v>1.7969999999999999</v>
      </c>
      <c r="FZ55" s="4">
        <v>-2.3E-2</v>
      </c>
      <c r="GA55" s="33"/>
      <c r="GB55" s="33"/>
      <c r="GC55" s="33"/>
      <c r="GD55" s="33"/>
      <c r="GE55" s="1" t="s">
        <v>17</v>
      </c>
      <c r="GF55" s="69">
        <f t="shared" si="78"/>
        <v>-2.6999999999999913E-2</v>
      </c>
      <c r="GG55" s="69">
        <f t="shared" si="73"/>
        <v>1.8000000000000016E-2</v>
      </c>
      <c r="GH55" s="69">
        <f t="shared" si="74"/>
        <v>-2.1999999999999999E-2</v>
      </c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8"/>
      <c r="GX55" s="1" t="s">
        <v>17</v>
      </c>
      <c r="GY55" s="15" t="s">
        <v>685</v>
      </c>
      <c r="GZ55" s="2" t="s">
        <v>686</v>
      </c>
      <c r="HA55" s="32" t="s">
        <v>687</v>
      </c>
      <c r="HB55" s="33"/>
      <c r="HC55" s="59"/>
      <c r="HD55" s="59"/>
      <c r="HE55" s="59"/>
      <c r="HG55" s="33"/>
      <c r="HH55" s="1" t="s">
        <v>17</v>
      </c>
      <c r="HI55" s="2">
        <v>1.0920000000000001</v>
      </c>
      <c r="HJ55" s="15">
        <v>1.0920000000000001</v>
      </c>
      <c r="HK55" s="15">
        <v>1.046</v>
      </c>
      <c r="HL55" s="15">
        <v>1.0389999999999999</v>
      </c>
      <c r="HM55" s="15">
        <v>1.012</v>
      </c>
      <c r="HV55" s="1" t="s">
        <v>17</v>
      </c>
      <c r="HW55" s="2">
        <v>1.7849999999999999</v>
      </c>
      <c r="HX55" s="2">
        <v>1.7849999999999999</v>
      </c>
      <c r="HY55" s="2">
        <v>1.774</v>
      </c>
      <c r="HZ55" s="2">
        <v>1.7789999999999999</v>
      </c>
      <c r="IA55" s="2">
        <v>1.7969999999999999</v>
      </c>
      <c r="IJ55" s="1" t="s">
        <v>17</v>
      </c>
      <c r="IK55" s="4">
        <v>-8.9999999999999993E-3</v>
      </c>
      <c r="IL55" s="4">
        <v>-8.9999999999999993E-3</v>
      </c>
      <c r="IM55" s="4">
        <v>4.0000000000000001E-3</v>
      </c>
      <c r="IN55" s="4">
        <v>-1E-3</v>
      </c>
      <c r="IO55" s="4">
        <v>-2.3E-2</v>
      </c>
    </row>
    <row r="56" spans="1:249" ht="30" customHeight="1" thickBot="1" x14ac:dyDescent="0.35">
      <c r="A56" s="36" t="s">
        <v>5</v>
      </c>
      <c r="B56" s="2">
        <v>1.0629999999999999</v>
      </c>
      <c r="C56" s="2">
        <v>1.8340000000000001</v>
      </c>
      <c r="D56" s="4">
        <v>-0.10299999999999999</v>
      </c>
      <c r="AB56" s="1" t="s">
        <v>5</v>
      </c>
      <c r="AC56" s="2" t="s">
        <v>194</v>
      </c>
      <c r="AD56" s="2" t="s">
        <v>204</v>
      </c>
      <c r="AE56" s="32" t="s">
        <v>214</v>
      </c>
      <c r="AK56" s="1" t="s">
        <v>5</v>
      </c>
      <c r="AL56" s="52"/>
      <c r="AM56" s="52"/>
      <c r="AN56" s="54"/>
      <c r="BN56" s="75"/>
      <c r="BP56" s="1" t="s">
        <v>5</v>
      </c>
      <c r="BQ56" s="15">
        <v>1.0629999999999999</v>
      </c>
      <c r="BR56" s="2">
        <v>1.8340000000000001</v>
      </c>
      <c r="BS56" s="4">
        <v>-0.10299999999999999</v>
      </c>
      <c r="BX56" s="1" t="s">
        <v>5</v>
      </c>
      <c r="BY56" s="12">
        <f t="shared" si="67"/>
        <v>0</v>
      </c>
      <c r="BZ56" s="12">
        <f t="shared" si="68"/>
        <v>0</v>
      </c>
      <c r="CA56" s="12">
        <f t="shared" si="69"/>
        <v>0</v>
      </c>
      <c r="CQ56" s="1" t="s">
        <v>5</v>
      </c>
      <c r="CR56" s="15" t="s">
        <v>194</v>
      </c>
      <c r="CS56" s="2" t="s">
        <v>204</v>
      </c>
      <c r="CT56" s="32" t="s">
        <v>214</v>
      </c>
      <c r="CZ56" s="38"/>
      <c r="DA56" s="1" t="s">
        <v>5</v>
      </c>
      <c r="DB56" s="15">
        <v>1.012</v>
      </c>
      <c r="DC56" s="2">
        <v>1.738</v>
      </c>
      <c r="DD56" s="4">
        <v>3.5999999999999997E-2</v>
      </c>
      <c r="DE56" s="33"/>
      <c r="DF56" s="33"/>
      <c r="DG56" s="33"/>
      <c r="DH56" s="33"/>
      <c r="DI56" s="1" t="s">
        <v>5</v>
      </c>
      <c r="DJ56" s="69">
        <f t="shared" si="70"/>
        <v>-5.0999999999999934E-2</v>
      </c>
      <c r="DK56" s="69">
        <f t="shared" si="71"/>
        <v>-9.6000000000000085E-2</v>
      </c>
      <c r="DL56" s="69">
        <f t="shared" si="72"/>
        <v>0.13899999999999998</v>
      </c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4"/>
      <c r="EA56" s="33"/>
      <c r="EB56" s="1" t="s">
        <v>5</v>
      </c>
      <c r="EC56" s="15" t="s">
        <v>748</v>
      </c>
      <c r="ED56" s="2" t="s">
        <v>749</v>
      </c>
      <c r="EE56" s="4" t="s">
        <v>750</v>
      </c>
      <c r="EF56" s="33"/>
      <c r="EK56" s="38"/>
      <c r="EL56" s="1" t="s">
        <v>5</v>
      </c>
      <c r="EM56" s="15">
        <v>1.002</v>
      </c>
      <c r="EN56" s="2">
        <v>1.73</v>
      </c>
      <c r="EO56" s="4">
        <v>4.5999999999999999E-2</v>
      </c>
      <c r="EP56" s="33"/>
      <c r="EQ56" s="33"/>
      <c r="ER56" s="33"/>
      <c r="ES56" s="33"/>
      <c r="ET56" s="1" t="s">
        <v>5</v>
      </c>
      <c r="EU56" s="12">
        <f t="shared" si="75"/>
        <v>-1.0000000000000009E-2</v>
      </c>
      <c r="EV56" s="12">
        <f t="shared" si="76"/>
        <v>-8.0000000000000071E-3</v>
      </c>
      <c r="EW56" s="12">
        <f t="shared" si="77"/>
        <v>1.0000000000000002E-2</v>
      </c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4"/>
      <c r="FL56" s="33"/>
      <c r="FM56" s="1" t="s">
        <v>5</v>
      </c>
      <c r="FN56" s="15" t="s">
        <v>718</v>
      </c>
      <c r="FO56" s="2" t="s">
        <v>719</v>
      </c>
      <c r="FP56" s="4" t="s">
        <v>720</v>
      </c>
      <c r="FQ56" s="33"/>
      <c r="FV56" s="38"/>
      <c r="FW56" s="1" t="s">
        <v>5</v>
      </c>
      <c r="FX56" s="15">
        <v>1.0129999999999999</v>
      </c>
      <c r="FY56" s="2">
        <v>1.722</v>
      </c>
      <c r="FZ56" s="4">
        <v>5.6000000000000001E-2</v>
      </c>
      <c r="GA56" s="33"/>
      <c r="GB56" s="33"/>
      <c r="GC56" s="33"/>
      <c r="GD56" s="33"/>
      <c r="GE56" s="1" t="s">
        <v>5</v>
      </c>
      <c r="GF56" s="12">
        <f t="shared" si="78"/>
        <v>1.0999999999999899E-2</v>
      </c>
      <c r="GG56" s="12">
        <f t="shared" si="73"/>
        <v>-8.0000000000000071E-3</v>
      </c>
      <c r="GH56" s="12">
        <f t="shared" si="74"/>
        <v>1.0000000000000002E-2</v>
      </c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8"/>
      <c r="GX56" s="1" t="s">
        <v>5</v>
      </c>
      <c r="GY56" s="15" t="s">
        <v>688</v>
      </c>
      <c r="GZ56" s="2" t="s">
        <v>689</v>
      </c>
      <c r="HA56" s="4" t="s">
        <v>690</v>
      </c>
      <c r="HB56" s="33"/>
      <c r="HC56" s="59"/>
      <c r="HD56" s="59"/>
      <c r="HE56" s="59"/>
      <c r="HG56" s="33"/>
      <c r="HH56" s="1" t="s">
        <v>5</v>
      </c>
      <c r="HI56" s="2">
        <v>1.0629999999999999</v>
      </c>
      <c r="HJ56" s="15">
        <v>1.0629999999999999</v>
      </c>
      <c r="HK56" s="15">
        <v>1.012</v>
      </c>
      <c r="HL56" s="15">
        <v>1.002</v>
      </c>
      <c r="HM56" s="15">
        <v>1.0129999999999999</v>
      </c>
      <c r="HV56" s="1" t="s">
        <v>5</v>
      </c>
      <c r="HW56" s="2">
        <v>1.8340000000000001</v>
      </c>
      <c r="HX56" s="2">
        <v>1.8340000000000001</v>
      </c>
      <c r="HY56" s="2">
        <v>1.738</v>
      </c>
      <c r="HZ56" s="2">
        <v>1.73</v>
      </c>
      <c r="IA56" s="2">
        <v>1.722</v>
      </c>
      <c r="IJ56" s="1" t="s">
        <v>5</v>
      </c>
      <c r="IK56" s="4">
        <v>-0.10299999999999999</v>
      </c>
      <c r="IL56" s="4">
        <v>-0.10299999999999999</v>
      </c>
      <c r="IM56" s="4">
        <v>3.5999999999999997E-2</v>
      </c>
      <c r="IN56" s="4">
        <v>4.5999999999999999E-2</v>
      </c>
      <c r="IO56" s="4">
        <v>5.6000000000000001E-2</v>
      </c>
    </row>
    <row r="57" spans="1:249" ht="30" customHeight="1" thickBot="1" x14ac:dyDescent="0.35">
      <c r="A57" s="36" t="s">
        <v>6</v>
      </c>
      <c r="B57" s="2">
        <v>1.409</v>
      </c>
      <c r="C57" s="2">
        <v>2.617</v>
      </c>
      <c r="D57" s="4">
        <v>-1.415</v>
      </c>
      <c r="AB57" s="1" t="s">
        <v>6</v>
      </c>
      <c r="AC57" s="2" t="s">
        <v>195</v>
      </c>
      <c r="AD57" s="2" t="s">
        <v>205</v>
      </c>
      <c r="AE57" s="32" t="s">
        <v>215</v>
      </c>
      <c r="AK57" s="1" t="s">
        <v>6</v>
      </c>
      <c r="AL57" s="52"/>
      <c r="AM57" s="52"/>
      <c r="AN57" s="54"/>
      <c r="BN57" s="75"/>
      <c r="BP57" s="1" t="s">
        <v>6</v>
      </c>
      <c r="BQ57" s="15">
        <v>1.409</v>
      </c>
      <c r="BR57" s="2">
        <v>2.617</v>
      </c>
      <c r="BS57" s="4">
        <v>-1.415</v>
      </c>
      <c r="BX57" s="1" t="s">
        <v>6</v>
      </c>
      <c r="BY57" s="12">
        <f t="shared" si="67"/>
        <v>0</v>
      </c>
      <c r="BZ57" s="12">
        <f t="shared" si="68"/>
        <v>0</v>
      </c>
      <c r="CA57" s="12">
        <f t="shared" si="69"/>
        <v>0</v>
      </c>
      <c r="CQ57" s="1" t="s">
        <v>6</v>
      </c>
      <c r="CR57" s="15" t="s">
        <v>195</v>
      </c>
      <c r="CS57" s="2" t="s">
        <v>205</v>
      </c>
      <c r="CT57" s="32" t="s">
        <v>215</v>
      </c>
      <c r="CZ57" s="38"/>
      <c r="DA57" s="1" t="s">
        <v>6</v>
      </c>
      <c r="DB57" s="15">
        <v>0.91300000000000003</v>
      </c>
      <c r="DC57" s="2">
        <v>1.8129999999999999</v>
      </c>
      <c r="DD57" s="4">
        <v>-5.0999999999999997E-2</v>
      </c>
      <c r="DE57" s="33"/>
      <c r="DF57" s="33"/>
      <c r="DG57" s="33"/>
      <c r="DH57" s="33"/>
      <c r="DI57" s="1" t="s">
        <v>6</v>
      </c>
      <c r="DJ57" s="69">
        <f t="shared" si="70"/>
        <v>-0.496</v>
      </c>
      <c r="DK57" s="69">
        <f t="shared" si="71"/>
        <v>-0.80400000000000005</v>
      </c>
      <c r="DL57" s="69">
        <f t="shared" si="72"/>
        <v>1.3640000000000001</v>
      </c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4"/>
      <c r="EA57" s="33"/>
      <c r="EB57" s="1" t="s">
        <v>6</v>
      </c>
      <c r="EC57" s="15" t="s">
        <v>751</v>
      </c>
      <c r="ED57" s="2" t="s">
        <v>752</v>
      </c>
      <c r="EE57" s="32" t="s">
        <v>753</v>
      </c>
      <c r="EF57" s="33"/>
      <c r="EK57" s="38"/>
      <c r="EL57" s="1" t="s">
        <v>6</v>
      </c>
      <c r="EM57" s="15">
        <v>0.89800000000000002</v>
      </c>
      <c r="EN57" s="2">
        <v>1.782</v>
      </c>
      <c r="EO57" s="4">
        <v>-1.2E-2</v>
      </c>
      <c r="EP57" s="33"/>
      <c r="EQ57" s="33"/>
      <c r="ER57" s="33"/>
      <c r="ES57" s="33"/>
      <c r="ET57" s="1" t="s">
        <v>6</v>
      </c>
      <c r="EU57" s="12">
        <f t="shared" si="75"/>
        <v>-1.5000000000000013E-2</v>
      </c>
      <c r="EV57" s="12">
        <f t="shared" si="76"/>
        <v>-3.0999999999999917E-2</v>
      </c>
      <c r="EW57" s="12">
        <f t="shared" si="77"/>
        <v>3.8999999999999993E-2</v>
      </c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4"/>
      <c r="FL57" s="33"/>
      <c r="FM57" s="1" t="s">
        <v>6</v>
      </c>
      <c r="FN57" s="15" t="s">
        <v>721</v>
      </c>
      <c r="FO57" s="2" t="s">
        <v>722</v>
      </c>
      <c r="FP57" s="32" t="s">
        <v>723</v>
      </c>
      <c r="FQ57" s="33"/>
      <c r="FV57" s="38"/>
      <c r="FW57" s="1" t="s">
        <v>6</v>
      </c>
      <c r="FX57" s="15">
        <v>0.90900000000000003</v>
      </c>
      <c r="FY57" s="2">
        <v>1.784</v>
      </c>
      <c r="FZ57" s="4">
        <v>-1.2999999999999999E-2</v>
      </c>
      <c r="GA57" s="33"/>
      <c r="GB57" s="33"/>
      <c r="GC57" s="33"/>
      <c r="GD57" s="33"/>
      <c r="GE57" s="1" t="s">
        <v>6</v>
      </c>
      <c r="GF57" s="12">
        <f t="shared" si="78"/>
        <v>1.100000000000001E-2</v>
      </c>
      <c r="GG57" s="12">
        <f t="shared" si="73"/>
        <v>2.0000000000000018E-3</v>
      </c>
      <c r="GH57" s="12">
        <f t="shared" si="74"/>
        <v>-9.9999999999999915E-4</v>
      </c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8"/>
      <c r="GX57" s="1" t="s">
        <v>6</v>
      </c>
      <c r="GY57" s="15" t="s">
        <v>691</v>
      </c>
      <c r="GZ57" s="2" t="s">
        <v>692</v>
      </c>
      <c r="HA57" s="32" t="s">
        <v>693</v>
      </c>
      <c r="HB57" s="33"/>
      <c r="HC57" s="59"/>
      <c r="HD57" s="59"/>
      <c r="HE57" s="59"/>
      <c r="HG57" s="33"/>
      <c r="HH57" s="1" t="s">
        <v>6</v>
      </c>
      <c r="HI57" s="2">
        <v>1.409</v>
      </c>
      <c r="HJ57" s="15">
        <v>1.409</v>
      </c>
      <c r="HK57" s="15">
        <v>0.91300000000000003</v>
      </c>
      <c r="HL57" s="15">
        <v>0.89800000000000002</v>
      </c>
      <c r="HM57" s="15">
        <v>0.90900000000000003</v>
      </c>
      <c r="HV57" s="1" t="s">
        <v>6</v>
      </c>
      <c r="HW57" s="2">
        <v>2.617</v>
      </c>
      <c r="HX57" s="2">
        <v>2.617</v>
      </c>
      <c r="HY57" s="2">
        <v>1.8129999999999999</v>
      </c>
      <c r="HZ57" s="2">
        <v>1.782</v>
      </c>
      <c r="IA57" s="2">
        <v>1.784</v>
      </c>
      <c r="IJ57" s="1" t="s">
        <v>6</v>
      </c>
      <c r="IK57" s="4">
        <v>-1.415</v>
      </c>
      <c r="IL57" s="4">
        <v>-1.415</v>
      </c>
      <c r="IM57" s="4">
        <v>-5.0999999999999997E-2</v>
      </c>
      <c r="IN57" s="4">
        <v>-1.2E-2</v>
      </c>
      <c r="IO57" s="4">
        <v>-1.2999999999999999E-2</v>
      </c>
    </row>
    <row r="58" spans="1:249" ht="30" customHeight="1" thickBot="1" x14ac:dyDescent="0.35">
      <c r="A58" s="36" t="s">
        <v>7</v>
      </c>
      <c r="B58" s="2">
        <v>1.0900000000000001</v>
      </c>
      <c r="C58" s="2">
        <v>1.81</v>
      </c>
      <c r="D58" s="4">
        <v>-8.7999999999999995E-2</v>
      </c>
      <c r="AB58" s="1" t="s">
        <v>7</v>
      </c>
      <c r="AC58" s="2" t="s">
        <v>196</v>
      </c>
      <c r="AD58" s="2" t="s">
        <v>206</v>
      </c>
      <c r="AE58" s="32" t="s">
        <v>216</v>
      </c>
      <c r="AK58" s="1" t="s">
        <v>7</v>
      </c>
      <c r="AL58" s="52"/>
      <c r="AM58" s="52"/>
      <c r="AN58" s="54"/>
      <c r="BN58" s="75"/>
      <c r="BP58" s="1" t="s">
        <v>7</v>
      </c>
      <c r="BQ58" s="15">
        <v>1.0900000000000001</v>
      </c>
      <c r="BR58" s="2">
        <v>1.81</v>
      </c>
      <c r="BS58" s="4">
        <v>-8.7999999999999995E-2</v>
      </c>
      <c r="BX58" s="1" t="s">
        <v>7</v>
      </c>
      <c r="BY58" s="12">
        <f t="shared" si="67"/>
        <v>0</v>
      </c>
      <c r="BZ58" s="12">
        <f t="shared" si="68"/>
        <v>0</v>
      </c>
      <c r="CA58" s="12">
        <f t="shared" si="69"/>
        <v>0</v>
      </c>
      <c r="CQ58" s="1" t="s">
        <v>7</v>
      </c>
      <c r="CR58" s="15" t="s">
        <v>196</v>
      </c>
      <c r="CS58" s="2" t="s">
        <v>206</v>
      </c>
      <c r="CT58" s="32" t="s">
        <v>216</v>
      </c>
      <c r="CZ58" s="38"/>
      <c r="DA58" s="1" t="s">
        <v>7</v>
      </c>
      <c r="DB58" s="15">
        <v>0.92600000000000005</v>
      </c>
      <c r="DC58" s="2">
        <v>1.76</v>
      </c>
      <c r="DD58" s="4">
        <v>0.02</v>
      </c>
      <c r="DE58" s="33"/>
      <c r="DF58" s="33"/>
      <c r="DG58" s="33"/>
      <c r="DH58" s="33"/>
      <c r="DI58" s="1" t="s">
        <v>7</v>
      </c>
      <c r="DJ58" s="69">
        <f t="shared" si="70"/>
        <v>-0.16400000000000003</v>
      </c>
      <c r="DK58" s="12">
        <f t="shared" si="71"/>
        <v>-5.0000000000000044E-2</v>
      </c>
      <c r="DL58" s="12">
        <f t="shared" si="72"/>
        <v>0.108</v>
      </c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4"/>
      <c r="EA58" s="33"/>
      <c r="EB58" s="1" t="s">
        <v>7</v>
      </c>
      <c r="EC58" s="15" t="s">
        <v>754</v>
      </c>
      <c r="ED58" s="2" t="s">
        <v>755</v>
      </c>
      <c r="EE58" s="4" t="s">
        <v>756</v>
      </c>
      <c r="EF58" s="33"/>
      <c r="EK58" s="38"/>
      <c r="EL58" s="1" t="s">
        <v>7</v>
      </c>
      <c r="EM58" s="15">
        <v>0.92800000000000005</v>
      </c>
      <c r="EN58" s="2">
        <v>1.778</v>
      </c>
      <c r="EO58" s="4">
        <v>0</v>
      </c>
      <c r="EP58" s="33"/>
      <c r="EQ58" s="33"/>
      <c r="ER58" s="33"/>
      <c r="ES58" s="33"/>
      <c r="ET58" s="1" t="s">
        <v>7</v>
      </c>
      <c r="EU58" s="12">
        <f t="shared" si="75"/>
        <v>2.0000000000000018E-3</v>
      </c>
      <c r="EV58" s="69">
        <f t="shared" si="76"/>
        <v>1.8000000000000016E-2</v>
      </c>
      <c r="EW58" s="69">
        <f t="shared" si="77"/>
        <v>-0.02</v>
      </c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4"/>
      <c r="FL58" s="33"/>
      <c r="FM58" s="1" t="s">
        <v>7</v>
      </c>
      <c r="FN58" s="15" t="s">
        <v>724</v>
      </c>
      <c r="FO58" s="2" t="s">
        <v>725</v>
      </c>
      <c r="FP58" s="4" t="s">
        <v>726</v>
      </c>
      <c r="FQ58" s="33"/>
      <c r="FV58" s="38"/>
      <c r="FW58" s="1" t="s">
        <v>7</v>
      </c>
      <c r="FX58" s="15">
        <v>0.94599999999999995</v>
      </c>
      <c r="FY58" s="2">
        <v>1.77</v>
      </c>
      <c r="FZ58" s="4">
        <v>6.0000000000000001E-3</v>
      </c>
      <c r="GA58" s="33"/>
      <c r="GB58" s="33"/>
      <c r="GC58" s="33"/>
      <c r="GD58" s="33"/>
      <c r="GE58" s="1" t="s">
        <v>7</v>
      </c>
      <c r="GF58" s="69">
        <f t="shared" si="78"/>
        <v>1.7999999999999905E-2</v>
      </c>
      <c r="GG58" s="12">
        <f t="shared" si="73"/>
        <v>-8.0000000000000071E-3</v>
      </c>
      <c r="GH58" s="12">
        <f t="shared" si="74"/>
        <v>6.0000000000000001E-3</v>
      </c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8"/>
      <c r="GX58" s="1" t="s">
        <v>7</v>
      </c>
      <c r="GY58" s="15" t="s">
        <v>694</v>
      </c>
      <c r="GZ58" s="2" t="s">
        <v>695</v>
      </c>
      <c r="HA58" s="4" t="s">
        <v>696</v>
      </c>
      <c r="HB58" s="33"/>
      <c r="HC58" s="59"/>
      <c r="HD58" s="59"/>
      <c r="HE58" s="59"/>
      <c r="HG58" s="33"/>
      <c r="HH58" s="1" t="s">
        <v>7</v>
      </c>
      <c r="HI58" s="2">
        <v>1.0900000000000001</v>
      </c>
      <c r="HJ58" s="15">
        <v>1.0900000000000001</v>
      </c>
      <c r="HK58" s="15">
        <v>0.92600000000000005</v>
      </c>
      <c r="HL58" s="15">
        <v>0.92800000000000005</v>
      </c>
      <c r="HM58" s="15">
        <v>0.94599999999999995</v>
      </c>
      <c r="HV58" s="1" t="s">
        <v>7</v>
      </c>
      <c r="HW58" s="2">
        <v>1.81</v>
      </c>
      <c r="HX58" s="2">
        <v>1.81</v>
      </c>
      <c r="HY58" s="2">
        <v>1.76</v>
      </c>
      <c r="HZ58" s="2">
        <v>1.778</v>
      </c>
      <c r="IA58" s="2">
        <v>1.77</v>
      </c>
      <c r="IJ58" s="1" t="s">
        <v>7</v>
      </c>
      <c r="IK58" s="4">
        <v>-8.7999999999999995E-2</v>
      </c>
      <c r="IL58" s="4">
        <v>-8.7999999999999995E-2</v>
      </c>
      <c r="IM58" s="4">
        <v>0.02</v>
      </c>
      <c r="IN58" s="4">
        <v>0</v>
      </c>
      <c r="IO58" s="4">
        <v>6.0000000000000001E-3</v>
      </c>
    </row>
    <row r="59" spans="1:249" ht="30" customHeight="1" thickBot="1" x14ac:dyDescent="0.35">
      <c r="A59" s="36" t="s">
        <v>10</v>
      </c>
      <c r="B59" s="2">
        <v>1.0780000000000001</v>
      </c>
      <c r="C59" s="2">
        <v>1.8009999999999999</v>
      </c>
      <c r="D59" s="4">
        <v>-7.4999999999999997E-2</v>
      </c>
      <c r="AB59" s="1" t="s">
        <v>10</v>
      </c>
      <c r="AC59" s="2" t="s">
        <v>197</v>
      </c>
      <c r="AD59" s="2" t="s">
        <v>207</v>
      </c>
      <c r="AE59" s="32" t="s">
        <v>217</v>
      </c>
      <c r="AK59" s="1" t="s">
        <v>10</v>
      </c>
      <c r="AL59" s="52"/>
      <c r="AM59" s="52"/>
      <c r="AN59" s="54"/>
      <c r="BN59" s="75"/>
      <c r="BP59" s="1" t="s">
        <v>10</v>
      </c>
      <c r="BQ59" s="15">
        <v>1.0780000000000001</v>
      </c>
      <c r="BR59" s="2">
        <v>1.8009999999999999</v>
      </c>
      <c r="BS59" s="4">
        <v>-7.4999999999999997E-2</v>
      </c>
      <c r="BX59" s="1" t="s">
        <v>10</v>
      </c>
      <c r="BY59" s="12">
        <f t="shared" si="67"/>
        <v>0</v>
      </c>
      <c r="BZ59" s="12">
        <f t="shared" si="68"/>
        <v>0</v>
      </c>
      <c r="CA59" s="12">
        <f t="shared" si="69"/>
        <v>0</v>
      </c>
      <c r="CQ59" s="1" t="s">
        <v>10</v>
      </c>
      <c r="CR59" s="15" t="s">
        <v>197</v>
      </c>
      <c r="CS59" s="2" t="s">
        <v>207</v>
      </c>
      <c r="CT59" s="32" t="s">
        <v>217</v>
      </c>
      <c r="CZ59" s="38"/>
      <c r="DA59" s="1" t="s">
        <v>10</v>
      </c>
      <c r="DB59" s="15">
        <v>0.97699999999999998</v>
      </c>
      <c r="DC59" s="2">
        <v>1.8029999999999999</v>
      </c>
      <c r="DD59" s="4">
        <v>-3.2000000000000001E-2</v>
      </c>
      <c r="DE59" s="33"/>
      <c r="DF59" s="33"/>
      <c r="DG59" s="33"/>
      <c r="DH59" s="33"/>
      <c r="DI59" s="1" t="s">
        <v>10</v>
      </c>
      <c r="DJ59" s="69">
        <f t="shared" si="70"/>
        <v>-0.10100000000000009</v>
      </c>
      <c r="DK59" s="12">
        <f t="shared" si="71"/>
        <v>2.0000000000000018E-3</v>
      </c>
      <c r="DL59" s="12">
        <f t="shared" si="72"/>
        <v>4.2999999999999997E-2</v>
      </c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4"/>
      <c r="EA59" s="33"/>
      <c r="EB59" s="1" t="s">
        <v>10</v>
      </c>
      <c r="EC59" s="15" t="s">
        <v>757</v>
      </c>
      <c r="ED59" s="2" t="s">
        <v>758</v>
      </c>
      <c r="EE59" s="32" t="s">
        <v>759</v>
      </c>
      <c r="EF59" s="33"/>
      <c r="EK59" s="38"/>
      <c r="EL59" s="1" t="s">
        <v>10</v>
      </c>
      <c r="EM59" s="15">
        <v>0.97299999999999998</v>
      </c>
      <c r="EN59" s="2">
        <v>1.804</v>
      </c>
      <c r="EO59" s="4">
        <v>-3.2000000000000001E-2</v>
      </c>
      <c r="EP59" s="33"/>
      <c r="EQ59" s="33"/>
      <c r="ER59" s="33"/>
      <c r="ES59" s="33"/>
      <c r="ET59" s="1" t="s">
        <v>10</v>
      </c>
      <c r="EU59" s="12">
        <f t="shared" si="75"/>
        <v>-4.0000000000000036E-3</v>
      </c>
      <c r="EV59" s="12">
        <f t="shared" si="76"/>
        <v>1.0000000000001119E-3</v>
      </c>
      <c r="EW59" s="12">
        <f t="shared" si="77"/>
        <v>0</v>
      </c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4"/>
      <c r="FL59" s="33"/>
      <c r="FM59" s="1" t="s">
        <v>10</v>
      </c>
      <c r="FN59" s="15" t="s">
        <v>727</v>
      </c>
      <c r="FO59" s="2" t="s">
        <v>728</v>
      </c>
      <c r="FP59" s="32" t="s">
        <v>729</v>
      </c>
      <c r="FQ59" s="33"/>
      <c r="FV59" s="38"/>
      <c r="FW59" s="1" t="s">
        <v>10</v>
      </c>
      <c r="FX59" s="15">
        <v>0.97299999999999998</v>
      </c>
      <c r="FY59" s="2">
        <v>1.7869999999999999</v>
      </c>
      <c r="FZ59" s="4">
        <v>-1.2E-2</v>
      </c>
      <c r="GA59" s="33"/>
      <c r="GB59" s="33"/>
      <c r="GC59" s="33"/>
      <c r="GD59" s="33"/>
      <c r="GE59" s="1" t="s">
        <v>10</v>
      </c>
      <c r="GF59" s="12">
        <f t="shared" si="78"/>
        <v>0</v>
      </c>
      <c r="GG59" s="69">
        <f t="shared" si="73"/>
        <v>-1.7000000000000126E-2</v>
      </c>
      <c r="GH59" s="69">
        <f t="shared" si="74"/>
        <v>0.02</v>
      </c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8"/>
      <c r="GX59" s="1" t="s">
        <v>10</v>
      </c>
      <c r="GY59" s="15" t="s">
        <v>697</v>
      </c>
      <c r="GZ59" s="2" t="s">
        <v>698</v>
      </c>
      <c r="HA59" s="32" t="s">
        <v>699</v>
      </c>
      <c r="HB59" s="33"/>
      <c r="HC59" s="59"/>
      <c r="HD59" s="59"/>
      <c r="HE59" s="59"/>
      <c r="HG59" s="33"/>
      <c r="HH59" s="1" t="s">
        <v>10</v>
      </c>
      <c r="HI59" s="2">
        <v>1.0780000000000001</v>
      </c>
      <c r="HJ59" s="15">
        <v>1.0780000000000001</v>
      </c>
      <c r="HK59" s="15">
        <v>0.97699999999999998</v>
      </c>
      <c r="HL59" s="15">
        <v>0.97299999999999998</v>
      </c>
      <c r="HM59" s="15">
        <v>0.97299999999999998</v>
      </c>
      <c r="HV59" s="1" t="s">
        <v>10</v>
      </c>
      <c r="HW59" s="2">
        <v>1.8009999999999999</v>
      </c>
      <c r="HX59" s="2">
        <v>1.8009999999999999</v>
      </c>
      <c r="HY59" s="2">
        <v>1.8029999999999999</v>
      </c>
      <c r="HZ59" s="2">
        <v>1.804</v>
      </c>
      <c r="IA59" s="2">
        <v>1.7869999999999999</v>
      </c>
      <c r="IJ59" s="1" t="s">
        <v>10</v>
      </c>
      <c r="IK59" s="4">
        <v>-7.4999999999999997E-2</v>
      </c>
      <c r="IL59" s="4">
        <v>-7.4999999999999997E-2</v>
      </c>
      <c r="IM59" s="4">
        <v>-3.2000000000000001E-2</v>
      </c>
      <c r="IN59" s="4">
        <v>-3.2000000000000001E-2</v>
      </c>
      <c r="IO59" s="4">
        <v>-1.2E-2</v>
      </c>
    </row>
    <row r="60" spans="1:249" ht="30" customHeight="1" thickBot="1" x14ac:dyDescent="0.35">
      <c r="A60" s="36" t="s">
        <v>18</v>
      </c>
      <c r="B60" s="2">
        <v>1.056</v>
      </c>
      <c r="C60" s="2">
        <v>1.742</v>
      </c>
      <c r="D60" s="4">
        <v>2.5999999999999999E-2</v>
      </c>
      <c r="AB60" s="1" t="s">
        <v>18</v>
      </c>
      <c r="AC60" s="2" t="s">
        <v>198</v>
      </c>
      <c r="AD60" s="2" t="s">
        <v>208</v>
      </c>
      <c r="AE60" s="4" t="s">
        <v>218</v>
      </c>
      <c r="AK60" s="1" t="s">
        <v>18</v>
      </c>
      <c r="AL60" s="52"/>
      <c r="AM60" s="52"/>
      <c r="AN60" s="53"/>
      <c r="BN60" s="75"/>
      <c r="BP60" s="1" t="s">
        <v>18</v>
      </c>
      <c r="BQ60" s="15">
        <v>1.056</v>
      </c>
      <c r="BR60" s="2">
        <v>1.742</v>
      </c>
      <c r="BS60" s="4">
        <v>2.5999999999999999E-2</v>
      </c>
      <c r="BX60" s="1" t="s">
        <v>18</v>
      </c>
      <c r="BY60" s="12">
        <f t="shared" si="67"/>
        <v>0</v>
      </c>
      <c r="BZ60" s="12">
        <f t="shared" si="68"/>
        <v>0</v>
      </c>
      <c r="CA60" s="12">
        <f t="shared" si="69"/>
        <v>0</v>
      </c>
      <c r="CQ60" s="1" t="s">
        <v>18</v>
      </c>
      <c r="CR60" s="15" t="s">
        <v>672</v>
      </c>
      <c r="CS60" s="2" t="s">
        <v>208</v>
      </c>
      <c r="CT60" s="4" t="s">
        <v>218</v>
      </c>
      <c r="CZ60" s="38"/>
      <c r="DA60" s="1" t="s">
        <v>18</v>
      </c>
      <c r="DB60" s="15">
        <v>1.056</v>
      </c>
      <c r="DC60" s="2">
        <v>1.742</v>
      </c>
      <c r="DD60" s="4">
        <v>2.5999999999999999E-2</v>
      </c>
      <c r="DE60" s="33"/>
      <c r="DF60" s="33"/>
      <c r="DG60" s="33"/>
      <c r="DH60" s="33"/>
      <c r="DI60" s="1" t="s">
        <v>18</v>
      </c>
      <c r="DJ60" s="12">
        <f t="shared" si="70"/>
        <v>0</v>
      </c>
      <c r="DK60" s="12">
        <f t="shared" si="71"/>
        <v>0</v>
      </c>
      <c r="DL60" s="12">
        <f t="shared" si="72"/>
        <v>0</v>
      </c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4"/>
      <c r="EA60" s="33"/>
      <c r="EB60" s="1" t="s">
        <v>18</v>
      </c>
      <c r="EC60" s="15" t="s">
        <v>672</v>
      </c>
      <c r="ED60" s="2" t="s">
        <v>208</v>
      </c>
      <c r="EE60" s="4" t="s">
        <v>218</v>
      </c>
      <c r="EF60" s="33"/>
      <c r="EK60" s="38"/>
      <c r="EL60" s="1" t="s">
        <v>18</v>
      </c>
      <c r="EM60" s="15">
        <v>1.0680000000000001</v>
      </c>
      <c r="EN60" s="2">
        <v>1.7450000000000001</v>
      </c>
      <c r="EO60" s="4">
        <v>1.7000000000000001E-2</v>
      </c>
      <c r="EP60" s="33"/>
      <c r="EQ60" s="33"/>
      <c r="ER60" s="33"/>
      <c r="ES60" s="33"/>
      <c r="ET60" s="1" t="s">
        <v>18</v>
      </c>
      <c r="EU60" s="12">
        <f t="shared" si="75"/>
        <v>1.2000000000000011E-2</v>
      </c>
      <c r="EV60" s="12">
        <f t="shared" si="76"/>
        <v>3.0000000000001137E-3</v>
      </c>
      <c r="EW60" s="12">
        <f t="shared" si="77"/>
        <v>-8.9999999999999976E-3</v>
      </c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4"/>
      <c r="FL60" s="33"/>
      <c r="FM60" s="1" t="s">
        <v>18</v>
      </c>
      <c r="FN60" s="15" t="s">
        <v>730</v>
      </c>
      <c r="FO60" s="2" t="s">
        <v>731</v>
      </c>
      <c r="FP60" s="4" t="s">
        <v>732</v>
      </c>
      <c r="FQ60" s="33"/>
      <c r="FV60" s="38"/>
      <c r="FW60" s="1" t="s">
        <v>18</v>
      </c>
      <c r="FX60" s="15">
        <v>1.056</v>
      </c>
      <c r="FY60" s="2">
        <v>1.73</v>
      </c>
      <c r="FZ60" s="4">
        <v>3.5999999999999997E-2</v>
      </c>
      <c r="GA60" s="33"/>
      <c r="GB60" s="33"/>
      <c r="GC60" s="33"/>
      <c r="GD60" s="33"/>
      <c r="GE60" s="1" t="s">
        <v>18</v>
      </c>
      <c r="GF60" s="69">
        <f t="shared" si="78"/>
        <v>-1.2000000000000011E-2</v>
      </c>
      <c r="GG60" s="69">
        <f t="shared" si="73"/>
        <v>-1.5000000000000124E-2</v>
      </c>
      <c r="GH60" s="69">
        <f t="shared" si="74"/>
        <v>1.8999999999999996E-2</v>
      </c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8"/>
      <c r="GX60" s="1" t="s">
        <v>18</v>
      </c>
      <c r="GY60" s="15" t="s">
        <v>700</v>
      </c>
      <c r="GZ60" s="2" t="s">
        <v>701</v>
      </c>
      <c r="HA60" s="4" t="s">
        <v>702</v>
      </c>
      <c r="HB60" s="33"/>
      <c r="HC60" s="59"/>
      <c r="HD60" s="59"/>
      <c r="HE60" s="59"/>
      <c r="HG60" s="33"/>
      <c r="HH60" s="1" t="s">
        <v>18</v>
      </c>
      <c r="HI60" s="2">
        <v>1.056</v>
      </c>
      <c r="HJ60" s="15">
        <v>1.056</v>
      </c>
      <c r="HK60" s="15">
        <v>1.056</v>
      </c>
      <c r="HL60" s="15">
        <v>1.0680000000000001</v>
      </c>
      <c r="HM60" s="15">
        <v>1.056</v>
      </c>
      <c r="HV60" s="1" t="s">
        <v>18</v>
      </c>
      <c r="HW60" s="2">
        <v>1.742</v>
      </c>
      <c r="HX60" s="2">
        <v>1.742</v>
      </c>
      <c r="HY60" s="2">
        <v>1.742</v>
      </c>
      <c r="HZ60" s="2">
        <v>1.7450000000000001</v>
      </c>
      <c r="IA60" s="2">
        <v>1.73</v>
      </c>
      <c r="IJ60" s="1" t="s">
        <v>18</v>
      </c>
      <c r="IK60" s="4">
        <v>2.5999999999999999E-2</v>
      </c>
      <c r="IL60" s="4">
        <v>2.5999999999999999E-2</v>
      </c>
      <c r="IM60" s="4">
        <v>2.5999999999999999E-2</v>
      </c>
      <c r="IN60" s="4">
        <v>1.7000000000000001E-2</v>
      </c>
      <c r="IO60" s="4">
        <v>3.5999999999999997E-2</v>
      </c>
    </row>
    <row r="61" spans="1:249" ht="30" customHeight="1" thickBot="1" x14ac:dyDescent="0.35">
      <c r="A61" s="37" t="s">
        <v>19</v>
      </c>
      <c r="B61" s="6">
        <v>1.2589999999999999</v>
      </c>
      <c r="C61" s="6">
        <v>1.97</v>
      </c>
      <c r="D61" s="8">
        <v>-0.32200000000000001</v>
      </c>
      <c r="AB61" s="5" t="s">
        <v>19</v>
      </c>
      <c r="AC61" s="6" t="s">
        <v>199</v>
      </c>
      <c r="AD61" s="6" t="s">
        <v>209</v>
      </c>
      <c r="AE61" s="40" t="s">
        <v>219</v>
      </c>
      <c r="AK61" s="5" t="s">
        <v>19</v>
      </c>
      <c r="AL61" s="55"/>
      <c r="AM61" s="55"/>
      <c r="AN61" s="56"/>
      <c r="BN61" s="75"/>
      <c r="BP61" s="5" t="s">
        <v>19</v>
      </c>
      <c r="BQ61" s="17">
        <v>1.254</v>
      </c>
      <c r="BR61" s="6">
        <v>1.9450000000000001</v>
      </c>
      <c r="BS61" s="8">
        <v>-0.30599999999999999</v>
      </c>
      <c r="BX61" s="5" t="s">
        <v>19</v>
      </c>
      <c r="BY61" s="12">
        <f t="shared" si="67"/>
        <v>-4.9999999999998934E-3</v>
      </c>
      <c r="BZ61" s="12">
        <f t="shared" si="68"/>
        <v>-2.4999999999999911E-2</v>
      </c>
      <c r="CA61" s="12">
        <f t="shared" si="69"/>
        <v>1.6000000000000014E-2</v>
      </c>
      <c r="CQ61" s="5" t="s">
        <v>19</v>
      </c>
      <c r="CR61" s="17" t="s">
        <v>673</v>
      </c>
      <c r="CS61" s="6" t="s">
        <v>674</v>
      </c>
      <c r="CT61" s="40" t="s">
        <v>675</v>
      </c>
      <c r="CZ61" s="38"/>
      <c r="DA61" s="5" t="s">
        <v>19</v>
      </c>
      <c r="DB61" s="17">
        <v>1.056</v>
      </c>
      <c r="DC61" s="6">
        <v>1.744</v>
      </c>
      <c r="DD61" s="8">
        <v>1.7000000000000001E-2</v>
      </c>
      <c r="DE61" s="33"/>
      <c r="DF61" s="33"/>
      <c r="DG61" s="33"/>
      <c r="DH61" s="33"/>
      <c r="DI61" s="5" t="s">
        <v>19</v>
      </c>
      <c r="DJ61" s="69">
        <f t="shared" si="70"/>
        <v>-0.19799999999999995</v>
      </c>
      <c r="DK61" s="69">
        <f t="shared" si="71"/>
        <v>-0.20100000000000007</v>
      </c>
      <c r="DL61" s="69">
        <f t="shared" si="72"/>
        <v>0.32300000000000001</v>
      </c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4"/>
      <c r="EA61" s="33"/>
      <c r="EB61" s="5" t="s">
        <v>19</v>
      </c>
      <c r="EC61" s="17" t="s">
        <v>760</v>
      </c>
      <c r="ED61" s="6" t="s">
        <v>761</v>
      </c>
      <c r="EE61" s="8" t="s">
        <v>762</v>
      </c>
      <c r="EF61" s="33"/>
      <c r="EK61" s="38"/>
      <c r="EL61" s="5" t="s">
        <v>19</v>
      </c>
      <c r="EM61" s="17">
        <v>1.7000000000000001E-2</v>
      </c>
      <c r="EN61" s="6">
        <v>1.81</v>
      </c>
      <c r="EO61" s="8">
        <v>-4.7E-2</v>
      </c>
      <c r="EP61" s="33"/>
      <c r="EQ61" s="33"/>
      <c r="ER61" s="33"/>
      <c r="ES61" s="33"/>
      <c r="ET61" s="5" t="s">
        <v>19</v>
      </c>
      <c r="EU61" s="12">
        <f t="shared" si="75"/>
        <v>-1.0390000000000001</v>
      </c>
      <c r="EV61" s="12">
        <f t="shared" si="76"/>
        <v>6.6000000000000059E-2</v>
      </c>
      <c r="EW61" s="69">
        <f t="shared" si="77"/>
        <v>-6.4000000000000001E-2</v>
      </c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4"/>
      <c r="FL61" s="33"/>
      <c r="FM61" s="5" t="s">
        <v>19</v>
      </c>
      <c r="FN61" s="17" t="s">
        <v>733</v>
      </c>
      <c r="FO61" s="6" t="s">
        <v>734</v>
      </c>
      <c r="FP61" s="40" t="s">
        <v>735</v>
      </c>
      <c r="FQ61" s="33"/>
      <c r="FV61" s="38"/>
      <c r="FW61" s="5" t="s">
        <v>19</v>
      </c>
      <c r="FX61" s="17">
        <v>1.0489999999999999</v>
      </c>
      <c r="FY61" s="6">
        <v>1.728</v>
      </c>
      <c r="FZ61" s="8">
        <v>3.1E-2</v>
      </c>
      <c r="GA61" s="33"/>
      <c r="GB61" s="33"/>
      <c r="GC61" s="33"/>
      <c r="GD61" s="33"/>
      <c r="GE61" s="5" t="s">
        <v>19</v>
      </c>
      <c r="GF61" s="69">
        <f t="shared" si="78"/>
        <v>1.032</v>
      </c>
      <c r="GG61" s="12">
        <f t="shared" si="73"/>
        <v>-8.2000000000000073E-2</v>
      </c>
      <c r="GH61" s="69">
        <f>FZ61-EO61</f>
        <v>7.8E-2</v>
      </c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74"/>
      <c r="GX61" s="90" t="s">
        <v>19</v>
      </c>
      <c r="GY61" s="91" t="s">
        <v>703</v>
      </c>
      <c r="GZ61" s="29" t="s">
        <v>704</v>
      </c>
      <c r="HA61" s="92" t="s">
        <v>705</v>
      </c>
      <c r="HB61" s="46"/>
      <c r="HC61" s="93"/>
      <c r="HD61" s="93"/>
      <c r="HE61" s="93"/>
      <c r="HG61" s="33"/>
      <c r="HH61" s="5" t="s">
        <v>19</v>
      </c>
      <c r="HI61" s="6">
        <v>1.2589999999999999</v>
      </c>
      <c r="HJ61" s="17">
        <v>1.254</v>
      </c>
      <c r="HK61" s="17">
        <v>1.056</v>
      </c>
      <c r="HL61" s="17">
        <v>1.7000000000000001E-2</v>
      </c>
      <c r="HM61" s="17">
        <v>1.0489999999999999</v>
      </c>
      <c r="HV61" s="5" t="s">
        <v>19</v>
      </c>
      <c r="HW61" s="6">
        <v>1.97</v>
      </c>
      <c r="HX61" s="6">
        <v>1.9450000000000001</v>
      </c>
      <c r="HY61" s="6">
        <v>1.744</v>
      </c>
      <c r="HZ61" s="6">
        <v>1.81</v>
      </c>
      <c r="IA61" s="6">
        <v>1.728</v>
      </c>
      <c r="IJ61" s="5" t="s">
        <v>19</v>
      </c>
      <c r="IK61" s="8">
        <v>-0.32200000000000001</v>
      </c>
      <c r="IL61" s="8">
        <v>-0.30599999999999999</v>
      </c>
      <c r="IM61" s="8">
        <v>1.7000000000000001E-2</v>
      </c>
      <c r="IN61" s="8">
        <v>-4.7E-2</v>
      </c>
      <c r="IO61" s="8">
        <v>3.1E-2</v>
      </c>
    </row>
    <row r="62" spans="1:249" x14ac:dyDescent="0.3">
      <c r="BN62" s="75"/>
    </row>
    <row r="63" spans="1:249" x14ac:dyDescent="0.3">
      <c r="BN63" s="75"/>
    </row>
    <row r="64" spans="1:249" x14ac:dyDescent="0.3">
      <c r="BN64" s="75"/>
    </row>
    <row r="65" spans="66:66" x14ac:dyDescent="0.3">
      <c r="BN65" s="75"/>
    </row>
    <row r="66" spans="66:66" x14ac:dyDescent="0.3">
      <c r="BN66" s="75"/>
    </row>
    <row r="67" spans="66:66" x14ac:dyDescent="0.3">
      <c r="BN67" s="75"/>
    </row>
    <row r="68" spans="66:66" x14ac:dyDescent="0.3">
      <c r="BN68" s="75"/>
    </row>
    <row r="69" spans="66:66" x14ac:dyDescent="0.3">
      <c r="BN69" s="75"/>
    </row>
    <row r="70" spans="66:66" x14ac:dyDescent="0.3">
      <c r="BN70" s="75"/>
    </row>
    <row r="71" spans="66:66" x14ac:dyDescent="0.3">
      <c r="BN71" s="75"/>
    </row>
  </sheetData>
  <mergeCells count="73">
    <mergeCell ref="A1:Z1"/>
    <mergeCell ref="AA1:AI1"/>
    <mergeCell ref="AJ1:BG1"/>
    <mergeCell ref="A49:E49"/>
    <mergeCell ref="A2:E2"/>
    <mergeCell ref="A13:E13"/>
    <mergeCell ref="A38:E38"/>
    <mergeCell ref="AB2:AF2"/>
    <mergeCell ref="AB13:AF13"/>
    <mergeCell ref="AB38:AF38"/>
    <mergeCell ref="AB49:AF49"/>
    <mergeCell ref="AQ2:AU2"/>
    <mergeCell ref="AK2:AO2"/>
    <mergeCell ref="AK13:AO13"/>
    <mergeCell ref="AK38:AO38"/>
    <mergeCell ref="AK49:AO49"/>
    <mergeCell ref="BP49:BT49"/>
    <mergeCell ref="AQ13:AU13"/>
    <mergeCell ref="AQ38:AU38"/>
    <mergeCell ref="BP2:BT2"/>
    <mergeCell ref="BP13:BT13"/>
    <mergeCell ref="BP38:BT38"/>
    <mergeCell ref="BI3:BM3"/>
    <mergeCell ref="BI14:BM14"/>
    <mergeCell ref="BI38:BM38"/>
    <mergeCell ref="BX49:CA49"/>
    <mergeCell ref="CZ1:DZ1"/>
    <mergeCell ref="DA2:DE2"/>
    <mergeCell ref="DI2:DM2"/>
    <mergeCell ref="DA13:DE13"/>
    <mergeCell ref="DI13:DM13"/>
    <mergeCell ref="DI24:DO24"/>
    <mergeCell ref="DA38:DE38"/>
    <mergeCell ref="DI38:DM38"/>
    <mergeCell ref="DA49:DE49"/>
    <mergeCell ref="DI49:DL49"/>
    <mergeCell ref="BX24:CD24"/>
    <mergeCell ref="BO1:CO1"/>
    <mergeCell ref="BX2:CB2"/>
    <mergeCell ref="BX13:CB13"/>
    <mergeCell ref="BX38:CB38"/>
    <mergeCell ref="EL49:EP49"/>
    <mergeCell ref="ET49:EW49"/>
    <mergeCell ref="EK1:FK1"/>
    <mergeCell ref="EL2:EP2"/>
    <mergeCell ref="ET2:EX2"/>
    <mergeCell ref="EL13:EP13"/>
    <mergeCell ref="ET13:EX13"/>
    <mergeCell ref="FW49:GA49"/>
    <mergeCell ref="GE49:GH49"/>
    <mergeCell ref="FV1:GV1"/>
    <mergeCell ref="FW2:GA2"/>
    <mergeCell ref="GE2:GI2"/>
    <mergeCell ref="FW13:GA13"/>
    <mergeCell ref="GE13:GI13"/>
    <mergeCell ref="CQ2:CU2"/>
    <mergeCell ref="EB2:EF2"/>
    <mergeCell ref="GX2:HB2"/>
    <mergeCell ref="GX13:HB13"/>
    <mergeCell ref="GX38:HB38"/>
    <mergeCell ref="CQ14:CU14"/>
    <mergeCell ref="CQ38:CU38"/>
    <mergeCell ref="GE24:GK24"/>
    <mergeCell ref="FW38:GA38"/>
    <mergeCell ref="GE38:GI38"/>
    <mergeCell ref="ET24:EZ24"/>
    <mergeCell ref="EL38:EP38"/>
    <mergeCell ref="ET38:EX38"/>
    <mergeCell ref="FM39:FQ39"/>
    <mergeCell ref="FM13:FQ13"/>
    <mergeCell ref="FM2:FQ2"/>
    <mergeCell ref="EB13:EF13"/>
    <mergeCell ref="EB38:EF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Gonçalves</dc:creator>
  <cp:lastModifiedBy>Daniel Gonçalves</cp:lastModifiedBy>
  <dcterms:created xsi:type="dcterms:W3CDTF">2020-09-01T11:37:38Z</dcterms:created>
  <dcterms:modified xsi:type="dcterms:W3CDTF">2020-10-31T18:36:58Z</dcterms:modified>
</cp:coreProperties>
</file>