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2260" windowHeight="8040" tabRatio="819" firstSheet="1" activeTab="6" xr2:uid="{00000000-000D-0000-FFFF-FFFF00000000}"/>
  </bookViews>
  <sheets>
    <sheet name="INPUT" sheetId="17" state="hidden" r:id="rId1"/>
    <sheet name="Global" sheetId="1" r:id="rId2"/>
    <sheet name="Anchor" sheetId="9" r:id="rId3"/>
    <sheet name="Piles" sheetId="10" r:id="rId4"/>
    <sheet name="BottomR" sheetId="2" r:id="rId5"/>
    <sheet name="TopR" sheetId="3" r:id="rId6"/>
    <sheet name="UnderPlateBottomR" sheetId="4" r:id="rId7"/>
    <sheet name="OverPlateTopR" sheetId="5" r:id="rId8"/>
    <sheet name="AnchorsReinforcement" sheetId="7" r:id="rId9"/>
    <sheet name="UBarsAroundBolts" sheetId="12" r:id="rId10"/>
    <sheet name="ChairsR" sheetId="8" r:id="rId11"/>
    <sheet name="Materials" sheetId="16" r:id="rId12"/>
    <sheet name="BS8666ShapeCodes" sheetId="18" r:id="rId13"/>
  </sheets>
  <definedNames>
    <definedName name="boollist">OverPlateTopR!$G$3:$G$4</definedName>
    <definedName name="OPTR_D1D2_Option">OverPlateTopR!$D$3:$D$4</definedName>
    <definedName name="OPTR_Options">OverPlateTopR!$E$3:$E$5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E29" i="3" l="1"/>
  <c r="E27" i="3" s="1"/>
  <c r="F27" i="3"/>
  <c r="D27" i="3"/>
  <c r="F28" i="2"/>
  <c r="E28" i="2"/>
  <c r="F30" i="3" l="1"/>
  <c r="E30" i="3"/>
  <c r="D30" i="3"/>
  <c r="C30" i="3"/>
  <c r="F31" i="2"/>
  <c r="E31" i="2"/>
  <c r="D31" i="2"/>
  <c r="C31" i="2"/>
  <c r="H18" i="3"/>
  <c r="H17" i="3"/>
  <c r="C19" i="2"/>
  <c r="D19" i="2"/>
  <c r="D17" i="3"/>
  <c r="D16" i="3"/>
  <c r="D15" i="3"/>
  <c r="D18" i="2"/>
  <c r="D17" i="2"/>
  <c r="D16" i="2"/>
  <c r="C32" i="2"/>
  <c r="D12" i="2"/>
  <c r="D11" i="3" s="1"/>
  <c r="E25" i="2"/>
  <c r="E29" i="2"/>
  <c r="D29" i="2"/>
  <c r="D7" i="8" l="1"/>
  <c r="C40" i="2" l="1"/>
  <c r="F30" i="2" l="1"/>
  <c r="D10" i="3"/>
  <c r="C10" i="3"/>
  <c r="C11" i="2"/>
  <c r="D11" i="2"/>
  <c r="G12" i="2" s="1"/>
  <c r="C12" i="2" s="1"/>
  <c r="C11" i="3" s="1"/>
  <c r="C18" i="3"/>
  <c r="D18" i="3"/>
  <c r="D12" i="3" l="1"/>
  <c r="C12" i="3"/>
  <c r="D13" i="2" l="1"/>
  <c r="C13" i="2"/>
  <c r="D19" i="3" l="1"/>
  <c r="C19" i="3"/>
  <c r="D20" i="2"/>
  <c r="C20" i="2"/>
  <c r="C29" i="2" l="1"/>
  <c r="F29" i="2"/>
  <c r="F28" i="3"/>
  <c r="E28" i="3"/>
  <c r="C28" i="3"/>
  <c r="D28" i="3"/>
  <c r="D24" i="3" l="1"/>
  <c r="C37" i="2" l="1"/>
  <c r="F19" i="3" l="1"/>
  <c r="G19" i="3" s="1"/>
  <c r="G3" i="16"/>
  <c r="F3" i="16"/>
  <c r="E3" i="16"/>
  <c r="D3" i="16"/>
  <c r="C3" i="16"/>
  <c r="B3" i="16"/>
  <c r="B18" i="9"/>
  <c r="B10" i="9"/>
  <c r="B10" i="1"/>
  <c r="B2" i="1"/>
  <c r="B25" i="9" s="1"/>
  <c r="B11" i="9" s="1"/>
  <c r="B15" i="1"/>
  <c r="B19" i="17"/>
  <c r="B24" i="17" s="1"/>
  <c r="B14" i="17"/>
  <c r="B13" i="17"/>
  <c r="B9" i="1"/>
  <c r="B12" i="9"/>
  <c r="D13" i="3" l="1"/>
  <c r="C13" i="3"/>
  <c r="F20" i="2"/>
  <c r="B9" i="17"/>
  <c r="C5" i="10" l="1"/>
  <c r="B5" i="10"/>
  <c r="B24" i="9"/>
  <c r="G20" i="2"/>
  <c r="B20" i="1" l="1"/>
  <c r="B25" i="1" s="1"/>
  <c r="B21" i="10" s="1"/>
  <c r="B14" i="1" l="1"/>
  <c r="C6" i="10" l="1"/>
  <c r="B6" i="10"/>
  <c r="D27" i="9" l="1"/>
  <c r="C10" i="8" l="1"/>
  <c r="D14" i="2" l="1"/>
  <c r="C14" i="2" l="1"/>
  <c r="C31" i="3" l="1"/>
  <c r="C29" i="3" s="1"/>
  <c r="C27" i="3" s="1"/>
  <c r="C30" i="2"/>
  <c r="D31" i="3" l="1"/>
  <c r="C24" i="3"/>
  <c r="C28" i="2"/>
  <c r="D28" i="2"/>
  <c r="D25" i="2" s="1"/>
  <c r="D32" i="2" l="1"/>
  <c r="E32" i="2" s="1"/>
  <c r="C25" i="2"/>
</calcChain>
</file>

<file path=xl/sharedStrings.xml><?xml version="1.0" encoding="utf-8"?>
<sst xmlns="http://schemas.openxmlformats.org/spreadsheetml/2006/main" count="521" uniqueCount="395">
  <si>
    <t>H Foundation</t>
  </si>
  <si>
    <t>H Foundation Edge</t>
  </si>
  <si>
    <t>H Tower Base</t>
  </si>
  <si>
    <t>H Bottom</t>
  </si>
  <si>
    <t>Diameter Foundation</t>
  </si>
  <si>
    <t>Foundation Bed</t>
  </si>
  <si>
    <t>Radius Centerline Tower</t>
  </si>
  <si>
    <t>Type</t>
  </si>
  <si>
    <t>Zone</t>
  </si>
  <si>
    <t>Bottom Cover</t>
  </si>
  <si>
    <t>Radial</t>
  </si>
  <si>
    <t>Circular</t>
  </si>
  <si>
    <t>The numbers of bars in the zone</t>
  </si>
  <si>
    <t>The distance bewteen bars</t>
  </si>
  <si>
    <t>The diameter of bars in the zone</t>
  </si>
  <si>
    <t>Zone Lenggth = noofbars * spacing</t>
  </si>
  <si>
    <t>ZoneDistance at 1 is the distance between 1 and 2(1 is the outerzone)</t>
  </si>
  <si>
    <t>Distance between centroid to the beginning of bars (at last zone is used to determine where to stop near center)</t>
  </si>
  <si>
    <t>Distance between the FoundationLevel to edge of bar</t>
  </si>
  <si>
    <t>Distance between the margin of the foundation to the beginning of the zone (used for extra bars)</t>
  </si>
  <si>
    <t>Description</t>
  </si>
  <si>
    <t>Top Cover</t>
  </si>
  <si>
    <t>Edge Cover</t>
  </si>
  <si>
    <t>Diameter Tower Base</t>
  </si>
  <si>
    <t>Chairs</t>
  </si>
  <si>
    <t>OK!</t>
  </si>
  <si>
    <t>Warning!</t>
  </si>
  <si>
    <t>Anchor Type</t>
  </si>
  <si>
    <t>Layer</t>
  </si>
  <si>
    <t>Width Concrete Bed</t>
  </si>
  <si>
    <t>Depth Conc Bed</t>
  </si>
  <si>
    <t>Depth Anchor Botttom</t>
  </si>
  <si>
    <t>Depth Anchor</t>
  </si>
  <si>
    <t>A=Over Top Radial Bars; B=Over Edge Verticals; C=None</t>
  </si>
  <si>
    <t>B</t>
  </si>
  <si>
    <t>BTR_LargeDiameter</t>
  </si>
  <si>
    <t>BTR_3rdDiameter</t>
  </si>
  <si>
    <t>BTR_HookType</t>
  </si>
  <si>
    <t>BTR_SmallDiameterOffsetFromCenter</t>
  </si>
  <si>
    <t>BTR_SmallDiameter</t>
  </si>
  <si>
    <t>BTR_LargeDiameterOffsetFromCenter</t>
  </si>
  <si>
    <t>BTR_SpacingAngle</t>
  </si>
  <si>
    <t>BTR_Spacing3rdDiameterAngle</t>
  </si>
  <si>
    <t>BTR_StartOffsetAngle</t>
  </si>
  <si>
    <t>BTR_MaximumLength</t>
  </si>
  <si>
    <t>No.BoltPairs</t>
  </si>
  <si>
    <t>circleDiameter</t>
  </si>
  <si>
    <t>divPerCurve</t>
  </si>
  <si>
    <t>pileDepth</t>
  </si>
  <si>
    <t>pileDiameter</t>
  </si>
  <si>
    <t>pileWirePerSide</t>
  </si>
  <si>
    <t>horziDepthWire</t>
  </si>
  <si>
    <t>HorizWIreDiam</t>
  </si>
  <si>
    <t>topCutWire</t>
  </si>
  <si>
    <t>botCutwire</t>
  </si>
  <si>
    <t>DistanceBoltPair</t>
  </si>
  <si>
    <t>Insertion Depth Top Flange</t>
  </si>
  <si>
    <t>Width Top Flange</t>
  </si>
  <si>
    <t>Thickness Top Flange</t>
  </si>
  <si>
    <t>Thickness Bott Flange</t>
  </si>
  <si>
    <t>Width Bott Flange</t>
  </si>
  <si>
    <t>Radius Tower</t>
  </si>
  <si>
    <t>HeightAboveFoundation</t>
  </si>
  <si>
    <t>Thickness Cylinder Wall</t>
  </si>
  <si>
    <t>A=Anchor Bolts</t>
  </si>
  <si>
    <t>B=Post-tensioned</t>
  </si>
  <si>
    <t>C=Precast Cylinder</t>
  </si>
  <si>
    <t>Radius Inner Ring</t>
  </si>
  <si>
    <t>Radius Outer Ring</t>
  </si>
  <si>
    <t>Anchor Heigth</t>
  </si>
  <si>
    <t>227.5</t>
  </si>
  <si>
    <t>Eliptical Holes</t>
  </si>
  <si>
    <t>Width Top Plate</t>
  </si>
  <si>
    <t>Radius Btc</t>
  </si>
  <si>
    <t>Direction1(bottom bars)</t>
  </si>
  <si>
    <t>UPBR_Dir1_Diameter</t>
  </si>
  <si>
    <t>UPBR_Dir2_Diameter</t>
  </si>
  <si>
    <t>OPTR_CircularBarDiam</t>
  </si>
  <si>
    <t>OPTR_CircularTop_NoBars</t>
  </si>
  <si>
    <t>OPTR_CircularMargin_NoBars</t>
  </si>
  <si>
    <t>OPTR_CircularMargin_Spacing</t>
  </si>
  <si>
    <t>OPTR_CircularMargin_Offset</t>
  </si>
  <si>
    <t>OPTR_CircularTop_MaxLength</t>
  </si>
  <si>
    <t>OPTR_CircularTop_Overlap</t>
  </si>
  <si>
    <t>OPTR_CircularMargin_Overlap</t>
  </si>
  <si>
    <t>UBAB_ToExteriorLength</t>
  </si>
  <si>
    <t>UBAB_ToInteriorLength</t>
  </si>
  <si>
    <t>UBAB_topOffset</t>
  </si>
  <si>
    <t>UBAB_HookSmallDiam</t>
  </si>
  <si>
    <t>UBAB_BarDiameter</t>
  </si>
  <si>
    <t>UBAB_SmallOpeningInnerAxis</t>
  </si>
  <si>
    <t>UBAB_MakeFillet</t>
  </si>
  <si>
    <t>UBAB_Spacing</t>
  </si>
  <si>
    <t>Row</t>
  </si>
  <si>
    <t>slope</t>
  </si>
  <si>
    <t>PileType</t>
  </si>
  <si>
    <t>Bored</t>
  </si>
  <si>
    <t>Material Foundation</t>
  </si>
  <si>
    <t>Material Foundation Bed</t>
  </si>
  <si>
    <t>Material Tower Base</t>
  </si>
  <si>
    <t>ARC_CenterPoint_X</t>
  </si>
  <si>
    <t>ARC_CenterPoint_Y</t>
  </si>
  <si>
    <t>ARC_CenterPoint_Z</t>
  </si>
  <si>
    <t>BoltDiameter</t>
  </si>
  <si>
    <t>ScrewPiles</t>
  </si>
  <si>
    <t>MaterialGrout</t>
  </si>
  <si>
    <t>Material Piles</t>
  </si>
  <si>
    <t>NumberSuppports</t>
  </si>
  <si>
    <t>C90/105-OB</t>
  </si>
  <si>
    <t>C12/45-OB</t>
  </si>
  <si>
    <t>C12/15-OB</t>
  </si>
  <si>
    <t>Net Of Bars - Straight Bars</t>
  </si>
  <si>
    <t>OPTR_Dir1_SpacingValue</t>
  </si>
  <si>
    <t>OPTR_Dir1_Diameter</t>
  </si>
  <si>
    <t>OPTR_Dir1_EdgeCover</t>
  </si>
  <si>
    <t>OPTR_Dir2_SpacingValue</t>
  </si>
  <si>
    <t>OPTR_Dir2_Diameter</t>
  </si>
  <si>
    <t>OPTR_Dir2_EdgeCover</t>
  </si>
  <si>
    <t>Radial At Edge Of Concrete</t>
  </si>
  <si>
    <t>OPTR_InteriorEdgeLength</t>
  </si>
  <si>
    <t>OPTR_BottomEdgeLength</t>
  </si>
  <si>
    <t>OPTR_RadialBarDiameter</t>
  </si>
  <si>
    <t>pileHeadDiameter</t>
  </si>
  <si>
    <t>pileHeadHeigth</t>
  </si>
  <si>
    <t>Slope</t>
  </si>
  <si>
    <t>Compression</t>
  </si>
  <si>
    <t>Pull</t>
  </si>
  <si>
    <t>Horizontal</t>
  </si>
  <si>
    <t>C35/37-GB</t>
  </si>
  <si>
    <t>C45/55-GB</t>
  </si>
  <si>
    <t>Concrete Quality</t>
  </si>
  <si>
    <t>Foundation</t>
  </si>
  <si>
    <t xml:space="preserve"> Foundation Tower Base</t>
  </si>
  <si>
    <t>Lean Concrete</t>
  </si>
  <si>
    <t>Envelope
around conduits</t>
  </si>
  <si>
    <t>Grouting</t>
  </si>
  <si>
    <t>Foundation Piles</t>
  </si>
  <si>
    <t>Exposure class</t>
  </si>
  <si>
    <t>Slump</t>
  </si>
  <si>
    <t>Maximum size granulates</t>
  </si>
  <si>
    <t>Additional Information</t>
  </si>
  <si>
    <t>-</t>
  </si>
  <si>
    <t>S4</t>
  </si>
  <si>
    <t>to be determined</t>
  </si>
  <si>
    <t>XA2</t>
  </si>
  <si>
    <t>22 mm</t>
  </si>
  <si>
    <t>20 mm</t>
  </si>
  <si>
    <t>Concrete Cover</t>
  </si>
  <si>
    <t>50 mm</t>
  </si>
  <si>
    <t>55 mm</t>
  </si>
  <si>
    <t>75 mm</t>
  </si>
  <si>
    <t>see work 
description</t>
  </si>
  <si>
    <t>BoltLength</t>
  </si>
  <si>
    <t>DepthFoundation</t>
  </si>
  <si>
    <t>DepthPile</t>
  </si>
  <si>
    <t>Coordinates_GroundPoint</t>
  </si>
  <si>
    <t>ARC_FoundationPoint_Z</t>
  </si>
  <si>
    <t>OPTR_TopCover</t>
  </si>
  <si>
    <t>OPTR_BottomCover</t>
  </si>
  <si>
    <t>OPTR_EdgeCover</t>
  </si>
  <si>
    <t>200,200</t>
  </si>
  <si>
    <t>OffsetBottFlange</t>
  </si>
  <si>
    <t>DiameterAnchor</t>
  </si>
  <si>
    <t>PE shrink hose heigth</t>
  </si>
  <si>
    <t>Forces</t>
  </si>
  <si>
    <t>No.Piles</t>
  </si>
  <si>
    <t>SLS-STR
1240 kN compression
0 kN pull
16,4 kN horizontal
ULS-STR
1504 kN compression
261 kN pull
26.4 kN horizontal</t>
  </si>
  <si>
    <t>angle</t>
  </si>
  <si>
    <t>OPTR_Groups</t>
  </si>
  <si>
    <t>2,2,3</t>
  </si>
  <si>
    <t>BTR_No.LargeDiameter</t>
  </si>
  <si>
    <t>BTR_No.SmallDiameter</t>
  </si>
  <si>
    <t>BTR_No.3rdDiameter</t>
  </si>
  <si>
    <t>BTR_3rdDiameterOffsetFromCenter</t>
  </si>
  <si>
    <t>min space center=</t>
  </si>
  <si>
    <t>min space field=</t>
  </si>
  <si>
    <t>FORMWORK</t>
  </si>
  <si>
    <t>ANCHOR CAGE</t>
  </si>
  <si>
    <t>DiameterAnchorINT</t>
  </si>
  <si>
    <t>FIlletTOP ZONE</t>
  </si>
  <si>
    <t>FilletBOTT ZONE</t>
  </si>
  <si>
    <t>TopAnchorNut</t>
  </si>
  <si>
    <t>BottomAnchorNut</t>
  </si>
  <si>
    <t>f</t>
  </si>
  <si>
    <t>pcs</t>
  </si>
  <si>
    <t>HeightAboveGround</t>
  </si>
  <si>
    <t>xxx</t>
  </si>
  <si>
    <t>yyy</t>
  </si>
  <si>
    <t>BTR_NoOfBars</t>
  </si>
  <si>
    <t>BTR_SpacingValue</t>
  </si>
  <si>
    <t>BTR_Diameter</t>
  </si>
  <si>
    <t>BTR_Zone Length</t>
  </si>
  <si>
    <t>BTR_DistanceFromBottom</t>
  </si>
  <si>
    <t>BTR_OffsetFromEdge</t>
  </si>
  <si>
    <t>BTR_DistributionBars</t>
  </si>
  <si>
    <t>BTR_Overlapp Length</t>
  </si>
  <si>
    <t>BTR_MaximumRebarLength</t>
  </si>
  <si>
    <t>BTR_DiameterEdgeCirculars</t>
  </si>
  <si>
    <t>BTR_NumberEdgeCirculars</t>
  </si>
  <si>
    <t>BTR_SpacingEdgeCirculars</t>
  </si>
  <si>
    <t>BTR_ScheduleMarkStart</t>
  </si>
  <si>
    <t>TR_No.LargeDiameter</t>
  </si>
  <si>
    <t>TR_LargeDiameter</t>
  </si>
  <si>
    <t>TR_SmallDiameter</t>
  </si>
  <si>
    <t>TR_No.3rdDiameter</t>
  </si>
  <si>
    <t>TR_3rdDiameter</t>
  </si>
  <si>
    <t>TR_SpacingAngle</t>
  </si>
  <si>
    <t>TR_LargeDiameterOffsetFromCenter</t>
  </si>
  <si>
    <t>TR_SmallDiameterOffsetFromCenter</t>
  </si>
  <si>
    <t>TR_HookType</t>
  </si>
  <si>
    <t>TR_3rdDiameterOffsetFromCenter</t>
  </si>
  <si>
    <t>TR_Spacing3rdDiameterAngle</t>
  </si>
  <si>
    <t>TR_StartOffsetAngle</t>
  </si>
  <si>
    <t>TR_MaximumLength</t>
  </si>
  <si>
    <t>TR_NoOfBars</t>
  </si>
  <si>
    <t>TR_SpacingValue</t>
  </si>
  <si>
    <t>TR_Diameter</t>
  </si>
  <si>
    <t>TR_Zone Length</t>
  </si>
  <si>
    <t>TR_OffsetFromEdge</t>
  </si>
  <si>
    <t>TR_DistributionBars</t>
  </si>
  <si>
    <t>TR_Overlapp Length</t>
  </si>
  <si>
    <t>TR_No.SmallDiameter</t>
  </si>
  <si>
    <t>BTR_ZoneInterDistance</t>
  </si>
  <si>
    <t>C</t>
  </si>
  <si>
    <t>BTR_RadiusGiven</t>
  </si>
  <si>
    <t>TR_ZoneInterDistance</t>
  </si>
  <si>
    <t>TR_RadiusGiven</t>
  </si>
  <si>
    <t>TR_DistanceFromTop</t>
  </si>
  <si>
    <t>Alternative min. start angles</t>
  </si>
  <si>
    <t>BTR_RadiusCore</t>
  </si>
  <si>
    <t>CHR_SpacingValue Tangential (mm)</t>
  </si>
  <si>
    <t>CHR_Set No. Radial Spaces</t>
  </si>
  <si>
    <t>CHR_Diameter</t>
  </si>
  <si>
    <t>CHR_SpacingValue Radial</t>
  </si>
  <si>
    <t>CHR_EdgeOffset</t>
  </si>
  <si>
    <t>CHR_Hook Lengths</t>
  </si>
  <si>
    <t>CHR_Zone Length</t>
  </si>
  <si>
    <t>BTR_Unreinforced Core</t>
  </si>
  <si>
    <t>Min. Core</t>
  </si>
  <si>
    <t>YES</t>
  </si>
  <si>
    <t>YES or NO</t>
  </si>
  <si>
    <t>CHR_ChairsOverTopCirculars</t>
  </si>
  <si>
    <t>CHR_TopChairsOverlapp</t>
  </si>
  <si>
    <t>BTR_OverlappLargeDiameter</t>
  </si>
  <si>
    <t>BTR_OverlappSmallDiameter</t>
  </si>
  <si>
    <t>BTR_Overlapp3rdDiameter</t>
  </si>
  <si>
    <t>TR_OverlappLargeDiameter</t>
  </si>
  <si>
    <t>TR_OverlappSmallDiameter</t>
  </si>
  <si>
    <t>TR_Overlapp3rdDiameter</t>
  </si>
  <si>
    <t>Good Condition</t>
  </si>
  <si>
    <t>Bad Condition</t>
  </si>
  <si>
    <t>OPTR_TowerAxisCover</t>
  </si>
  <si>
    <t>Circular Bars - Top</t>
  </si>
  <si>
    <t>Circular Bars - Exterior Side</t>
  </si>
  <si>
    <t>BS8666 Shape Codes</t>
  </si>
  <si>
    <t>110*</t>
  </si>
  <si>
    <t>115*</t>
  </si>
  <si>
    <t>120*</t>
  </si>
  <si>
    <t>125*</t>
  </si>
  <si>
    <t>Nominal size of bar, d, mm</t>
  </si>
  <si>
    <t>Minimum radius for scheduling, r</t>
  </si>
  <si>
    <t>Minimum diameter of bending former, M</t>
  </si>
  <si>
    <t>General (min 5d straight), including links where bend ≥ 150° mm</t>
  </si>
  <si>
    <t>Links where bend ≤ 150° (min 10d straight) mm</t>
  </si>
  <si>
    <t>OPTR_CircularTop_Spacing</t>
  </si>
  <si>
    <t>OPTR_CircularTop_NoOrBarsOrSpacing</t>
  </si>
  <si>
    <t>OPTR_CircularMargin_MaxLength</t>
  </si>
  <si>
    <t>OPTR_CircularMargin_Diameter</t>
  </si>
  <si>
    <t>First row starts after the bending of S bar. This moves bar further from it (can be negative)</t>
  </si>
  <si>
    <t>OPTR_CircularMargin_Spacing_UseDefaultLength</t>
  </si>
  <si>
    <t>OPTR_CircularMargin_Spacing_CustomLength</t>
  </si>
  <si>
    <t>NoOfBars&amp;Spacing</t>
  </si>
  <si>
    <t>Spacing&amp;Length</t>
  </si>
  <si>
    <t>NoOfBars&amp;Length</t>
  </si>
  <si>
    <t>OPTR_CircularMargin_Option</t>
  </si>
  <si>
    <t>NOTE : DropDownList. Each option has 2 values of equation NoOfBars * Spacing = Length (diameter to diameter). The third value will be determined. Length will always start after bent and offset</t>
  </si>
  <si>
    <t>If DEFAULT : LENGTH = From start of bent + OFFSET until end of height of tower base. This is valid for options 2 and 3</t>
  </si>
  <si>
    <t>If default length is used, this is ignored; Valid for options 2 and 3</t>
  </si>
  <si>
    <t>If SpacingIsChosen then no of bars is determined by . Valid for options 1 and 2</t>
  </si>
  <si>
    <t>If no of bars is chosen then eff length is noOfbars * spacing. Valid for options 1 and 3</t>
  </si>
  <si>
    <t>OPTR_TowerAxisOffsetTop</t>
  </si>
  <si>
    <t>NoOfBars</t>
  </si>
  <si>
    <t>Spacing</t>
  </si>
  <si>
    <t>OPTR_Dir1_NoOfBars</t>
  </si>
  <si>
    <t>OPTR_Dir2_NoOfBars</t>
  </si>
  <si>
    <t>OPTR_Dir1_Option</t>
  </si>
  <si>
    <t>OPTR_Dir2_Option</t>
  </si>
  <si>
    <t>OPTR_Dir1_Lx</t>
  </si>
  <si>
    <t>OPTR_Dir1_Ly</t>
  </si>
  <si>
    <t>OPTR_Dir2_Lx</t>
  </si>
  <si>
    <t>OPTR_Dir2_Ly</t>
  </si>
  <si>
    <t>OPTR_MinBarLength</t>
  </si>
  <si>
    <t>ADD EXCEPTION FOR THIS. ALWAYS GREATER THEN 0</t>
  </si>
  <si>
    <t>UPBR_Dir1_SpacingValue</t>
  </si>
  <si>
    <t>UPBR_Dir2_SpacingValue</t>
  </si>
  <si>
    <t>UPBR_Dir1_NoOfBars</t>
  </si>
  <si>
    <t>UPBR_Dir1_Option</t>
  </si>
  <si>
    <t>UPBR_Dir2_NoOfBars</t>
  </si>
  <si>
    <t>UPBR_Dir2_Option</t>
  </si>
  <si>
    <t>Direction1 LBars</t>
  </si>
  <si>
    <t>Direction1(top bars)</t>
  </si>
  <si>
    <t>UPBR_TB_Dir1_SpacingValue</t>
  </si>
  <si>
    <t>UPBR_TB_Dir1_Diameter</t>
  </si>
  <si>
    <t>UPBR_TB_Dir1_NoOfBars</t>
  </si>
  <si>
    <t>UPBR_TB_Dir1_Option</t>
  </si>
  <si>
    <t>Direction2(top bars)</t>
  </si>
  <si>
    <t>UPBR_TB_Dir2_SpacingValue</t>
  </si>
  <si>
    <t>UPBR_TB_Dir2_Diameter</t>
  </si>
  <si>
    <t>UPBR_TB_Dir2_NoOfBars</t>
  </si>
  <si>
    <t>UPBR_TB_Dir2_Option</t>
  </si>
  <si>
    <t>Generalities(top bars)</t>
  </si>
  <si>
    <t>UPBR_BottomCover</t>
  </si>
  <si>
    <t>UPBR_HorizontalEdgeCover</t>
  </si>
  <si>
    <t>UPBR_Lx</t>
  </si>
  <si>
    <t>UPBR_Ly</t>
  </si>
  <si>
    <t>UPBR_L_Diameter</t>
  </si>
  <si>
    <t>UPBR_L_BendAngle</t>
  </si>
  <si>
    <t>UPBR_L_RadialSpacing</t>
  </si>
  <si>
    <t>degrees</t>
  </si>
  <si>
    <t>mm</t>
  </si>
  <si>
    <t>UPBR_TB_OffsetFromBottom</t>
  </si>
  <si>
    <t>To De autodetermined in excel. This will position top straight bars, from bottom plate, from the bottom line (no bottom cover). Distance until axis line of first layer</t>
  </si>
  <si>
    <t>UPBR_TB_RadiusOfRebars</t>
  </si>
  <si>
    <t>UPBR_TB_MinLengthRebar</t>
  </si>
  <si>
    <t>Circular_EdgeOfL</t>
  </si>
  <si>
    <t>UPBR_C_Diameter</t>
  </si>
  <si>
    <t>UPBR_C_NoOfBars</t>
  </si>
  <si>
    <t>UPBR_C_Dir2_SpacingValue</t>
  </si>
  <si>
    <t>UPBR_C_Dir2_Option</t>
  </si>
  <si>
    <t>These bars start after the L - Bent Radius</t>
  </si>
  <si>
    <t>UPBR_C_MaxLength</t>
  </si>
  <si>
    <t>UPBR_C_OverlapLength</t>
  </si>
  <si>
    <t>AR_Ext_TopOffset</t>
  </si>
  <si>
    <t>AR_Ext_BottomOffset</t>
  </si>
  <si>
    <t>AR_Ext_AxisOffset</t>
  </si>
  <si>
    <t>AR_Ext_Diameter_Ularger</t>
  </si>
  <si>
    <t>AR_Ext_Diameter_Usmaller</t>
  </si>
  <si>
    <t>AR_Ext_Circular_Top</t>
  </si>
  <si>
    <t>AR_ECT_Diameter</t>
  </si>
  <si>
    <t>AR_ECT_Spacing</t>
  </si>
  <si>
    <t>AR_Ext_Circular_Lateral</t>
  </si>
  <si>
    <t>AR_ECL_Option</t>
  </si>
  <si>
    <t>AR_ECL_Diameter</t>
  </si>
  <si>
    <t>AR_ECL_Spacing</t>
  </si>
  <si>
    <t>AR_ECL_NoOfBars</t>
  </si>
  <si>
    <t>AR_Ext_Circular_Bottom</t>
  </si>
  <si>
    <t>AR_ECB_Diameter</t>
  </si>
  <si>
    <t>AR_ECB_Spacing</t>
  </si>
  <si>
    <t>AR_Int_TopOffset</t>
  </si>
  <si>
    <t>AR_Int_BottomOffset</t>
  </si>
  <si>
    <t>AR_Int_AxisOffset</t>
  </si>
  <si>
    <t>AR_Int_Diameter_Ularger</t>
  </si>
  <si>
    <t>AR_Int_Diameter_Usmaller</t>
  </si>
  <si>
    <t>AR_ICT_Diameter</t>
  </si>
  <si>
    <t>AR_ICT_Spacing</t>
  </si>
  <si>
    <t>AR_ICL_Option</t>
  </si>
  <si>
    <t>AR_ICL_Diameter</t>
  </si>
  <si>
    <t>AR_ICL_Spacing</t>
  </si>
  <si>
    <t>AR_ICL_NoOfBars</t>
  </si>
  <si>
    <t>AR_ICB_Diameter</t>
  </si>
  <si>
    <t>AR_ICB_Spacing</t>
  </si>
  <si>
    <t>AR_ECT_MinBarLength</t>
  </si>
  <si>
    <t>AR_ECT_MaxBarLength</t>
  </si>
  <si>
    <t>AR_ECL_MinBarLength</t>
  </si>
  <si>
    <t>AR_ECL_MaxBarLength</t>
  </si>
  <si>
    <t>AR_ECB_MinBarLength</t>
  </si>
  <si>
    <t>AR_ECB_MaxBarLength</t>
  </si>
  <si>
    <t>AR_Ext_Ubars</t>
  </si>
  <si>
    <t>AR_Int_Ubars</t>
  </si>
  <si>
    <t>AR_ICB_MinBarLength</t>
  </si>
  <si>
    <t>AR_ICB_MaxBarLength</t>
  </si>
  <si>
    <t>AR_ICL_MinBarLength</t>
  </si>
  <si>
    <t>AR_ICL_MaxBarLength</t>
  </si>
  <si>
    <t>AR_ICT_MinBarLength</t>
  </si>
  <si>
    <t>AR_ICT_MaxBarLength</t>
  </si>
  <si>
    <t>AR_Int_Circular_Top</t>
  </si>
  <si>
    <t>AR_Int_Circular_Lateral</t>
  </si>
  <si>
    <t>AR_int_Circular_Bottom</t>
  </si>
  <si>
    <t>AR_Ext_HookLength_Ularger</t>
  </si>
  <si>
    <t>AR_Ext_HookLength_Usmaller</t>
  </si>
  <si>
    <t>AR_Int_HookLength_Ularger</t>
  </si>
  <si>
    <t>AR_Int_HookLength_Usmaller</t>
  </si>
  <si>
    <t>AR_Int_TopExtraOffset</t>
  </si>
  <si>
    <t>AR_Int_BottomExtraOffset</t>
  </si>
  <si>
    <t>AR_ECL_TopExtraOffset</t>
  </si>
  <si>
    <t>AR_ECL_BottomExtraOffset</t>
  </si>
  <si>
    <t>AR_ICL_TopExtraOffset</t>
  </si>
  <si>
    <t>Offset added to bent radius - start point of circular bar distribution on host rebar</t>
  </si>
  <si>
    <t>Offset added to bent radius - end  point of circular bar distribution on host rebar</t>
  </si>
  <si>
    <t>AR_ICL_BottomExtraOffset</t>
  </si>
  <si>
    <t>AR_ECT_StartExtraOffset</t>
  </si>
  <si>
    <t>AR_ECB_StartExtraOffset</t>
  </si>
  <si>
    <t>AR_ICT_StartExtraOffset</t>
  </si>
  <si>
    <t>AR_ICB_StartExtraOffset</t>
  </si>
  <si>
    <t>Direction2(bottom bars)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</si>
</sst>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8"/>
      <color rgb="FF676767"/>
      <name val="Inherit"/>
    </font>
    <font>
      <b/>
      <sz val="8"/>
      <color rgb="FF676767"/>
      <name val="Inherit"/>
    </font>
    <font>
      <sz val="11"/>
      <color rgb="FF3F3F76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gradientFill degree="90">
        <stop position="0">
          <color rgb="FF00B0F0"/>
        </stop>
        <stop position="1">
          <color theme="4"/>
        </stop>
      </gradient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CECEC"/>
      </right>
      <top/>
      <bottom style="medium">
        <color rgb="FFECECEC"/>
      </bottom>
      <diagonal/>
    </border>
    <border>
      <left/>
      <right style="medium">
        <color rgb="FFECECEC"/>
      </right>
      <top style="medium">
        <color rgb="FFECECEC"/>
      </top>
      <bottom style="medium">
        <color rgb="FFECECEC"/>
      </bottom>
      <diagonal/>
    </border>
    <border>
      <left/>
      <right/>
      <top style="medium">
        <color rgb="FFECECEC"/>
      </top>
      <bottom style="medium">
        <color rgb="FFECECEC"/>
      </bottom>
      <diagonal/>
    </border>
    <border>
      <left/>
      <right/>
      <top/>
      <bottom style="medium">
        <color rgb="FFECECEC"/>
      </bottom>
      <diagonal/>
    </border>
    <border>
      <left/>
      <right style="medium">
        <color rgb="FFECECE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7" fillId="5" borderId="7" applyNumberFormat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0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6" fillId="0" borderId="0" xfId="0" applyFont="1"/>
    <xf numFmtId="164" fontId="5" fillId="2" borderId="0" xfId="0" applyNumberFormat="1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11" fillId="0" borderId="0" xfId="0" applyFont="1"/>
    <xf numFmtId="0" fontId="0" fillId="3" borderId="0" xfId="0" applyFill="1"/>
    <xf numFmtId="12" fontId="0" fillId="0" borderId="0" xfId="0" applyNumberForma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0" fillId="2" borderId="0" xfId="0" applyFont="1" applyFill="1"/>
    <xf numFmtId="0" fontId="1" fillId="0" borderId="0" xfId="0" applyFont="1" applyAlignment="1">
      <alignment horizontal="right"/>
    </xf>
    <xf numFmtId="49" fontId="9" fillId="2" borderId="0" xfId="0" applyNumberFormat="1" applyFont="1" applyFill="1"/>
    <xf numFmtId="0" fontId="7" fillId="0" borderId="0" xfId="0" applyFont="1" applyFill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0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ont="1" applyFill="1"/>
    <xf numFmtId="0" fontId="19" fillId="0" borderId="0" xfId="0" applyFont="1" applyAlignment="1">
      <alignment horizontal="right"/>
    </xf>
    <xf numFmtId="0" fontId="22" fillId="0" borderId="0" xfId="0" applyFont="1"/>
    <xf numFmtId="0" fontId="15" fillId="2" borderId="0" xfId="1" applyFill="1"/>
    <xf numFmtId="0" fontId="13" fillId="2" borderId="1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3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0" fontId="19" fillId="0" borderId="0" xfId="0" applyNumberFormat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9" fillId="0" borderId="0" xfId="0" applyFont="1" applyFill="1"/>
    <xf numFmtId="0" fontId="19" fillId="0" borderId="0" xfId="0" applyNumberFormat="1" applyFont="1"/>
    <xf numFmtId="0" fontId="19" fillId="0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/>
    <xf numFmtId="0" fontId="5" fillId="2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24" fillId="0" borderId="0" xfId="0" applyFo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4" borderId="2" xfId="0" applyFont="1" applyFill="1" applyBorder="1" applyAlignment="1">
      <alignment horizontal="left" vertical="top" wrapText="1"/>
    </xf>
    <xf numFmtId="0" fontId="25" fillId="4" borderId="5" xfId="0" applyFont="1" applyFill="1" applyBorder="1" applyAlignment="1">
      <alignment horizontal="left" vertical="top" wrapText="1"/>
    </xf>
    <xf numFmtId="0" fontId="25" fillId="4" borderId="6" xfId="0" applyFont="1" applyFill="1" applyBorder="1" applyAlignment="1">
      <alignment horizontal="left" vertical="top" wrapText="1"/>
    </xf>
    <xf numFmtId="0" fontId="25" fillId="4" borderId="0" xfId="0" applyFont="1" applyFill="1" applyBorder="1" applyAlignment="1">
      <alignment horizontal="left" vertical="top" wrapText="1"/>
    </xf>
    <xf numFmtId="0" fontId="26" fillId="4" borderId="3" xfId="0" applyFont="1" applyFill="1" applyBorder="1" applyAlignment="1">
      <alignment horizontal="left" vertical="center" wrapText="1"/>
    </xf>
    <xf numFmtId="0" fontId="26" fillId="4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7" fillId="5" borderId="7" xfId="2"/>
    <xf numFmtId="0" fontId="28" fillId="6" borderId="0" xfId="0" applyFont="1" applyFill="1" applyBorder="1" applyAlignment="1">
      <alignment horizontal="center"/>
    </xf>
    <xf numFmtId="0" fontId="28" fillId="6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/>
    <xf numFmtId="0" fontId="0" fillId="7" borderId="0" xfId="0" applyFill="1"/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3">
    <cellStyle name="Hyperlink" xfId="1" builtinId="8"/>
    <cellStyle name="Intrare" xfId="2" builtinId="20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548640</xdr:colOff>
      <xdr:row>1</xdr:row>
      <xdr:rowOff>15240</xdr:rowOff>
    </xdr:from>
    <xdr:to>
      <xdr:col>12</xdr:col>
      <xdr:colOff>242386</xdr:colOff>
      <xdr:row>11</xdr:row>
      <xdr:rowOff>129540</xdr:rowOff>
    </xdr:to>
    <xdr:pic>
      <xdr:nvPicPr>
        <xdr:cNvPr id="2" name="Afbeelding 6">
          <a:extLst>
            <a:ext uri="{FF2B5EF4-FFF2-40B4-BE49-F238E27FC236}">
              <a16:creationId xmlns:a16="http://schemas.microsoft.com/office/drawing/2014/main" id="{DA701E58-AE42-4DAF-BFF1-DF6E4E981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460" y="198120"/>
          <a:ext cx="5180146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18534</xdr:colOff>
      <xdr:row>16</xdr:row>
      <xdr:rowOff>17885</xdr:rowOff>
    </xdr:from>
    <xdr:to>
      <xdr:col>10</xdr:col>
      <xdr:colOff>548640</xdr:colOff>
      <xdr:row>45</xdr:row>
      <xdr:rowOff>175751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882CC3-EAE4-46B0-9E4F-148A7ED7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9954" y="2943965"/>
          <a:ext cx="4187706" cy="54613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12500</xdr:colOff>
      <xdr:row>1</xdr:row>
      <xdr:rowOff>12031</xdr:rowOff>
    </xdr:from>
    <xdr:to>
      <xdr:col>9</xdr:col>
      <xdr:colOff>605586</xdr:colOff>
      <xdr:row>15</xdr:row>
      <xdr:rowOff>64167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0471FE-6D41-4EDA-A993-C5FC8C898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" t="3104" r="1" b="2087"/>
        <a:stretch/>
      </xdr:blipFill>
      <xdr:spPr>
        <a:xfrm>
          <a:off x="5759584" y="196515"/>
          <a:ext cx="1812286" cy="24504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3</xdr:row>
      <xdr:rowOff>15240</xdr:rowOff>
    </xdr:from>
    <xdr:to>
      <xdr:col>11</xdr:col>
      <xdr:colOff>318586</xdr:colOff>
      <xdr:row>14</xdr:row>
      <xdr:rowOff>129540</xdr:rowOff>
    </xdr:to>
    <xdr:pic>
      <xdr:nvPicPr>
        <xdr:cNvPr id="2" name="Afbeelding 6">
          <a:extLst>
            <a:ext uri="{FF2B5EF4-FFF2-40B4-BE49-F238E27FC236}">
              <a16:creationId xmlns:a16="http://schemas.microsoft.com/office/drawing/2014/main" id="{F16EC638-1CBF-4E16-B975-7CD183986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" y="381000"/>
          <a:ext cx="5180146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13</xdr:row>
      <xdr:rowOff>76200</xdr:rowOff>
    </xdr:from>
    <xdr:to>
      <xdr:col>11</xdr:col>
      <xdr:colOff>583446</xdr:colOff>
      <xdr:row>43</xdr:row>
      <xdr:rowOff>51186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6B372E-15E4-455C-8285-C46E09EFD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1720" y="2453640"/>
          <a:ext cx="4187706" cy="546138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0</xdr:row>
      <xdr:rowOff>129540</xdr:rowOff>
    </xdr:from>
    <xdr:to>
      <xdr:col>12</xdr:col>
      <xdr:colOff>304224</xdr:colOff>
      <xdr:row>12</xdr:row>
      <xdr:rowOff>11170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BD6C78-F9F5-49F3-8C37-BDB60019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0280" y="129540"/>
          <a:ext cx="4609524" cy="20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61151</xdr:colOff>
      <xdr:row>40</xdr:row>
      <xdr:rowOff>68446</xdr:rowOff>
    </xdr:from>
    <xdr:to>
      <xdr:col>9</xdr:col>
      <xdr:colOff>403650</xdr:colOff>
      <xdr:row>54</xdr:row>
      <xdr:rowOff>60275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6EAB04-B869-4AA6-9EE0-A702D0688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478" y="8069446"/>
          <a:ext cx="7412980" cy="2658828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0</xdr:row>
      <xdr:rowOff>61111</xdr:rowOff>
    </xdr:from>
    <xdr:to>
      <xdr:col>17</xdr:col>
      <xdr:colOff>578575</xdr:colOff>
      <xdr:row>18</xdr:row>
      <xdr:rowOff>80035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6A3CEA-BCFC-40BA-90E5-D47197DD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7950" y="61111"/>
          <a:ext cx="3645625" cy="3310764"/>
        </a:xfrm>
        <a:prstGeom prst="rect">
          <a:avLst/>
        </a:prstGeom>
      </xdr:spPr>
    </xdr:pic>
    <xdr:clientData/>
  </xdr:twoCellAnchor>
  <xdr:twoCellAnchor editAs="oneCell">
    <xdr:from>
      <xdr:col>11</xdr:col>
      <xdr:colOff>16933</xdr:colOff>
      <xdr:row>33</xdr:row>
      <xdr:rowOff>8466</xdr:rowOff>
    </xdr:from>
    <xdr:to>
      <xdr:col>18</xdr:col>
      <xdr:colOff>27396</xdr:colOff>
      <xdr:row>52</xdr:row>
      <xdr:rowOff>102613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2E63CD-00B7-4F76-A805-64D917527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0333" y="5410199"/>
          <a:ext cx="4277664" cy="3633213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8</xdr:col>
      <xdr:colOff>574263</xdr:colOff>
      <xdr:row>10</xdr:row>
      <xdr:rowOff>122369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75A4AE-F4D0-4D31-9A76-E42AB0D59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0"/>
          <a:ext cx="2374488" cy="2027369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10</xdr:row>
      <xdr:rowOff>26458</xdr:rowOff>
    </xdr:from>
    <xdr:to>
      <xdr:col>11</xdr:col>
      <xdr:colOff>219205</xdr:colOff>
      <xdr:row>14</xdr:row>
      <xdr:rowOff>96802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083C37-96C7-45E8-B3A7-D46624020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978958"/>
          <a:ext cx="1486029" cy="8323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7782</xdr:colOff>
      <xdr:row>33</xdr:row>
      <xdr:rowOff>125833</xdr:rowOff>
    </xdr:from>
    <xdr:to>
      <xdr:col>7</xdr:col>
      <xdr:colOff>137028</xdr:colOff>
      <xdr:row>44</xdr:row>
      <xdr:rowOff>136144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D38D92-7820-4881-9BF2-FABA6537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1" y="6042539"/>
          <a:ext cx="6413505" cy="1982546"/>
        </a:xfrm>
        <a:prstGeom prst="rect">
          <a:avLst/>
        </a:prstGeom>
      </xdr:spPr>
    </xdr:pic>
    <xdr:clientData/>
  </xdr:twoCellAnchor>
  <xdr:twoCellAnchor editAs="oneCell">
    <xdr:from>
      <xdr:col>10</xdr:col>
      <xdr:colOff>29640</xdr:colOff>
      <xdr:row>2</xdr:row>
      <xdr:rowOff>0</xdr:rowOff>
    </xdr:from>
    <xdr:to>
      <xdr:col>15</xdr:col>
      <xdr:colOff>185231</xdr:colOff>
      <xdr:row>17</xdr:row>
      <xdr:rowOff>165653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48D1B4-F9D7-44E7-8424-08C3FB15E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5101" y="371061"/>
          <a:ext cx="3203591" cy="29486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304799</xdr:colOff>
      <xdr:row>4</xdr:row>
      <xdr:rowOff>30480</xdr:rowOff>
    </xdr:from>
    <xdr:to>
      <xdr:col>11</xdr:col>
      <xdr:colOff>23694</xdr:colOff>
      <xdr:row>16</xdr:row>
      <xdr:rowOff>41693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813AC-FB7A-4D76-8711-61E170AD9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7239" y="762000"/>
          <a:ext cx="2157295" cy="2205773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</xdr:colOff>
      <xdr:row>22</xdr:row>
      <xdr:rowOff>175261</xdr:rowOff>
    </xdr:from>
    <xdr:to>
      <xdr:col>9</xdr:col>
      <xdr:colOff>237721</xdr:colOff>
      <xdr:row>35</xdr:row>
      <xdr:rowOff>60961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3865F3-C03B-4EFE-B9D0-F0FFC8E6F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3460" y="4198621"/>
          <a:ext cx="2538961" cy="22631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498614</xdr:colOff>
      <xdr:row>18</xdr:row>
      <xdr:rowOff>178904</xdr:rowOff>
    </xdr:from>
    <xdr:to>
      <xdr:col>11</xdr:col>
      <xdr:colOff>302069</xdr:colOff>
      <xdr:row>38</xdr:row>
      <xdr:rowOff>20951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031423-FDB8-44A5-B8D2-3E650A4EC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694" y="3470744"/>
          <a:ext cx="1632255" cy="3499647"/>
        </a:xfrm>
        <a:prstGeom prst="rect">
          <a:avLst/>
        </a:prstGeom>
      </xdr:spPr>
    </xdr:pic>
    <xdr:clientData/>
  </xdr:twoCellAnchor>
  <xdr:twoCellAnchor editAs="oneCell">
    <xdr:from>
      <xdr:col>11</xdr:col>
      <xdr:colOff>463495</xdr:colOff>
      <xdr:row>18</xdr:row>
      <xdr:rowOff>182549</xdr:rowOff>
    </xdr:from>
    <xdr:to>
      <xdr:col>14</xdr:col>
      <xdr:colOff>584369</xdr:colOff>
      <xdr:row>38</xdr:row>
      <xdr:rowOff>12920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9D0AE6-D7B7-4A9B-A647-8CFE1AE04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5375" y="3474389"/>
          <a:ext cx="1949674" cy="3487971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510541</xdr:colOff>
      <xdr:row>1</xdr:row>
      <xdr:rowOff>102620</xdr:rowOff>
    </xdr:from>
    <xdr:to>
      <xdr:col>13</xdr:col>
      <xdr:colOff>601981</xdr:colOff>
      <xdr:row>18</xdr:row>
      <xdr:rowOff>85429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46B884-12A7-41FC-8DD6-0CD2D2434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4421" y="285500"/>
          <a:ext cx="4358640" cy="30917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103094</xdr:colOff>
      <xdr:row>0</xdr:row>
      <xdr:rowOff>147469</xdr:rowOff>
    </xdr:from>
    <xdr:to>
      <xdr:col>12</xdr:col>
      <xdr:colOff>134754</xdr:colOff>
      <xdr:row>9</xdr:row>
      <xdr:rowOff>92025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A2C14-1BF1-46AA-894B-2D1B4CDC8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4247" y="147469"/>
          <a:ext cx="2219048" cy="15582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</xdr:colOff>
      <xdr:row>0</xdr:row>
      <xdr:rowOff>99060</xdr:rowOff>
    </xdr:from>
    <xdr:to>
      <xdr:col>6</xdr:col>
      <xdr:colOff>297180</xdr:colOff>
      <xdr:row>8</xdr:row>
      <xdr:rowOff>79185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12A0E-8874-47E5-9727-1C4962842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7520" y="99060"/>
          <a:ext cx="1965960" cy="1443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05.%20Test%20Cases\Test.01_Vestas_MK3A\INPUT\Ex.%2005.10%200040-3740_R0%20-%20ANCHOR%20EMBED%20V100%2095m%20IEC2b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\05.%20Test%20Cases\Test.01_Vestas_MK3A\INPUT\Ex.%2005.10%200040-3740_R0%20-%20ANCHOR%20EMBED%20V100%2095m%20IEC2b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4485-2969-4792-B686-553A2C7B91E4}">
  <dimension ref="A1:B46"/>
  <sheetViews>
    <sheetView topLeftCell="A4" workbookViewId="0">
      <selection activeCell="D17" sqref="D17"/>
    </sheetView>
  </sheetViews>
  <sheetFormatPr defaultRowHeight="15"/>
  <cols>
    <col min="1" max="1" width="23.28515625" bestFit="1" customWidth="1"/>
    <col min="2" max="2" width="13.5703125" bestFit="1" customWidth="1"/>
  </cols>
  <sheetData>
    <row r="1" spans="1:2">
      <c r="A1" s="9" t="s">
        <v>176</v>
      </c>
    </row>
    <row r="2" spans="1:2">
      <c r="A2" s="3" t="s">
        <v>0</v>
      </c>
      <c r="B2" s="40">
        <v>2000</v>
      </c>
    </row>
    <row r="3" spans="1:2">
      <c r="A3" s="3" t="s">
        <v>1</v>
      </c>
      <c r="B3" s="40">
        <v>1200</v>
      </c>
    </row>
    <row r="4" spans="1:2">
      <c r="A4" s="3" t="s">
        <v>2</v>
      </c>
      <c r="B4" s="40">
        <v>670</v>
      </c>
    </row>
    <row r="5" spans="1:2">
      <c r="A5" s="3" t="s">
        <v>3</v>
      </c>
      <c r="B5" s="40">
        <v>300</v>
      </c>
    </row>
    <row r="6" spans="1:2">
      <c r="A6" s="3" t="s">
        <v>4</v>
      </c>
      <c r="B6" s="40">
        <v>18000</v>
      </c>
    </row>
    <row r="7" spans="1:2">
      <c r="A7" s="3" t="s">
        <v>23</v>
      </c>
      <c r="B7" s="40">
        <v>6250</v>
      </c>
    </row>
    <row r="8" spans="1:2">
      <c r="A8" s="3" t="s">
        <v>5</v>
      </c>
      <c r="B8" s="40">
        <v>100</v>
      </c>
    </row>
    <row r="9" spans="1:2">
      <c r="A9" s="3" t="s">
        <v>6</v>
      </c>
      <c r="B9" s="8">
        <f>Global!B10/2-Anchor!B16/2</f>
        <v>825</v>
      </c>
    </row>
    <row r="10" spans="1:2">
      <c r="A10" s="3" t="s">
        <v>9</v>
      </c>
      <c r="B10" s="40">
        <v>50</v>
      </c>
    </row>
    <row r="11" spans="1:2">
      <c r="A11" s="3" t="s">
        <v>21</v>
      </c>
      <c r="B11" s="40">
        <v>50</v>
      </c>
    </row>
    <row r="12" spans="1:2">
      <c r="A12" s="3" t="s">
        <v>22</v>
      </c>
      <c r="B12" s="40">
        <v>50</v>
      </c>
    </row>
    <row r="13" spans="1:2">
      <c r="A13" s="34" t="s">
        <v>72</v>
      </c>
      <c r="B13" s="34">
        <f>Anchor!B17</f>
        <v>250</v>
      </c>
    </row>
    <row r="14" spans="1:2">
      <c r="A14" s="3" t="s">
        <v>73</v>
      </c>
      <c r="B14" s="8">
        <f>B7/2-B5*1.4</f>
        <v>2705</v>
      </c>
    </row>
    <row r="15" spans="1:2">
      <c r="A15" s="3" t="s">
        <v>97</v>
      </c>
      <c r="B15" s="9" t="s">
        <v>128</v>
      </c>
    </row>
    <row r="16" spans="1:2">
      <c r="A16" s="3" t="s">
        <v>98</v>
      </c>
      <c r="B16" s="9" t="s">
        <v>110</v>
      </c>
    </row>
    <row r="17" spans="1:2">
      <c r="A17" s="3" t="s">
        <v>99</v>
      </c>
      <c r="B17" s="9" t="s">
        <v>129</v>
      </c>
    </row>
    <row r="18" spans="1:2">
      <c r="A18" s="3" t="s">
        <v>185</v>
      </c>
      <c r="B18" s="24">
        <v>200</v>
      </c>
    </row>
    <row r="19" spans="1:2">
      <c r="A19" s="3" t="s">
        <v>153</v>
      </c>
      <c r="B19" s="8">
        <f>B2+B4-B18</f>
        <v>2470</v>
      </c>
    </row>
    <row r="20" spans="1:2">
      <c r="A20" s="3" t="s">
        <v>155</v>
      </c>
    </row>
    <row r="21" spans="1:2">
      <c r="A21" s="23" t="s">
        <v>100</v>
      </c>
      <c r="B21" s="9" t="s">
        <v>186</v>
      </c>
    </row>
    <row r="22" spans="1:2">
      <c r="A22" s="23" t="s">
        <v>101</v>
      </c>
      <c r="B22" s="9" t="s">
        <v>187</v>
      </c>
    </row>
    <row r="23" spans="1:2">
      <c r="A23" s="23" t="s">
        <v>102</v>
      </c>
      <c r="B23">
        <v>21950</v>
      </c>
    </row>
    <row r="24" spans="1:2">
      <c r="A24" s="32" t="s">
        <v>156</v>
      </c>
      <c r="B24" s="8">
        <f>B23-B19-B5</f>
        <v>19180</v>
      </c>
    </row>
    <row r="26" spans="1:2">
      <c r="A26" s="23" t="s">
        <v>177</v>
      </c>
    </row>
    <row r="27" spans="1:2">
      <c r="A27" s="3" t="s">
        <v>27</v>
      </c>
      <c r="B27" t="s">
        <v>64</v>
      </c>
    </row>
    <row r="28" spans="1:2">
      <c r="A28" s="35" t="s">
        <v>162</v>
      </c>
      <c r="B28" s="38">
        <v>4105</v>
      </c>
    </row>
    <row r="29" spans="1:2">
      <c r="A29" s="35" t="s">
        <v>178</v>
      </c>
      <c r="B29" s="38">
        <v>3695</v>
      </c>
    </row>
    <row r="30" spans="1:2">
      <c r="A30" s="35" t="s">
        <v>45</v>
      </c>
      <c r="B30" s="38">
        <v>80</v>
      </c>
    </row>
    <row r="31" spans="1:2">
      <c r="A31" s="35" t="s">
        <v>163</v>
      </c>
      <c r="B31" s="38">
        <v>2615</v>
      </c>
    </row>
    <row r="32" spans="1:2">
      <c r="A32" s="35" t="s">
        <v>179</v>
      </c>
      <c r="B32" s="38">
        <v>260</v>
      </c>
    </row>
    <row r="33" spans="1:2">
      <c r="A33" s="35" t="s">
        <v>180</v>
      </c>
      <c r="B33" s="38">
        <v>120</v>
      </c>
    </row>
    <row r="34" spans="1:2">
      <c r="A34" s="35" t="s">
        <v>181</v>
      </c>
      <c r="B34" s="38">
        <v>210</v>
      </c>
    </row>
    <row r="35" spans="1:2">
      <c r="A35" s="35" t="s">
        <v>182</v>
      </c>
      <c r="B35" s="38">
        <v>50</v>
      </c>
    </row>
    <row r="36" spans="1:2">
      <c r="A36" t="s">
        <v>56</v>
      </c>
      <c r="B36" s="40">
        <v>85</v>
      </c>
    </row>
    <row r="37" spans="1:2">
      <c r="A37" t="s">
        <v>58</v>
      </c>
      <c r="B37" s="40">
        <v>90</v>
      </c>
    </row>
    <row r="38" spans="1:2">
      <c r="A38" t="s">
        <v>29</v>
      </c>
      <c r="B38" s="40">
        <v>496</v>
      </c>
    </row>
    <row r="39" spans="1:2">
      <c r="A39" t="s">
        <v>57</v>
      </c>
      <c r="B39" s="40">
        <v>300</v>
      </c>
    </row>
    <row r="40" spans="1:2">
      <c r="A40" t="s">
        <v>30</v>
      </c>
      <c r="B40" s="40">
        <v>250</v>
      </c>
    </row>
    <row r="41" spans="1:2">
      <c r="A41" t="s">
        <v>55</v>
      </c>
      <c r="B41" s="40">
        <v>205</v>
      </c>
    </row>
    <row r="42" spans="1:2">
      <c r="A42" s="22" t="s">
        <v>59</v>
      </c>
      <c r="B42" s="40">
        <v>90</v>
      </c>
    </row>
    <row r="43" spans="1:2">
      <c r="A43" s="22" t="s">
        <v>60</v>
      </c>
      <c r="B43" s="40">
        <v>400</v>
      </c>
    </row>
    <row r="44" spans="1:2">
      <c r="A44" s="25" t="s">
        <v>103</v>
      </c>
      <c r="B44" s="38">
        <v>36</v>
      </c>
    </row>
    <row r="45" spans="1:2">
      <c r="A45" s="22" t="s">
        <v>105</v>
      </c>
      <c r="B45" s="43" t="s">
        <v>108</v>
      </c>
    </row>
    <row r="46" spans="1:2">
      <c r="A46" s="22" t="s">
        <v>107</v>
      </c>
      <c r="B46" s="22">
        <v>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5BB6-DEFC-447E-98F6-EC442A90F8BA}">
  <dimension ref="A11:B18"/>
  <sheetViews>
    <sheetView workbookViewId="0">
      <selection activeCell="B14" sqref="B14"/>
    </sheetView>
  </sheetViews>
  <sheetFormatPr defaultRowHeight="15"/>
  <cols>
    <col min="1" max="1" width="20.85546875" bestFit="1" customWidth="1"/>
    <col min="2" max="2" width="11.85546875" bestFit="1" customWidth="1"/>
  </cols>
  <sheetData>
    <row r="11" spans="1:2">
      <c r="A11" s="20" t="s">
        <v>85</v>
      </c>
      <c r="B11" s="20">
        <v>1000</v>
      </c>
    </row>
    <row r="12" spans="1:2">
      <c r="A12" s="20" t="s">
        <v>86</v>
      </c>
      <c r="B12" s="20">
        <v>1000</v>
      </c>
    </row>
    <row r="13" spans="1:2">
      <c r="A13" s="20" t="s">
        <v>87</v>
      </c>
      <c r="B13" s="20">
        <v>400</v>
      </c>
    </row>
    <row r="14" spans="1:2">
      <c r="A14" s="20" t="s">
        <v>88</v>
      </c>
      <c r="B14" s="20">
        <v>170</v>
      </c>
    </row>
    <row r="15" spans="1:2">
      <c r="A15" s="20" t="s">
        <v>89</v>
      </c>
      <c r="B15" s="20">
        <v>20</v>
      </c>
    </row>
    <row r="16" spans="1:2">
      <c r="A16" s="20" t="s">
        <v>90</v>
      </c>
      <c r="B16" s="20">
        <v>50</v>
      </c>
    </row>
    <row r="17" spans="1:2">
      <c r="A17" s="20" t="s">
        <v>91</v>
      </c>
      <c r="B17" s="20" t="b">
        <v>0</v>
      </c>
    </row>
    <row r="18" spans="1:2">
      <c r="A18" s="20" t="s">
        <v>92</v>
      </c>
      <c r="B18" s="33" t="s">
        <v>160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2"/>
  <sheetViews>
    <sheetView zoomScale="130" zoomScaleNormal="130" workbookViewId="0">
      <selection activeCell="B9" sqref="B9"/>
    </sheetView>
  </sheetViews>
  <sheetFormatPr defaultRowHeight="15"/>
  <cols>
    <col min="2" max="2" width="30.42578125" bestFit="1" customWidth="1"/>
  </cols>
  <sheetData>
    <row r="2" spans="1:7">
      <c r="A2" s="3" t="s">
        <v>24</v>
      </c>
    </row>
    <row r="3" spans="1:7">
      <c r="B3" s="3" t="s">
        <v>8</v>
      </c>
      <c r="C3" s="65">
        <v>1</v>
      </c>
      <c r="D3" s="65">
        <v>2</v>
      </c>
      <c r="E3" s="65">
        <v>3</v>
      </c>
      <c r="F3" s="65">
        <v>4</v>
      </c>
    </row>
    <row r="4" spans="1:7">
      <c r="B4" t="s">
        <v>230</v>
      </c>
      <c r="C4" s="54">
        <v>500</v>
      </c>
      <c r="D4" s="54"/>
      <c r="E4" s="54"/>
      <c r="F4" s="54"/>
    </row>
    <row r="5" spans="1:7" hidden="1">
      <c r="B5" t="s">
        <v>231</v>
      </c>
      <c r="C5" s="59">
        <v>3</v>
      </c>
      <c r="D5" s="59"/>
      <c r="E5" s="59"/>
      <c r="F5" s="59"/>
    </row>
    <row r="6" spans="1:7">
      <c r="B6" t="s">
        <v>232</v>
      </c>
      <c r="C6" s="52">
        <v>25</v>
      </c>
      <c r="D6" s="52"/>
      <c r="E6" s="52"/>
      <c r="F6" s="52"/>
    </row>
    <row r="7" spans="1:7">
      <c r="B7" t="s">
        <v>236</v>
      </c>
      <c r="C7" s="60">
        <v>2700</v>
      </c>
      <c r="D7" s="61">
        <f>Global!B6/2-D9-(Global!B7/2-Global!B13)-BottomR!C5-BottomR!C36-C7</f>
        <v>2180</v>
      </c>
      <c r="E7" s="60"/>
      <c r="F7" s="60"/>
    </row>
    <row r="8" spans="1:7">
      <c r="B8" t="s">
        <v>233</v>
      </c>
      <c r="C8" s="53">
        <v>300</v>
      </c>
      <c r="D8" s="53">
        <v>500</v>
      </c>
      <c r="E8" s="53"/>
      <c r="F8" s="53"/>
    </row>
    <row r="9" spans="1:7">
      <c r="B9" t="s">
        <v>234</v>
      </c>
      <c r="C9" s="62">
        <v>300</v>
      </c>
      <c r="D9" s="40">
        <v>1000</v>
      </c>
    </row>
    <row r="10" spans="1:7">
      <c r="B10" t="s">
        <v>235</v>
      </c>
      <c r="C10" s="40">
        <f>C6*(7+5)</f>
        <v>300</v>
      </c>
    </row>
    <row r="11" spans="1:7">
      <c r="B11" t="s">
        <v>241</v>
      </c>
      <c r="C11" s="60" t="s">
        <v>239</v>
      </c>
      <c r="G11" t="s">
        <v>240</v>
      </c>
    </row>
    <row r="12" spans="1:7">
      <c r="B12" t="s">
        <v>242</v>
      </c>
      <c r="C12" s="40">
        <v>850</v>
      </c>
      <c r="D12" s="6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87B6-259F-4DE0-826F-31EC3C519689}">
  <dimension ref="A1:G9"/>
  <sheetViews>
    <sheetView topLeftCell="A2" zoomScale="115" zoomScaleNormal="115" workbookViewId="0">
      <selection activeCell="C21" sqref="C21"/>
    </sheetView>
  </sheetViews>
  <sheetFormatPr defaultRowHeight="15.75"/>
  <cols>
    <col min="1" max="1" width="16.28515625" style="28" bestFit="1" customWidth="1"/>
    <col min="2" max="2" width="7.7109375" style="28" bestFit="1" customWidth="1"/>
    <col min="3" max="3" width="15.42578125" style="28" bestFit="1" customWidth="1"/>
    <col min="4" max="5" width="11.7109375" style="28" bestFit="1" customWidth="1"/>
    <col min="6" max="6" width="13.5703125" style="28" bestFit="1" customWidth="1"/>
    <col min="7" max="7" width="10.7109375" style="28" bestFit="1" customWidth="1"/>
  </cols>
  <sheetData>
    <row r="1" spans="1:7" ht="15">
      <c r="A1" s="29"/>
      <c r="B1" s="29"/>
      <c r="C1" s="29"/>
      <c r="D1" s="29"/>
      <c r="E1" s="29"/>
      <c r="F1" s="29"/>
      <c r="G1" s="29"/>
    </row>
    <row r="2" spans="1:7" ht="33" customHeight="1">
      <c r="A2" s="29"/>
      <c r="B2" s="30" t="s">
        <v>131</v>
      </c>
      <c r="C2" s="30" t="s">
        <v>132</v>
      </c>
      <c r="D2" s="30" t="s">
        <v>133</v>
      </c>
      <c r="E2" s="30" t="s">
        <v>134</v>
      </c>
      <c r="F2" s="30" t="s">
        <v>135</v>
      </c>
      <c r="G2" s="30" t="s">
        <v>136</v>
      </c>
    </row>
    <row r="3" spans="1:7" ht="18" customHeight="1">
      <c r="A3" s="30" t="s">
        <v>130</v>
      </c>
      <c r="B3" s="49" t="str">
        <f>Global!B16</f>
        <v>C35/37-GB</v>
      </c>
      <c r="C3" s="49" t="str">
        <f>Global!B18</f>
        <v>C45/55-GB</v>
      </c>
      <c r="D3" s="49" t="str">
        <f>Global!B17</f>
        <v>C12/15-OB</v>
      </c>
      <c r="E3" s="49" t="str">
        <f>Global!B17</f>
        <v>C12/15-OB</v>
      </c>
      <c r="F3" s="49" t="str">
        <f>Anchor!B22</f>
        <v>C90/105-OB</v>
      </c>
      <c r="G3" s="49" t="str">
        <f>Piles!B16</f>
        <v>C12/45-OB</v>
      </c>
    </row>
    <row r="4" spans="1:7" ht="15">
      <c r="A4" s="30" t="s">
        <v>137</v>
      </c>
      <c r="B4" s="50" t="s">
        <v>144</v>
      </c>
      <c r="C4" s="50" t="s">
        <v>144</v>
      </c>
      <c r="D4" s="50" t="s">
        <v>144</v>
      </c>
      <c r="E4" s="50" t="s">
        <v>144</v>
      </c>
      <c r="F4" s="50" t="s">
        <v>144</v>
      </c>
      <c r="G4" s="50" t="s">
        <v>144</v>
      </c>
    </row>
    <row r="5" spans="1:7" ht="23.25">
      <c r="A5" s="30" t="s">
        <v>138</v>
      </c>
      <c r="B5" s="50" t="s">
        <v>142</v>
      </c>
      <c r="C5" s="50" t="s">
        <v>142</v>
      </c>
      <c r="D5" s="50" t="s">
        <v>143</v>
      </c>
      <c r="E5" s="50" t="s">
        <v>143</v>
      </c>
      <c r="F5" s="50" t="s">
        <v>141</v>
      </c>
      <c r="G5" s="50"/>
    </row>
    <row r="6" spans="1:7" ht="18.600000000000001" customHeight="1">
      <c r="A6" s="30" t="s">
        <v>139</v>
      </c>
      <c r="B6" s="50" t="s">
        <v>145</v>
      </c>
      <c r="C6" s="50" t="s">
        <v>145</v>
      </c>
      <c r="D6" s="50" t="s">
        <v>143</v>
      </c>
      <c r="E6" s="50" t="s">
        <v>143</v>
      </c>
      <c r="F6" s="50" t="s">
        <v>141</v>
      </c>
      <c r="G6" s="50" t="s">
        <v>146</v>
      </c>
    </row>
    <row r="7" spans="1:7" ht="21" customHeight="1">
      <c r="A7" s="30" t="s">
        <v>140</v>
      </c>
      <c r="B7" s="50" t="s">
        <v>141</v>
      </c>
      <c r="C7" s="50" t="s">
        <v>141</v>
      </c>
      <c r="D7" s="50" t="s">
        <v>141</v>
      </c>
      <c r="E7" s="50" t="s">
        <v>141</v>
      </c>
      <c r="F7" s="50" t="s">
        <v>151</v>
      </c>
      <c r="G7" s="50" t="s">
        <v>141</v>
      </c>
    </row>
    <row r="8" spans="1:7" ht="15">
      <c r="A8" s="29"/>
      <c r="B8" s="51"/>
      <c r="C8" s="51"/>
      <c r="D8" s="51"/>
      <c r="E8" s="51"/>
      <c r="F8" s="51"/>
      <c r="G8" s="51"/>
    </row>
    <row r="9" spans="1:7" ht="15">
      <c r="A9" s="30" t="s">
        <v>147</v>
      </c>
      <c r="B9" s="50" t="s">
        <v>148</v>
      </c>
      <c r="C9" s="50" t="s">
        <v>149</v>
      </c>
      <c r="D9" s="50" t="s">
        <v>141</v>
      </c>
      <c r="E9" s="50" t="s">
        <v>141</v>
      </c>
      <c r="F9" s="50" t="s">
        <v>141</v>
      </c>
      <c r="G9" s="50" t="s">
        <v>150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7695-7D57-4DD1-8264-0DDD11A8DDC0}">
  <dimension ref="A1:E13"/>
  <sheetViews>
    <sheetView workbookViewId="0">
      <selection activeCell="J31" sqref="J31"/>
    </sheetView>
  </sheetViews>
  <sheetFormatPr defaultRowHeight="15"/>
  <cols>
    <col min="1" max="1" width="11.7109375" bestFit="1" customWidth="1"/>
    <col min="2" max="2" width="14.5703125" bestFit="1" customWidth="1"/>
  </cols>
  <sheetData>
    <row r="1" spans="1:5" ht="15.75" thickBot="1">
      <c r="A1" s="98" t="s">
        <v>254</v>
      </c>
      <c r="B1" s="98"/>
      <c r="C1" s="98"/>
      <c r="D1" s="98"/>
      <c r="E1" s="98"/>
    </row>
    <row r="2" spans="1:5" ht="90.75" thickBot="1">
      <c r="A2" s="77" t="s">
        <v>259</v>
      </c>
      <c r="B2" s="77" t="s">
        <v>260</v>
      </c>
      <c r="C2" s="77" t="s">
        <v>261</v>
      </c>
      <c r="D2" s="77" t="s">
        <v>262</v>
      </c>
      <c r="E2" s="78" t="s">
        <v>263</v>
      </c>
    </row>
    <row r="3" spans="1:5" ht="15.75" thickBot="1">
      <c r="A3" s="73">
        <v>6</v>
      </c>
      <c r="B3" s="73">
        <v>12</v>
      </c>
      <c r="C3" s="73">
        <v>24</v>
      </c>
      <c r="D3" s="73" t="s">
        <v>255</v>
      </c>
      <c r="E3" s="74" t="s">
        <v>255</v>
      </c>
    </row>
    <row r="4" spans="1:5" ht="15.75" thickBot="1">
      <c r="A4" s="73">
        <v>8</v>
      </c>
      <c r="B4" s="73">
        <v>16</v>
      </c>
      <c r="C4" s="73">
        <v>32</v>
      </c>
      <c r="D4" s="73" t="s">
        <v>256</v>
      </c>
      <c r="E4" s="74" t="s">
        <v>256</v>
      </c>
    </row>
    <row r="5" spans="1:5" ht="15.75" thickBot="1">
      <c r="A5" s="73">
        <v>10</v>
      </c>
      <c r="B5" s="73">
        <v>20</v>
      </c>
      <c r="C5" s="73">
        <v>40</v>
      </c>
      <c r="D5" s="73" t="s">
        <v>257</v>
      </c>
      <c r="E5" s="74">
        <v>130</v>
      </c>
    </row>
    <row r="6" spans="1:5" ht="15.75" thickBot="1">
      <c r="A6" s="73">
        <v>12</v>
      </c>
      <c r="B6" s="73">
        <v>24</v>
      </c>
      <c r="C6" s="73">
        <v>48</v>
      </c>
      <c r="D6" s="73" t="s">
        <v>258</v>
      </c>
      <c r="E6" s="74">
        <v>160</v>
      </c>
    </row>
    <row r="7" spans="1:5" ht="15.75" thickBot="1">
      <c r="A7" s="73">
        <v>16</v>
      </c>
      <c r="B7" s="73">
        <v>32</v>
      </c>
      <c r="C7" s="73">
        <v>64</v>
      </c>
      <c r="D7" s="73">
        <v>130</v>
      </c>
      <c r="E7" s="74">
        <v>210</v>
      </c>
    </row>
    <row r="8" spans="1:5" ht="15.75" thickBot="1">
      <c r="A8" s="73">
        <v>18</v>
      </c>
      <c r="B8" s="73">
        <v>36</v>
      </c>
      <c r="C8" s="73">
        <v>0</v>
      </c>
      <c r="D8" s="73">
        <v>0</v>
      </c>
      <c r="E8" s="74">
        <v>0</v>
      </c>
    </row>
    <row r="9" spans="1:5" ht="15.75" thickBot="1">
      <c r="A9" s="73">
        <v>20</v>
      </c>
      <c r="B9" s="73">
        <v>70</v>
      </c>
      <c r="C9" s="73">
        <v>140</v>
      </c>
      <c r="D9" s="73">
        <v>190</v>
      </c>
      <c r="E9" s="74">
        <v>290</v>
      </c>
    </row>
    <row r="10" spans="1:5" ht="15.75" thickBot="1">
      <c r="A10" s="73">
        <v>25</v>
      </c>
      <c r="B10" s="73">
        <v>87</v>
      </c>
      <c r="C10" s="73">
        <v>175</v>
      </c>
      <c r="D10" s="73">
        <v>240</v>
      </c>
      <c r="E10" s="74">
        <v>365</v>
      </c>
    </row>
    <row r="11" spans="1:5" ht="15.75" thickBot="1">
      <c r="A11" s="73">
        <v>32</v>
      </c>
      <c r="B11" s="73">
        <v>112</v>
      </c>
      <c r="C11" s="73">
        <v>224</v>
      </c>
      <c r="D11" s="73">
        <v>305</v>
      </c>
      <c r="E11" s="74">
        <v>465</v>
      </c>
    </row>
    <row r="12" spans="1:5" ht="15.75" thickBot="1">
      <c r="A12" s="73">
        <v>40</v>
      </c>
      <c r="B12" s="73">
        <v>140</v>
      </c>
      <c r="C12" s="73">
        <v>280</v>
      </c>
      <c r="D12" s="73">
        <v>380</v>
      </c>
      <c r="E12" s="74">
        <v>580</v>
      </c>
    </row>
    <row r="13" spans="1:5">
      <c r="A13" s="75">
        <v>50</v>
      </c>
      <c r="B13" s="75">
        <v>175</v>
      </c>
      <c r="C13" s="75">
        <v>350</v>
      </c>
      <c r="D13" s="75">
        <v>475</v>
      </c>
      <c r="E13" s="76">
        <v>725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9" sqref="B9"/>
    </sheetView>
  </sheetViews>
  <sheetFormatPr defaultRowHeight="15"/>
  <cols>
    <col min="1" max="1" width="22.42578125" style="3" bestFit="1" customWidth="1"/>
    <col min="2" max="2" width="10" bestFit="1" customWidth="1"/>
  </cols>
  <sheetData>
    <row r="1" spans="1:2">
      <c r="A1" s="23" t="s">
        <v>176</v>
      </c>
    </row>
    <row r="2" spans="1:2">
      <c r="A2" s="3" t="s">
        <v>0</v>
      </c>
      <c r="B2" s="40">
        <f>INPUT!B2</f>
        <v>2000</v>
      </c>
    </row>
    <row r="3" spans="1:2">
      <c r="A3" s="3" t="s">
        <v>1</v>
      </c>
      <c r="B3" s="40">
        <v>1200</v>
      </c>
    </row>
    <row r="4" spans="1:2">
      <c r="A4" s="3" t="s">
        <v>2</v>
      </c>
      <c r="B4" s="40">
        <v>670</v>
      </c>
    </row>
    <row r="5" spans="1:2">
      <c r="A5" s="3" t="s">
        <v>3</v>
      </c>
      <c r="B5" s="40">
        <v>300</v>
      </c>
    </row>
    <row r="6" spans="1:2">
      <c r="A6" s="3" t="s">
        <v>4</v>
      </c>
      <c r="B6" s="40">
        <v>18000</v>
      </c>
    </row>
    <row r="7" spans="1:2">
      <c r="A7" s="3" t="s">
        <v>23</v>
      </c>
      <c r="B7" s="40">
        <v>6250</v>
      </c>
    </row>
    <row r="8" spans="1:2">
      <c r="A8" s="3" t="s">
        <v>5</v>
      </c>
      <c r="B8" s="40">
        <v>100</v>
      </c>
    </row>
    <row r="9" spans="1:2">
      <c r="A9" s="3" t="s">
        <v>162</v>
      </c>
      <c r="B9" s="48">
        <f>Anchor!B2</f>
        <v>4105</v>
      </c>
    </row>
    <row r="10" spans="1:2">
      <c r="A10" s="3" t="s">
        <v>6</v>
      </c>
      <c r="B10" s="8">
        <f>Anchor!B12</f>
        <v>1950</v>
      </c>
    </row>
    <row r="11" spans="1:2">
      <c r="A11" s="3" t="s">
        <v>9</v>
      </c>
      <c r="B11" s="40">
        <v>55</v>
      </c>
    </row>
    <row r="12" spans="1:2">
      <c r="A12" s="3" t="s">
        <v>21</v>
      </c>
      <c r="B12" s="40">
        <v>55</v>
      </c>
    </row>
    <row r="13" spans="1:2">
      <c r="A13" s="3" t="s">
        <v>22</v>
      </c>
      <c r="B13" s="40">
        <v>55</v>
      </c>
    </row>
    <row r="14" spans="1:2" hidden="1">
      <c r="A14" s="34" t="s">
        <v>72</v>
      </c>
      <c r="B14" s="26">
        <f>Anchor!B16</f>
        <v>300</v>
      </c>
    </row>
    <row r="15" spans="1:2">
      <c r="A15" s="3" t="s">
        <v>73</v>
      </c>
      <c r="B15" s="8">
        <f>B7/2-B5</f>
        <v>2825</v>
      </c>
    </row>
    <row r="16" spans="1:2">
      <c r="A16" s="3" t="s">
        <v>97</v>
      </c>
      <c r="B16" s="40" t="s">
        <v>128</v>
      </c>
    </row>
    <row r="17" spans="1:2">
      <c r="A17" s="3" t="s">
        <v>98</v>
      </c>
      <c r="B17" s="40" t="s">
        <v>110</v>
      </c>
    </row>
    <row r="18" spans="1:2">
      <c r="A18" s="3" t="s">
        <v>99</v>
      </c>
      <c r="B18" s="40" t="s">
        <v>129</v>
      </c>
    </row>
    <row r="19" spans="1:2">
      <c r="A19" s="3" t="s">
        <v>185</v>
      </c>
      <c r="B19" s="24">
        <v>200</v>
      </c>
    </row>
    <row r="20" spans="1:2">
      <c r="A20" s="3" t="s">
        <v>153</v>
      </c>
      <c r="B20" s="8">
        <f>B2+B4-B19</f>
        <v>2470</v>
      </c>
    </row>
    <row r="21" spans="1:2">
      <c r="A21" s="3" t="s">
        <v>155</v>
      </c>
    </row>
    <row r="22" spans="1:2">
      <c r="A22" s="23" t="s">
        <v>100</v>
      </c>
      <c r="B22" s="46" t="s">
        <v>186</v>
      </c>
    </row>
    <row r="23" spans="1:2">
      <c r="A23" s="23" t="s">
        <v>101</v>
      </c>
      <c r="B23" s="46" t="s">
        <v>187</v>
      </c>
    </row>
    <row r="24" spans="1:2">
      <c r="A24" s="23" t="s">
        <v>102</v>
      </c>
      <c r="B24" s="40">
        <v>21950</v>
      </c>
    </row>
    <row r="25" spans="1:2">
      <c r="A25" s="32" t="s">
        <v>156</v>
      </c>
      <c r="B25" s="8">
        <f>B24-B20-B5</f>
        <v>19180</v>
      </c>
    </row>
  </sheetData>
  <hyperlinks>
    <hyperlink ref="B9" r:id="rId1" display="../05. Test Cases/Test.01_Vestas_MK3A/INPUT/Ex. 05.10 0040-3740_R0 - ANCHOR EMBED V100 95m IEC2b.pdf" xr:uid="{146BC518-5C35-4556-8107-461C85AA6FCC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EDD9-28B1-4215-AAD7-97E515FD439D}">
  <dimension ref="A1:D32"/>
  <sheetViews>
    <sheetView zoomScaleNormal="100" workbookViewId="0">
      <selection activeCell="D25" sqref="D25"/>
    </sheetView>
  </sheetViews>
  <sheetFormatPr defaultRowHeight="15"/>
  <cols>
    <col min="1" max="1" width="23.140625" bestFit="1" customWidth="1"/>
    <col min="2" max="2" width="14" customWidth="1"/>
    <col min="3" max="3" width="17.85546875" customWidth="1"/>
    <col min="4" max="4" width="24.85546875" customWidth="1"/>
  </cols>
  <sheetData>
    <row r="1" spans="1:4">
      <c r="A1" s="3" t="s">
        <v>27</v>
      </c>
      <c r="B1" s="3" t="s">
        <v>64</v>
      </c>
      <c r="C1" s="3" t="s">
        <v>65</v>
      </c>
      <c r="D1" s="3" t="s">
        <v>66</v>
      </c>
    </row>
    <row r="2" spans="1:4">
      <c r="A2" s="35" t="s">
        <v>162</v>
      </c>
      <c r="B2" s="39">
        <v>4105</v>
      </c>
    </row>
    <row r="3" spans="1:4">
      <c r="A3" s="35" t="s">
        <v>178</v>
      </c>
      <c r="B3" s="38">
        <v>3695</v>
      </c>
    </row>
    <row r="4" spans="1:4">
      <c r="A4" s="35" t="s">
        <v>45</v>
      </c>
      <c r="B4" s="38">
        <v>80</v>
      </c>
      <c r="D4">
        <v>120</v>
      </c>
    </row>
    <row r="5" spans="1:4">
      <c r="A5" s="35" t="s">
        <v>163</v>
      </c>
      <c r="B5" s="38">
        <v>2615</v>
      </c>
    </row>
    <row r="6" spans="1:4">
      <c r="A6" s="35" t="s">
        <v>179</v>
      </c>
      <c r="B6" s="38">
        <v>260</v>
      </c>
    </row>
    <row r="7" spans="1:4">
      <c r="A7" s="35" t="s">
        <v>180</v>
      </c>
      <c r="B7" s="38">
        <v>120</v>
      </c>
    </row>
    <row r="8" spans="1:4">
      <c r="A8" s="35" t="s">
        <v>181</v>
      </c>
      <c r="B8" s="38">
        <v>210</v>
      </c>
    </row>
    <row r="9" spans="1:4">
      <c r="A9" s="35" t="s">
        <v>182</v>
      </c>
      <c r="B9" s="38">
        <v>50</v>
      </c>
    </row>
    <row r="10" spans="1:4">
      <c r="A10" s="3" t="s">
        <v>32</v>
      </c>
      <c r="B10" s="44">
        <f>B5+B6+B7-B8-B9-B19</f>
        <v>2645</v>
      </c>
      <c r="D10">
        <v>1350</v>
      </c>
    </row>
    <row r="11" spans="1:4">
      <c r="A11" t="s">
        <v>31</v>
      </c>
      <c r="B11" s="8">
        <f>Global!B5+B25</f>
        <v>325</v>
      </c>
      <c r="D11" s="9"/>
    </row>
    <row r="12" spans="1:4">
      <c r="A12" s="3" t="s">
        <v>6</v>
      </c>
      <c r="B12" s="44">
        <f>B2/2-B18/2</f>
        <v>1950</v>
      </c>
      <c r="D12" s="9"/>
    </row>
    <row r="13" spans="1:4">
      <c r="A13" t="s">
        <v>56</v>
      </c>
      <c r="B13" s="40">
        <v>85</v>
      </c>
      <c r="D13" s="9"/>
    </row>
    <row r="14" spans="1:4">
      <c r="A14" t="s">
        <v>58</v>
      </c>
      <c r="B14" s="40">
        <v>90</v>
      </c>
      <c r="D14" s="9">
        <v>100</v>
      </c>
    </row>
    <row r="15" spans="1:4">
      <c r="A15" t="s">
        <v>29</v>
      </c>
      <c r="B15" s="40">
        <v>496</v>
      </c>
      <c r="D15" s="9"/>
    </row>
    <row r="16" spans="1:4">
      <c r="A16" t="s">
        <v>57</v>
      </c>
      <c r="B16" s="40">
        <v>300</v>
      </c>
      <c r="D16" s="9" t="s">
        <v>70</v>
      </c>
    </row>
    <row r="17" spans="1:4">
      <c r="A17" t="s">
        <v>30</v>
      </c>
      <c r="B17" s="40">
        <v>250</v>
      </c>
      <c r="D17" s="9"/>
    </row>
    <row r="18" spans="1:4">
      <c r="A18" t="s">
        <v>55</v>
      </c>
      <c r="B18" s="45">
        <f>(B2-B3)/2</f>
        <v>205</v>
      </c>
      <c r="D18">
        <v>174</v>
      </c>
    </row>
    <row r="19" spans="1:4">
      <c r="A19" s="22" t="s">
        <v>59</v>
      </c>
      <c r="B19" s="40">
        <v>90</v>
      </c>
      <c r="C19" s="18"/>
      <c r="D19" s="47">
        <v>81</v>
      </c>
    </row>
    <row r="20" spans="1:4">
      <c r="A20" s="22" t="s">
        <v>60</v>
      </c>
      <c r="B20" s="40">
        <v>400</v>
      </c>
      <c r="C20" s="18"/>
      <c r="D20" s="47">
        <v>395</v>
      </c>
    </row>
    <row r="21" spans="1:4">
      <c r="A21" s="25" t="s">
        <v>103</v>
      </c>
      <c r="B21" s="38">
        <v>36</v>
      </c>
      <c r="C21" s="18"/>
      <c r="D21" s="19"/>
    </row>
    <row r="22" spans="1:4">
      <c r="A22" s="22" t="s">
        <v>105</v>
      </c>
      <c r="B22" s="46" t="s">
        <v>108</v>
      </c>
      <c r="C22" s="18"/>
      <c r="D22" s="19"/>
    </row>
    <row r="23" spans="1:4">
      <c r="A23" s="22" t="s">
        <v>107</v>
      </c>
      <c r="B23" s="40">
        <v>10</v>
      </c>
      <c r="C23" s="18"/>
      <c r="D23" s="19"/>
    </row>
    <row r="24" spans="1:4">
      <c r="A24" s="22" t="s">
        <v>152</v>
      </c>
      <c r="B24" s="31">
        <f>B10+B19</f>
        <v>2735</v>
      </c>
      <c r="C24" s="18"/>
      <c r="D24" s="19"/>
    </row>
    <row r="25" spans="1:4">
      <c r="A25" s="22" t="s">
        <v>161</v>
      </c>
      <c r="B25" s="45">
        <f>Global!B2+Global!B4-Anchor!B10</f>
        <v>25</v>
      </c>
      <c r="C25" s="18"/>
      <c r="D25" s="19"/>
    </row>
    <row r="26" spans="1:4">
      <c r="A26" s="42" t="s">
        <v>61</v>
      </c>
      <c r="B26" s="42"/>
      <c r="C26" s="42"/>
      <c r="D26" s="42">
        <v>4300</v>
      </c>
    </row>
    <row r="27" spans="1:4">
      <c r="A27" s="42" t="s">
        <v>69</v>
      </c>
      <c r="B27" s="42"/>
      <c r="C27" s="42"/>
      <c r="D27" s="42">
        <f>D28+D10</f>
        <v>1850</v>
      </c>
    </row>
    <row r="28" spans="1:4">
      <c r="A28" s="42" t="s">
        <v>62</v>
      </c>
      <c r="B28" s="42"/>
      <c r="C28" s="42"/>
      <c r="D28" s="42">
        <v>500</v>
      </c>
    </row>
    <row r="29" spans="1:4">
      <c r="A29" s="42" t="s">
        <v>63</v>
      </c>
      <c r="B29" s="42"/>
      <c r="C29" s="42"/>
      <c r="D29" s="42">
        <v>35</v>
      </c>
    </row>
    <row r="30" spans="1:4">
      <c r="A30" s="42" t="s">
        <v>67</v>
      </c>
      <c r="B30" s="42"/>
      <c r="C30" s="42"/>
      <c r="D30" s="42">
        <v>4160</v>
      </c>
    </row>
    <row r="31" spans="1:4">
      <c r="A31" s="42" t="s">
        <v>68</v>
      </c>
      <c r="B31" s="42"/>
      <c r="C31" s="42"/>
      <c r="D31" s="42">
        <v>4300</v>
      </c>
    </row>
    <row r="32" spans="1:4">
      <c r="A32" s="42" t="s">
        <v>71</v>
      </c>
      <c r="B32" s="42"/>
      <c r="C32" s="42"/>
      <c r="D32" s="42">
        <v>56</v>
      </c>
    </row>
  </sheetData>
  <hyperlinks>
    <hyperlink ref="B2" r:id="rId1" display="../05. Test Cases/Test.01_Vestas_MK3A/INPUT/Ex. 05.10 0040-3740_R0 - ANCHOR EMBED V100 95m IEC2b.pdf" xr:uid="{988FF896-4BF9-4241-B5DA-A2057809135F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33E7-610F-4104-9079-8FECE664B736}">
  <dimension ref="A1:E22"/>
  <sheetViews>
    <sheetView workbookViewId="0">
      <selection activeCell="B22" sqref="B22"/>
    </sheetView>
  </sheetViews>
  <sheetFormatPr defaultRowHeight="15"/>
  <cols>
    <col min="1" max="1" width="20.85546875" style="3" bestFit="1" customWidth="1"/>
    <col min="2" max="2" width="15.7109375" customWidth="1"/>
    <col min="3" max="3" width="11.85546875" bestFit="1" customWidth="1"/>
  </cols>
  <sheetData>
    <row r="1" spans="1:5">
      <c r="A1" s="3" t="s">
        <v>93</v>
      </c>
      <c r="B1" s="24">
        <v>1</v>
      </c>
      <c r="C1" s="24">
        <v>2</v>
      </c>
    </row>
    <row r="2" spans="1:5">
      <c r="A2" s="3" t="s">
        <v>95</v>
      </c>
      <c r="B2" t="s">
        <v>104</v>
      </c>
      <c r="C2" t="s">
        <v>104</v>
      </c>
      <c r="E2" t="s">
        <v>96</v>
      </c>
    </row>
    <row r="3" spans="1:5">
      <c r="A3" s="3" t="s">
        <v>46</v>
      </c>
      <c r="B3" s="3">
        <v>16500</v>
      </c>
      <c r="C3">
        <v>14000</v>
      </c>
    </row>
    <row r="4" spans="1:5">
      <c r="A4" s="3" t="s">
        <v>165</v>
      </c>
      <c r="B4" s="3">
        <v>28</v>
      </c>
      <c r="C4">
        <v>10</v>
      </c>
    </row>
    <row r="5" spans="1:5">
      <c r="A5" s="18" t="s">
        <v>47</v>
      </c>
      <c r="B5" s="34">
        <f>B4</f>
        <v>28</v>
      </c>
      <c r="C5" s="18">
        <f>C4</f>
        <v>10</v>
      </c>
    </row>
    <row r="6" spans="1:5">
      <c r="A6" s="37" t="s">
        <v>167</v>
      </c>
      <c r="B6" s="6">
        <f>DEGREES(ATAN(B17))</f>
        <v>7.1250163489017977</v>
      </c>
      <c r="C6" s="6">
        <f>DEGREES(ATAN(B17))</f>
        <v>7.1250163489017977</v>
      </c>
      <c r="E6" t="s">
        <v>94</v>
      </c>
    </row>
    <row r="7" spans="1:5">
      <c r="A7" s="3" t="s">
        <v>48</v>
      </c>
      <c r="B7">
        <v>-11200</v>
      </c>
      <c r="C7">
        <v>-11200</v>
      </c>
    </row>
    <row r="8" spans="1:5">
      <c r="A8" s="3" t="s">
        <v>49</v>
      </c>
      <c r="B8">
        <v>510</v>
      </c>
      <c r="C8">
        <v>10</v>
      </c>
    </row>
    <row r="9" spans="1:5">
      <c r="A9" s="10" t="s">
        <v>50</v>
      </c>
      <c r="B9">
        <v>4</v>
      </c>
      <c r="C9">
        <v>10</v>
      </c>
    </row>
    <row r="10" spans="1:5">
      <c r="A10" s="10" t="s">
        <v>51</v>
      </c>
      <c r="B10">
        <v>400</v>
      </c>
      <c r="C10">
        <v>10</v>
      </c>
    </row>
    <row r="11" spans="1:5">
      <c r="A11" s="10" t="s">
        <v>52</v>
      </c>
      <c r="B11">
        <v>10</v>
      </c>
      <c r="C11">
        <v>10</v>
      </c>
    </row>
    <row r="12" spans="1:5">
      <c r="A12" s="10" t="s">
        <v>53</v>
      </c>
      <c r="B12">
        <v>96</v>
      </c>
      <c r="C12">
        <v>10</v>
      </c>
    </row>
    <row r="13" spans="1:5">
      <c r="A13" s="10" t="s">
        <v>54</v>
      </c>
      <c r="B13">
        <v>296</v>
      </c>
      <c r="C13">
        <v>10</v>
      </c>
    </row>
    <row r="14" spans="1:5">
      <c r="A14" s="24" t="s">
        <v>122</v>
      </c>
      <c r="B14">
        <v>660</v>
      </c>
      <c r="C14">
        <v>10</v>
      </c>
    </row>
    <row r="15" spans="1:5">
      <c r="A15" s="24" t="s">
        <v>123</v>
      </c>
      <c r="B15">
        <v>600</v>
      </c>
      <c r="C15">
        <v>10</v>
      </c>
    </row>
    <row r="16" spans="1:5">
      <c r="A16" s="10" t="s">
        <v>106</v>
      </c>
      <c r="B16" t="s">
        <v>109</v>
      </c>
      <c r="C16" t="s">
        <v>109</v>
      </c>
    </row>
    <row r="17" spans="1:3">
      <c r="A17" s="3" t="s">
        <v>124</v>
      </c>
      <c r="B17" s="27">
        <v>0.125</v>
      </c>
      <c r="C17">
        <v>10</v>
      </c>
    </row>
    <row r="18" spans="1:3">
      <c r="A18" s="3" t="s">
        <v>125</v>
      </c>
      <c r="B18">
        <v>19063</v>
      </c>
      <c r="C18">
        <v>10</v>
      </c>
    </row>
    <row r="19" spans="1:3">
      <c r="A19" s="3" t="s">
        <v>126</v>
      </c>
      <c r="B19">
        <v>640</v>
      </c>
      <c r="C19">
        <v>10</v>
      </c>
    </row>
    <row r="20" spans="1:3">
      <c r="A20" s="3" t="s">
        <v>127</v>
      </c>
      <c r="B20">
        <v>30</v>
      </c>
      <c r="C20">
        <v>10</v>
      </c>
    </row>
    <row r="21" spans="1:3">
      <c r="A21" s="3" t="s">
        <v>154</v>
      </c>
      <c r="B21" s="8">
        <f>Global!B25+Piles!B7</f>
        <v>7980</v>
      </c>
    </row>
    <row r="22" spans="1:3" ht="158.44999999999999" customHeight="1">
      <c r="A22" s="3" t="s">
        <v>164</v>
      </c>
      <c r="B22" s="36" t="s">
        <v>166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0"/>
  <sheetViews>
    <sheetView zoomScale="85" zoomScaleNormal="85" workbookViewId="0">
      <selection activeCell="F30" sqref="F30"/>
    </sheetView>
  </sheetViews>
  <sheetFormatPr defaultColWidth="8.85546875" defaultRowHeight="15"/>
  <cols>
    <col min="1" max="1" width="17.28515625" style="12" customWidth="1"/>
    <col min="2" max="2" width="33.42578125" style="12" customWidth="1"/>
    <col min="3" max="3" width="14" style="12" customWidth="1"/>
    <col min="4" max="4" width="12.7109375" style="12" customWidth="1"/>
    <col min="5" max="5" width="10.28515625" style="12" customWidth="1"/>
    <col min="6" max="16384" width="8.85546875" style="12"/>
  </cols>
  <sheetData>
    <row r="2" spans="1:7">
      <c r="A2" s="11" t="s">
        <v>7</v>
      </c>
    </row>
    <row r="3" spans="1:7">
      <c r="A3" s="11" t="s">
        <v>10</v>
      </c>
      <c r="B3" s="11" t="s">
        <v>28</v>
      </c>
      <c r="C3" s="3">
        <v>1</v>
      </c>
      <c r="D3" s="3">
        <v>2</v>
      </c>
    </row>
    <row r="4" spans="1:7">
      <c r="A4" s="11"/>
      <c r="B4" s="3" t="s">
        <v>170</v>
      </c>
      <c r="C4" s="40">
        <v>80</v>
      </c>
      <c r="D4" s="40">
        <v>80</v>
      </c>
      <c r="E4" s="10" t="s">
        <v>184</v>
      </c>
    </row>
    <row r="5" spans="1:7">
      <c r="A5" s="11"/>
      <c r="B5" s="10" t="s">
        <v>35</v>
      </c>
      <c r="C5" s="52">
        <v>25</v>
      </c>
      <c r="D5" s="52">
        <v>25</v>
      </c>
      <c r="E5" s="41" t="s">
        <v>183</v>
      </c>
    </row>
    <row r="6" spans="1:7">
      <c r="A6" s="11"/>
      <c r="B6" s="3" t="s">
        <v>171</v>
      </c>
      <c r="C6" s="40">
        <v>80</v>
      </c>
      <c r="D6" s="40">
        <v>80</v>
      </c>
      <c r="E6" s="10" t="s">
        <v>184</v>
      </c>
    </row>
    <row r="7" spans="1:7">
      <c r="A7" s="11"/>
      <c r="B7" s="10" t="s">
        <v>39</v>
      </c>
      <c r="C7" s="52">
        <v>25</v>
      </c>
      <c r="D7" s="52">
        <v>25</v>
      </c>
      <c r="E7" s="41" t="s">
        <v>183</v>
      </c>
    </row>
    <row r="8" spans="1:7">
      <c r="B8" s="3" t="s">
        <v>172</v>
      </c>
      <c r="C8" s="40">
        <v>160</v>
      </c>
      <c r="D8" s="40">
        <v>160</v>
      </c>
      <c r="E8" s="10" t="s">
        <v>184</v>
      </c>
    </row>
    <row r="9" spans="1:7">
      <c r="B9" s="10" t="s">
        <v>36</v>
      </c>
      <c r="C9" s="52">
        <v>20</v>
      </c>
      <c r="D9" s="52">
        <v>20</v>
      </c>
      <c r="E9" s="41" t="s">
        <v>183</v>
      </c>
    </row>
    <row r="10" spans="1:7">
      <c r="B10" s="3" t="s">
        <v>237</v>
      </c>
      <c r="C10" s="52">
        <v>750</v>
      </c>
      <c r="D10" s="52">
        <v>750</v>
      </c>
      <c r="E10" s="41"/>
    </row>
    <row r="11" spans="1:7">
      <c r="B11" s="10" t="s">
        <v>41</v>
      </c>
      <c r="C11" s="56">
        <f>360/C4</f>
        <v>4.5</v>
      </c>
      <c r="D11" s="56">
        <f>360/D4</f>
        <v>4.5</v>
      </c>
    </row>
    <row r="12" spans="1:7">
      <c r="B12" s="10" t="s">
        <v>40</v>
      </c>
      <c r="C12" s="7">
        <f>IF(G12&gt;C10, G12, C10)</f>
        <v>750</v>
      </c>
      <c r="D12" s="7">
        <f>IF(H12&gt;D10, H12, D10)</f>
        <v>750</v>
      </c>
      <c r="F12" s="10" t="s">
        <v>238</v>
      </c>
      <c r="G12" s="7">
        <f>_xlfn.CEILING.MATH(H19/SIN(D11*3.1459/180),50,50)</f>
        <v>650</v>
      </c>
    </row>
    <row r="13" spans="1:7">
      <c r="B13" s="10" t="s">
        <v>38</v>
      </c>
      <c r="C13" s="7">
        <f>_xlfn.CEILING.MATH(Anchor!B2/2+50+Anchor!B21/2,25,25)</f>
        <v>2125</v>
      </c>
      <c r="D13" s="7">
        <f>_xlfn.CEILING.MATH(Anchor!B2/2+50+Anchor!B21/2,25,25)</f>
        <v>2125</v>
      </c>
    </row>
    <row r="14" spans="1:7">
      <c r="B14" s="10" t="s">
        <v>173</v>
      </c>
      <c r="C14" s="7">
        <f>_xlfn.CEILING.MATH(H18/SIN(0.5*C19*3.1459/180),50,50)</f>
        <v>5100</v>
      </c>
      <c r="D14" s="7">
        <f>_xlfn.CEILING.MATH(H18/SIN(0.5*D19*3.1459/180),50,50)</f>
        <v>5100</v>
      </c>
    </row>
    <row r="15" spans="1:7">
      <c r="B15" s="10" t="s">
        <v>37</v>
      </c>
      <c r="C15" s="55" t="s">
        <v>34</v>
      </c>
      <c r="D15" s="52" t="s">
        <v>223</v>
      </c>
      <c r="F15" s="12" t="s">
        <v>33</v>
      </c>
    </row>
    <row r="16" spans="1:7">
      <c r="B16" s="10" t="s">
        <v>243</v>
      </c>
      <c r="C16" s="53">
        <v>1200</v>
      </c>
      <c r="D16" s="7">
        <f>C16</f>
        <v>1200</v>
      </c>
      <c r="F16" s="10" t="s">
        <v>249</v>
      </c>
    </row>
    <row r="17" spans="1:8">
      <c r="B17" s="10" t="s">
        <v>244</v>
      </c>
      <c r="C17" s="53">
        <v>1200</v>
      </c>
      <c r="D17" s="7">
        <f>C17</f>
        <v>1200</v>
      </c>
    </row>
    <row r="18" spans="1:8">
      <c r="B18" s="10" t="s">
        <v>245</v>
      </c>
      <c r="C18" s="53">
        <v>900</v>
      </c>
      <c r="D18" s="7">
        <f>C18</f>
        <v>900</v>
      </c>
      <c r="G18" s="23" t="s">
        <v>175</v>
      </c>
      <c r="H18" s="68">
        <v>100</v>
      </c>
    </row>
    <row r="19" spans="1:8">
      <c r="B19" s="10" t="s">
        <v>42</v>
      </c>
      <c r="C19" s="13">
        <f>360/C8</f>
        <v>2.25</v>
      </c>
      <c r="D19" s="13">
        <f>360/D8</f>
        <v>2.25</v>
      </c>
      <c r="G19" s="23" t="s">
        <v>174</v>
      </c>
      <c r="H19" s="68">
        <v>50</v>
      </c>
    </row>
    <row r="20" spans="1:8">
      <c r="B20" s="10" t="s">
        <v>43</v>
      </c>
      <c r="C20" s="58">
        <f>C11/2</f>
        <v>2.25</v>
      </c>
      <c r="D20" s="58">
        <f>D11/2</f>
        <v>2.25</v>
      </c>
      <c r="F20" s="13">
        <f>ATAN((Anchor!B21+50)/(Anchor!B12-Anchor!B18/2))</f>
        <v>4.6515812929089594E-2</v>
      </c>
      <c r="G20" s="13">
        <f>F20*2</f>
        <v>9.3031625858179187E-2</v>
      </c>
      <c r="H20" s="10" t="s">
        <v>228</v>
      </c>
    </row>
    <row r="21" spans="1:8">
      <c r="B21" s="10" t="s">
        <v>44</v>
      </c>
      <c r="C21" s="52">
        <v>12000</v>
      </c>
      <c r="D21" s="52">
        <v>12000</v>
      </c>
    </row>
    <row r="22" spans="1:8">
      <c r="C22" s="14"/>
    </row>
    <row r="23" spans="1:8">
      <c r="A23" s="11" t="s">
        <v>11</v>
      </c>
    </row>
    <row r="24" spans="1:8">
      <c r="B24" s="3" t="s">
        <v>8</v>
      </c>
      <c r="C24" s="65">
        <v>1</v>
      </c>
      <c r="D24" s="65">
        <v>2</v>
      </c>
      <c r="E24" s="65">
        <v>3</v>
      </c>
      <c r="F24" s="65">
        <v>4</v>
      </c>
      <c r="H24" s="12" t="s">
        <v>20</v>
      </c>
    </row>
    <row r="25" spans="1:8">
      <c r="B25" s="10" t="s">
        <v>188</v>
      </c>
      <c r="C25" s="13">
        <f>_xlfn.CEILING.MATH(C28/C26,1,1)</f>
        <v>4</v>
      </c>
      <c r="D25" s="13">
        <f>_xlfn.CEILING.MATH(D28/D26,1,1)</f>
        <v>12</v>
      </c>
      <c r="E25" s="13">
        <f>_xlfn.FLOOR.MATH(E28/E26,1,1)</f>
        <v>39</v>
      </c>
      <c r="F25" s="13">
        <v>0</v>
      </c>
      <c r="H25" s="12" t="s">
        <v>12</v>
      </c>
    </row>
    <row r="26" spans="1:8">
      <c r="B26" s="10" t="s">
        <v>189</v>
      </c>
      <c r="C26" s="54">
        <v>200</v>
      </c>
      <c r="D26" s="54">
        <v>150</v>
      </c>
      <c r="E26" s="54">
        <v>125</v>
      </c>
      <c r="F26" s="54">
        <v>0</v>
      </c>
      <c r="H26" s="12" t="s">
        <v>13</v>
      </c>
    </row>
    <row r="27" spans="1:8">
      <c r="B27" s="10" t="s">
        <v>190</v>
      </c>
      <c r="C27" s="52">
        <v>25</v>
      </c>
      <c r="D27" s="53">
        <v>25</v>
      </c>
      <c r="E27" s="53">
        <v>25</v>
      </c>
      <c r="F27" s="53">
        <v>0</v>
      </c>
      <c r="H27" s="12" t="s">
        <v>14</v>
      </c>
    </row>
    <row r="28" spans="1:8">
      <c r="B28" s="10" t="s">
        <v>191</v>
      </c>
      <c r="C28" s="13">
        <f>C30-D30</f>
        <v>632.5</v>
      </c>
      <c r="D28" s="13">
        <f>D30-E30</f>
        <v>1710</v>
      </c>
      <c r="E28" s="13">
        <f>E30-F30</f>
        <v>4990</v>
      </c>
      <c r="F28" s="13">
        <f>F30-C40</f>
        <v>0</v>
      </c>
      <c r="H28" s="12" t="s">
        <v>15</v>
      </c>
    </row>
    <row r="29" spans="1:8">
      <c r="B29" s="10" t="s">
        <v>222</v>
      </c>
      <c r="C29" s="13">
        <f>IF(C26&lt;D26,C26,D26)</f>
        <v>150</v>
      </c>
      <c r="D29" s="13">
        <f>IF(D26&lt;E26,D26,E26)</f>
        <v>125</v>
      </c>
      <c r="E29" s="13">
        <f>IF(E26&lt;F26,E26,F26)</f>
        <v>0</v>
      </c>
      <c r="F29" s="13">
        <f>IF(F26&lt;G26,F26,G26)</f>
        <v>0</v>
      </c>
      <c r="H29" s="12" t="s">
        <v>16</v>
      </c>
    </row>
    <row r="30" spans="1:8">
      <c r="B30" s="10" t="s">
        <v>224</v>
      </c>
      <c r="C30" s="53">
        <f>9000-C32-C36</f>
        <v>8882.5</v>
      </c>
      <c r="D30" s="53">
        <v>8250</v>
      </c>
      <c r="E30" s="53">
        <v>6540</v>
      </c>
      <c r="F30" s="53">
        <f>C40</f>
        <v>1550</v>
      </c>
      <c r="H30" s="12" t="s">
        <v>17</v>
      </c>
    </row>
    <row r="31" spans="1:8">
      <c r="B31" s="10" t="s">
        <v>192</v>
      </c>
      <c r="C31" s="17">
        <f>Global!B11+C5+C27/2</f>
        <v>92.5</v>
      </c>
      <c r="D31" s="17">
        <f>Global!B11+C5+D27/2</f>
        <v>92.5</v>
      </c>
      <c r="E31" s="17">
        <f>Global!B11+C5+E27/2</f>
        <v>92.5</v>
      </c>
      <c r="F31" s="17">
        <f>Global!B11+C5+F27/2</f>
        <v>80</v>
      </c>
      <c r="H31" s="12" t="s">
        <v>18</v>
      </c>
    </row>
    <row r="32" spans="1:8">
      <c r="B32" s="10" t="s">
        <v>193</v>
      </c>
      <c r="C32" s="13">
        <f>C27/2+Global!B13+C36</f>
        <v>92.5</v>
      </c>
      <c r="D32" s="13">
        <f>C32+C28+C29</f>
        <v>875</v>
      </c>
      <c r="E32" s="13">
        <f>D32+D28+D29</f>
        <v>2710</v>
      </c>
      <c r="F32" s="13">
        <v>0</v>
      </c>
      <c r="H32" s="12" t="s">
        <v>19</v>
      </c>
    </row>
    <row r="33" spans="2:10">
      <c r="B33" s="10" t="s">
        <v>194</v>
      </c>
      <c r="C33" s="40">
        <v>4</v>
      </c>
      <c r="D33" s="63">
        <v>3</v>
      </c>
      <c r="E33" s="64">
        <v>3</v>
      </c>
      <c r="F33" s="64">
        <v>3</v>
      </c>
    </row>
    <row r="34" spans="2:10">
      <c r="B34" s="10" t="s">
        <v>195</v>
      </c>
      <c r="C34" s="19">
        <v>1800</v>
      </c>
      <c r="D34" s="19"/>
      <c r="E34" s="19"/>
      <c r="F34" s="19"/>
      <c r="I34" s="16" t="s">
        <v>26</v>
      </c>
      <c r="J34" s="16" t="s">
        <v>25</v>
      </c>
    </row>
    <row r="35" spans="2:10">
      <c r="B35" s="10" t="s">
        <v>196</v>
      </c>
      <c r="C35" s="19">
        <v>8500</v>
      </c>
    </row>
    <row r="36" spans="2:10">
      <c r="B36" s="10" t="s">
        <v>197</v>
      </c>
      <c r="C36" s="40">
        <v>25</v>
      </c>
    </row>
    <row r="37" spans="2:10">
      <c r="B37" s="10" t="s">
        <v>198</v>
      </c>
      <c r="C37" s="57">
        <f>_xlfn.FLOOR.MATH((Global!B3-Global!B11-Global!B12)/BottomR!C38,1,1)</f>
        <v>5</v>
      </c>
    </row>
    <row r="38" spans="2:10">
      <c r="B38" s="10" t="s">
        <v>199</v>
      </c>
      <c r="C38" s="40">
        <v>200</v>
      </c>
    </row>
    <row r="39" spans="2:10">
      <c r="B39" s="10" t="s">
        <v>200</v>
      </c>
      <c r="C39" s="10">
        <v>13</v>
      </c>
    </row>
    <row r="40" spans="2:10">
      <c r="B40" s="10" t="s">
        <v>229</v>
      </c>
      <c r="C40" s="57">
        <f>_xlfn.CEILING.MATH(Anchor!B12-Anchor!B20,50,50)</f>
        <v>1550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3"/>
  <sheetViews>
    <sheetView zoomScale="85" zoomScaleNormal="85" workbookViewId="0">
      <selection activeCell="K34" sqref="K34"/>
    </sheetView>
  </sheetViews>
  <sheetFormatPr defaultRowHeight="15"/>
  <cols>
    <col min="1" max="1" width="11.28515625" customWidth="1"/>
    <col min="2" max="2" width="33.140625" bestFit="1" customWidth="1"/>
    <col min="3" max="6" width="12.42578125" customWidth="1"/>
  </cols>
  <sheetData>
    <row r="2" spans="1:11">
      <c r="A2" s="3" t="s">
        <v>7</v>
      </c>
    </row>
    <row r="3" spans="1:11">
      <c r="A3" s="3" t="s">
        <v>10</v>
      </c>
      <c r="B3" s="11" t="s">
        <v>28</v>
      </c>
      <c r="C3" s="3">
        <v>1</v>
      </c>
      <c r="D3" s="3">
        <v>2</v>
      </c>
      <c r="E3" s="12"/>
    </row>
    <row r="4" spans="1:11">
      <c r="B4" s="3" t="s">
        <v>201</v>
      </c>
      <c r="C4" s="40">
        <v>80</v>
      </c>
      <c r="D4" s="40">
        <v>80</v>
      </c>
      <c r="E4" s="10" t="s">
        <v>184</v>
      </c>
    </row>
    <row r="5" spans="1:11">
      <c r="B5" s="10" t="s">
        <v>202</v>
      </c>
      <c r="C5" s="52">
        <v>25</v>
      </c>
      <c r="D5" s="52">
        <v>25</v>
      </c>
      <c r="E5" s="41" t="s">
        <v>183</v>
      </c>
    </row>
    <row r="6" spans="1:11">
      <c r="B6" s="3" t="s">
        <v>221</v>
      </c>
      <c r="C6" s="40">
        <v>80</v>
      </c>
      <c r="D6" s="40">
        <v>80</v>
      </c>
      <c r="E6" s="10" t="s">
        <v>184</v>
      </c>
    </row>
    <row r="7" spans="1:11">
      <c r="B7" s="10" t="s">
        <v>203</v>
      </c>
      <c r="C7" s="52">
        <v>25</v>
      </c>
      <c r="D7" s="52">
        <v>25</v>
      </c>
      <c r="E7" s="41" t="s">
        <v>183</v>
      </c>
    </row>
    <row r="8" spans="1:11">
      <c r="B8" s="3" t="s">
        <v>204</v>
      </c>
      <c r="C8" s="40">
        <v>160</v>
      </c>
      <c r="D8" s="40">
        <v>160</v>
      </c>
      <c r="E8" s="10" t="s">
        <v>184</v>
      </c>
    </row>
    <row r="9" spans="1:11">
      <c r="B9" s="10" t="s">
        <v>205</v>
      </c>
      <c r="C9" s="52">
        <v>20</v>
      </c>
      <c r="D9" s="52">
        <v>20</v>
      </c>
      <c r="E9" s="41" t="s">
        <v>183</v>
      </c>
    </row>
    <row r="10" spans="1:11">
      <c r="B10" s="10" t="s">
        <v>206</v>
      </c>
      <c r="C10" s="15">
        <f>360/C4</f>
        <v>4.5</v>
      </c>
      <c r="D10" s="15">
        <f>360/D4</f>
        <v>4.5</v>
      </c>
      <c r="E10" s="12"/>
    </row>
    <row r="11" spans="1:11">
      <c r="B11" s="10" t="s">
        <v>207</v>
      </c>
      <c r="C11" s="7">
        <f>BottomR!C12</f>
        <v>750</v>
      </c>
      <c r="D11" s="7">
        <f>BottomR!D12</f>
        <v>750</v>
      </c>
      <c r="E11" s="12"/>
    </row>
    <row r="12" spans="1:11">
      <c r="B12" s="10" t="s">
        <v>208</v>
      </c>
      <c r="C12" s="7">
        <f>IF(Global!B7*PI()/(C4+C6)&lt;150, Global!B7/2,150/2+SIN(C10/2))</f>
        <v>3125</v>
      </c>
      <c r="D12" s="7">
        <f>IF(Global!B7*PI()/(D4+D6)&lt;150, Global!B7/2,150/2+SIN(D10/2))</f>
        <v>3125</v>
      </c>
      <c r="E12" s="12"/>
    </row>
    <row r="13" spans="1:11">
      <c r="B13" s="10" t="s">
        <v>210</v>
      </c>
      <c r="C13" s="7">
        <f>_xlfn.CEILING.MATH(H17/SIN(0.5*C18*3.1459/180),50,50)</f>
        <v>5100</v>
      </c>
      <c r="D13" s="7">
        <f>_xlfn.CEILING.MATH(H17/SIN(0.5*D18*3.1459/180),50,50)</f>
        <v>5100</v>
      </c>
      <c r="E13" s="12"/>
    </row>
    <row r="14" spans="1:11">
      <c r="B14" s="10" t="s">
        <v>209</v>
      </c>
      <c r="C14" s="55" t="s">
        <v>34</v>
      </c>
      <c r="D14" s="52" t="s">
        <v>223</v>
      </c>
      <c r="E14" s="12"/>
      <c r="F14" s="12" t="s">
        <v>33</v>
      </c>
      <c r="G14" s="12"/>
      <c r="H14" s="12"/>
      <c r="I14" s="12"/>
      <c r="J14" s="12"/>
      <c r="K14" s="12"/>
    </row>
    <row r="15" spans="1:11">
      <c r="B15" s="10" t="s">
        <v>246</v>
      </c>
      <c r="C15" s="53">
        <v>1600</v>
      </c>
      <c r="D15" s="7">
        <f>C15</f>
        <v>1600</v>
      </c>
      <c r="E15" s="12"/>
      <c r="F15" s="10" t="s">
        <v>250</v>
      </c>
      <c r="G15" s="12"/>
    </row>
    <row r="16" spans="1:11">
      <c r="B16" s="10" t="s">
        <v>247</v>
      </c>
      <c r="C16" s="53">
        <v>1600</v>
      </c>
      <c r="D16" s="7">
        <f>C16</f>
        <v>1600</v>
      </c>
      <c r="E16" s="12"/>
    </row>
    <row r="17" spans="1:8">
      <c r="B17" s="10" t="s">
        <v>248</v>
      </c>
      <c r="C17" s="53">
        <v>1200</v>
      </c>
      <c r="D17" s="7">
        <f>C17</f>
        <v>1200</v>
      </c>
      <c r="E17" s="12"/>
      <c r="F17" s="97" t="s">
        <v>175</v>
      </c>
      <c r="G17" s="97"/>
      <c r="H17" s="67">
        <f>BottomR!H18</f>
        <v>100</v>
      </c>
    </row>
    <row r="18" spans="1:8">
      <c r="B18" s="10" t="s">
        <v>211</v>
      </c>
      <c r="C18" s="13">
        <f>360/C8</f>
        <v>2.25</v>
      </c>
      <c r="D18" s="13">
        <f>360/D8</f>
        <v>2.25</v>
      </c>
      <c r="E18" s="12"/>
      <c r="G18" s="23" t="s">
        <v>174</v>
      </c>
      <c r="H18" s="67">
        <f>BottomR!H19</f>
        <v>50</v>
      </c>
    </row>
    <row r="19" spans="1:8">
      <c r="B19" s="10" t="s">
        <v>212</v>
      </c>
      <c r="C19" s="5">
        <f>C10/2</f>
        <v>2.25</v>
      </c>
      <c r="D19" s="5">
        <f>D10/2</f>
        <v>2.25</v>
      </c>
      <c r="E19" s="12"/>
      <c r="F19" s="13">
        <f>ATAN((Anchor!B21+50)/(Anchor!B12-Anchor!B18/2))</f>
        <v>4.6515812929089594E-2</v>
      </c>
      <c r="G19" s="13">
        <f>F19*2</f>
        <v>9.3031625858179187E-2</v>
      </c>
      <c r="H19" t="s">
        <v>228</v>
      </c>
    </row>
    <row r="20" spans="1:8">
      <c r="B20" s="10" t="s">
        <v>213</v>
      </c>
      <c r="C20" s="52">
        <v>12000</v>
      </c>
      <c r="D20" s="52">
        <v>12000</v>
      </c>
      <c r="E20" s="12"/>
    </row>
    <row r="21" spans="1:8">
      <c r="B21" s="10"/>
      <c r="C21" s="14"/>
      <c r="D21" s="14"/>
      <c r="E21" s="12"/>
    </row>
    <row r="22" spans="1:8">
      <c r="A22" s="3" t="s">
        <v>11</v>
      </c>
    </row>
    <row r="23" spans="1:8">
      <c r="B23" s="3" t="s">
        <v>8</v>
      </c>
      <c r="C23" s="65">
        <v>1</v>
      </c>
      <c r="D23" s="65">
        <v>2</v>
      </c>
      <c r="E23" s="65">
        <v>3</v>
      </c>
      <c r="F23" s="65">
        <v>4</v>
      </c>
      <c r="G23" s="1"/>
      <c r="H23" t="s">
        <v>20</v>
      </c>
    </row>
    <row r="24" spans="1:8">
      <c r="B24" t="s">
        <v>214</v>
      </c>
      <c r="C24" s="13">
        <f>_xlfn.CEILING.MATH(C27/C25,1,1)</f>
        <v>14</v>
      </c>
      <c r="D24" s="13">
        <f>_xlfn.CEILING.MATH(D27/D25,1,1)</f>
        <v>40</v>
      </c>
      <c r="E24" s="13">
        <v>0</v>
      </c>
      <c r="F24" s="13">
        <v>0</v>
      </c>
      <c r="H24" t="s">
        <v>12</v>
      </c>
    </row>
    <row r="25" spans="1:8">
      <c r="B25" t="s">
        <v>215</v>
      </c>
      <c r="C25" s="54">
        <v>175</v>
      </c>
      <c r="D25" s="54">
        <v>125</v>
      </c>
      <c r="E25" s="54">
        <v>0</v>
      </c>
      <c r="F25" s="54">
        <v>0</v>
      </c>
      <c r="H25" t="s">
        <v>13</v>
      </c>
    </row>
    <row r="26" spans="1:8">
      <c r="B26" t="s">
        <v>216</v>
      </c>
      <c r="C26" s="52">
        <v>25</v>
      </c>
      <c r="D26" s="53">
        <v>25</v>
      </c>
      <c r="E26" s="53">
        <v>0</v>
      </c>
      <c r="F26" s="53">
        <v>0</v>
      </c>
      <c r="H26" t="s">
        <v>14</v>
      </c>
    </row>
    <row r="27" spans="1:8">
      <c r="B27" t="s">
        <v>217</v>
      </c>
      <c r="C27" s="13">
        <f>C29-D29</f>
        <v>2392.5</v>
      </c>
      <c r="D27" s="5">
        <f>D29-E29</f>
        <v>4990</v>
      </c>
      <c r="E27" s="5">
        <f>E29-F29</f>
        <v>0</v>
      </c>
      <c r="F27" s="5">
        <f>F29-BottomR!C40</f>
        <v>0</v>
      </c>
      <c r="H27" t="s">
        <v>15</v>
      </c>
    </row>
    <row r="28" spans="1:8">
      <c r="B28" t="s">
        <v>225</v>
      </c>
      <c r="C28" s="13">
        <f>IF(C25&lt;D25,C25,D25)</f>
        <v>125</v>
      </c>
      <c r="D28" s="13">
        <f>IF(D25&lt;E25,D25,E25)</f>
        <v>0</v>
      </c>
      <c r="E28" s="13">
        <f>IF(E25&lt;F25,E25,F25)</f>
        <v>0</v>
      </c>
      <c r="F28" s="13">
        <f>IF(F25&lt;G25,F25,G25)</f>
        <v>0</v>
      </c>
      <c r="H28" t="s">
        <v>16</v>
      </c>
    </row>
    <row r="29" spans="1:8">
      <c r="B29" t="s">
        <v>226</v>
      </c>
      <c r="C29" s="53">
        <f>9000-C31</f>
        <v>8932.5</v>
      </c>
      <c r="D29" s="53">
        <v>6540</v>
      </c>
      <c r="E29" s="53">
        <f>BottomR!C40</f>
        <v>1550</v>
      </c>
      <c r="F29" s="53">
        <v>1550</v>
      </c>
      <c r="H29" t="s">
        <v>17</v>
      </c>
    </row>
    <row r="30" spans="1:8">
      <c r="B30" t="s">
        <v>227</v>
      </c>
      <c r="C30" s="17">
        <f>Global!B12+C4+C26/2</f>
        <v>147.5</v>
      </c>
      <c r="D30" s="17">
        <f>Global!B12+C4+D26/2</f>
        <v>147.5</v>
      </c>
      <c r="E30" s="17">
        <f>Global!B12+C4+E26/2</f>
        <v>135</v>
      </c>
      <c r="F30" s="17">
        <f>Global!B12+C4+F26/2</f>
        <v>135</v>
      </c>
      <c r="H30" t="s">
        <v>18</v>
      </c>
    </row>
    <row r="31" spans="1:8">
      <c r="B31" t="s">
        <v>218</v>
      </c>
      <c r="C31" s="5">
        <f>C26/2+Global!B13</f>
        <v>67.5</v>
      </c>
      <c r="D31" s="13">
        <f>C31+C27+C28</f>
        <v>2585</v>
      </c>
      <c r="E31" s="5">
        <v>0</v>
      </c>
      <c r="F31" s="5">
        <v>0</v>
      </c>
      <c r="H31" t="s">
        <v>19</v>
      </c>
    </row>
    <row r="32" spans="1:8">
      <c r="B32" t="s">
        <v>219</v>
      </c>
      <c r="C32" s="40">
        <v>3</v>
      </c>
      <c r="D32" s="40">
        <v>3</v>
      </c>
      <c r="E32" s="40">
        <v>3</v>
      </c>
      <c r="F32" s="40">
        <v>3</v>
      </c>
    </row>
    <row r="33" spans="2:10">
      <c r="B33" t="s">
        <v>220</v>
      </c>
      <c r="C33" s="69">
        <v>1800</v>
      </c>
      <c r="D33" s="69"/>
      <c r="E33" s="69"/>
      <c r="F33" s="69"/>
      <c r="I33" s="6"/>
      <c r="J33" s="6"/>
    </row>
  </sheetData>
  <mergeCells count="1">
    <mergeCell ref="F17:G1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0"/>
  <sheetViews>
    <sheetView tabSelected="1" topLeftCell="A7" zoomScaleNormal="100" workbookViewId="0">
      <selection activeCell="A30" sqref="A30"/>
    </sheetView>
  </sheetViews>
  <sheetFormatPr defaultRowHeight="15"/>
  <cols>
    <col min="1" max="1" width="31.7109375" bestFit="1" customWidth="1"/>
    <col min="2" max="2" width="34.28515625" customWidth="1"/>
    <col min="3" max="3" width="16.28515625" customWidth="1"/>
    <col min="4" max="4" width="19.7109375" bestFit="1" customWidth="1"/>
    <col min="5" max="5" width="21.7109375" bestFit="1" customWidth="1"/>
  </cols>
  <sheetData>
    <row r="2" spans="1:3">
      <c r="A2" s="25" t="s">
        <v>74</v>
      </c>
      <c r="B2" s="21"/>
    </row>
    <row r="3" spans="1:3">
      <c r="A3" s="89" t="s">
        <v>293</v>
      </c>
      <c r="B3" s="91">
        <v>150</v>
      </c>
    </row>
    <row r="4" spans="1:3">
      <c r="A4" s="89" t="s">
        <v>75</v>
      </c>
      <c r="B4" s="90">
        <v>16</v>
      </c>
      <c r="C4" s="2"/>
    </row>
    <row r="5" spans="1:3">
      <c r="A5" s="22" t="s">
        <v>295</v>
      </c>
      <c r="B5" s="70">
        <v>10</v>
      </c>
      <c r="C5" s="1"/>
    </row>
    <row r="6" spans="1:3">
      <c r="A6" t="s">
        <v>296</v>
      </c>
      <c r="B6" s="86" t="s">
        <v>281</v>
      </c>
      <c r="C6" s="1"/>
    </row>
    <row r="7" spans="1:3">
      <c r="C7" s="1"/>
    </row>
    <row r="8" spans="1:3">
      <c r="A8" s="25" t="s">
        <v>394</v>
      </c>
      <c r="B8" s="88"/>
    </row>
    <row r="9" spans="1:3">
      <c r="A9" s="89" t="s">
        <v>294</v>
      </c>
      <c r="B9" s="91">
        <v>150</v>
      </c>
    </row>
    <row r="10" spans="1:3">
      <c r="A10" s="89" t="s">
        <v>76</v>
      </c>
      <c r="B10" s="90">
        <v>16</v>
      </c>
    </row>
    <row r="11" spans="1:3">
      <c r="A11" s="22" t="s">
        <v>297</v>
      </c>
      <c r="B11" s="70">
        <v>10</v>
      </c>
    </row>
    <row r="12" spans="1:3">
      <c r="A12" t="s">
        <v>298</v>
      </c>
      <c r="B12" s="86" t="s">
        <v>281</v>
      </c>
    </row>
    <row r="14" spans="1:3">
      <c r="A14" s="25" t="s">
        <v>299</v>
      </c>
      <c r="B14" s="90"/>
    </row>
    <row r="15" spans="1:3">
      <c r="A15" t="s">
        <v>313</v>
      </c>
      <c r="B15" s="88">
        <v>600</v>
      </c>
      <c r="C15" t="s">
        <v>319</v>
      </c>
    </row>
    <row r="16" spans="1:3">
      <c r="A16" t="s">
        <v>314</v>
      </c>
      <c r="B16" s="88">
        <v>600</v>
      </c>
      <c r="C16" t="s">
        <v>319</v>
      </c>
    </row>
    <row r="17" spans="1:3">
      <c r="A17" s="89" t="s">
        <v>316</v>
      </c>
      <c r="B17" s="90">
        <v>135</v>
      </c>
      <c r="C17" t="s">
        <v>318</v>
      </c>
    </row>
    <row r="18" spans="1:3">
      <c r="A18" s="89" t="s">
        <v>315</v>
      </c>
      <c r="B18" s="90">
        <v>16</v>
      </c>
      <c r="C18" t="s">
        <v>319</v>
      </c>
    </row>
    <row r="19" spans="1:3">
      <c r="A19" s="89" t="s">
        <v>317</v>
      </c>
      <c r="B19" s="90">
        <v>4.5</v>
      </c>
      <c r="C19" t="s">
        <v>318</v>
      </c>
    </row>
    <row r="20" spans="1:3">
      <c r="A20" s="89"/>
      <c r="B20" s="90"/>
    </row>
    <row r="21" spans="1:3">
      <c r="A21" s="25" t="s">
        <v>300</v>
      </c>
      <c r="B21" s="21"/>
    </row>
    <row r="22" spans="1:3">
      <c r="A22" s="31" t="s">
        <v>320</v>
      </c>
      <c r="B22" s="21">
        <f>350</f>
        <v>350</v>
      </c>
      <c r="C22" t="s">
        <v>321</v>
      </c>
    </row>
    <row r="23" spans="1:3">
      <c r="A23" s="31" t="s">
        <v>322</v>
      </c>
      <c r="B23" s="70">
        <v>3000</v>
      </c>
    </row>
    <row r="24" spans="1:3">
      <c r="A24" s="31" t="s">
        <v>323</v>
      </c>
      <c r="B24" s="70">
        <v>1000</v>
      </c>
    </row>
    <row r="25" spans="1:3">
      <c r="A25" s="31" t="s">
        <v>301</v>
      </c>
      <c r="B25" s="91">
        <v>150</v>
      </c>
    </row>
    <row r="26" spans="1:3">
      <c r="A26" s="31" t="s">
        <v>302</v>
      </c>
      <c r="B26" s="90">
        <v>16</v>
      </c>
    </row>
    <row r="27" spans="1:3">
      <c r="A27" s="31" t="s">
        <v>303</v>
      </c>
      <c r="B27" s="70">
        <v>10</v>
      </c>
      <c r="C27" s="4"/>
    </row>
    <row r="28" spans="1:3">
      <c r="A28" s="8" t="s">
        <v>304</v>
      </c>
      <c r="B28" s="86" t="s">
        <v>281</v>
      </c>
      <c r="C28" s="1"/>
    </row>
    <row r="29" spans="1:3">
      <c r="A29" s="25" t="s">
        <v>305</v>
      </c>
      <c r="B29" s="21"/>
    </row>
    <row r="30" spans="1:3">
      <c r="A30" s="89" t="s">
        <v>306</v>
      </c>
      <c r="B30" s="91">
        <v>150</v>
      </c>
    </row>
    <row r="31" spans="1:3">
      <c r="A31" s="89" t="s">
        <v>307</v>
      </c>
      <c r="B31" s="90">
        <v>16</v>
      </c>
    </row>
    <row r="32" spans="1:3">
      <c r="A32" s="22" t="s">
        <v>308</v>
      </c>
      <c r="B32" s="70">
        <v>10</v>
      </c>
    </row>
    <row r="33" spans="1:6">
      <c r="A33" t="s">
        <v>309</v>
      </c>
      <c r="B33" s="86" t="s">
        <v>281</v>
      </c>
    </row>
    <row r="34" spans="1:6">
      <c r="A34" s="25" t="s">
        <v>324</v>
      </c>
    </row>
    <row r="35" spans="1:6">
      <c r="A35" s="22" t="s">
        <v>325</v>
      </c>
      <c r="B35">
        <v>12</v>
      </c>
      <c r="C35" t="s">
        <v>329</v>
      </c>
    </row>
    <row r="36" spans="1:6">
      <c r="A36" s="22" t="s">
        <v>326</v>
      </c>
      <c r="B36">
        <v>4</v>
      </c>
      <c r="F36" s="2"/>
    </row>
    <row r="37" spans="1:6">
      <c r="A37" s="89" t="s">
        <v>327</v>
      </c>
      <c r="B37" s="91">
        <v>150</v>
      </c>
      <c r="F37" s="88"/>
    </row>
    <row r="38" spans="1:6">
      <c r="A38" t="s">
        <v>328</v>
      </c>
      <c r="B38" s="86" t="s">
        <v>281</v>
      </c>
    </row>
    <row r="39" spans="1:6">
      <c r="A39" s="89" t="s">
        <v>330</v>
      </c>
      <c r="B39">
        <v>8000</v>
      </c>
    </row>
    <row r="40" spans="1:6">
      <c r="A40" s="89" t="s">
        <v>331</v>
      </c>
      <c r="B40">
        <v>1000</v>
      </c>
    </row>
    <row r="41" spans="1:6">
      <c r="A41" s="25" t="s">
        <v>310</v>
      </c>
      <c r="B41" s="89"/>
    </row>
    <row r="42" spans="1:6">
      <c r="A42" s="89" t="s">
        <v>311</v>
      </c>
      <c r="B42" s="90">
        <v>50</v>
      </c>
    </row>
    <row r="43" spans="1:6">
      <c r="A43" s="89" t="s">
        <v>312</v>
      </c>
      <c r="B43" s="90">
        <v>50</v>
      </c>
    </row>
    <row r="44" spans="1:6">
      <c r="A44" s="89"/>
      <c r="B44" s="90"/>
    </row>
    <row r="45" spans="1:6">
      <c r="A45" s="89"/>
      <c r="B45" s="90"/>
    </row>
    <row r="46" spans="1:6">
      <c r="A46" s="89"/>
      <c r="B46" s="90"/>
    </row>
    <row r="47" spans="1:6">
      <c r="A47" s="89"/>
      <c r="B47" s="90"/>
    </row>
    <row r="48" spans="1:6">
      <c r="A48" s="89"/>
      <c r="B48" s="90"/>
    </row>
    <row r="49" spans="1:2">
      <c r="A49" s="89"/>
      <c r="B49" s="90"/>
    </row>
    <row r="50" spans="1:2">
      <c r="A50" s="89"/>
      <c r="B50" s="90"/>
    </row>
  </sheetData>
  <dataValidations count="1">
    <dataValidation type="list" allowBlank="1" showInputMessage="1" showErrorMessage="1" sqref="B6 B12 B28 B33 B38:B39" xr:uid="{EB247E8E-193C-42FB-8F77-2D13FA291816}">
      <formula1>OPTR_D1D2_Option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7"/>
  <sheetViews>
    <sheetView zoomScaleNormal="100" workbookViewId="0">
      <selection activeCell="A17" sqref="A17"/>
    </sheetView>
  </sheetViews>
  <sheetFormatPr defaultRowHeight="15"/>
  <cols>
    <col min="1" max="1" width="40.5703125" bestFit="1" customWidth="1"/>
    <col min="2" max="2" width="25.7109375" customWidth="1"/>
    <col min="3" max="3" width="16.85546875" customWidth="1"/>
    <col min="4" max="4" width="18.42578125" customWidth="1"/>
  </cols>
  <sheetData>
    <row r="2" spans="1:7">
      <c r="A2" s="3" t="s">
        <v>111</v>
      </c>
    </row>
    <row r="3" spans="1:7">
      <c r="A3" t="s">
        <v>112</v>
      </c>
      <c r="B3" s="2">
        <v>100</v>
      </c>
      <c r="D3" s="81" t="s">
        <v>281</v>
      </c>
      <c r="E3" s="81" t="s">
        <v>271</v>
      </c>
      <c r="F3" s="81"/>
      <c r="G3" t="b">
        <v>0</v>
      </c>
    </row>
    <row r="4" spans="1:7">
      <c r="A4" t="s">
        <v>113</v>
      </c>
      <c r="B4" s="1">
        <v>20</v>
      </c>
      <c r="D4" s="81" t="s">
        <v>282</v>
      </c>
      <c r="E4" s="81" t="s">
        <v>272</v>
      </c>
      <c r="F4" s="81"/>
      <c r="G4" t="b">
        <v>1</v>
      </c>
    </row>
    <row r="5" spans="1:7">
      <c r="A5" s="24" t="s">
        <v>114</v>
      </c>
      <c r="B5" s="85">
        <v>50</v>
      </c>
      <c r="E5" s="81" t="s">
        <v>273</v>
      </c>
      <c r="F5" s="81"/>
    </row>
    <row r="6" spans="1:7">
      <c r="A6" s="22" t="s">
        <v>283</v>
      </c>
      <c r="B6" s="70">
        <v>10</v>
      </c>
      <c r="E6" s="81"/>
      <c r="F6" s="81"/>
    </row>
    <row r="7" spans="1:7">
      <c r="A7" t="s">
        <v>285</v>
      </c>
      <c r="B7" s="86" t="s">
        <v>281</v>
      </c>
      <c r="E7" s="81"/>
      <c r="F7" s="81"/>
    </row>
    <row r="8" spans="1:7">
      <c r="A8" t="s">
        <v>287</v>
      </c>
      <c r="B8" s="84">
        <v>300</v>
      </c>
      <c r="E8" s="81"/>
      <c r="F8" s="81"/>
    </row>
    <row r="9" spans="1:7">
      <c r="A9" t="s">
        <v>288</v>
      </c>
      <c r="B9" s="84">
        <v>600</v>
      </c>
      <c r="E9" s="81"/>
      <c r="F9" s="81"/>
    </row>
    <row r="10" spans="1:7">
      <c r="E10" s="81"/>
      <c r="F10" s="81"/>
    </row>
    <row r="11" spans="1:7">
      <c r="A11" t="s">
        <v>115</v>
      </c>
      <c r="B11" s="2">
        <v>100</v>
      </c>
    </row>
    <row r="12" spans="1:7">
      <c r="A12" t="s">
        <v>116</v>
      </c>
      <c r="B12" s="1">
        <v>20</v>
      </c>
    </row>
    <row r="13" spans="1:7">
      <c r="A13" s="24" t="s">
        <v>117</v>
      </c>
      <c r="B13" s="85">
        <v>50</v>
      </c>
    </row>
    <row r="14" spans="1:7">
      <c r="A14" s="22" t="s">
        <v>284</v>
      </c>
      <c r="B14" s="70">
        <v>10</v>
      </c>
    </row>
    <row r="15" spans="1:7">
      <c r="A15" t="s">
        <v>286</v>
      </c>
      <c r="B15" s="86" t="s">
        <v>281</v>
      </c>
    </row>
    <row r="16" spans="1:7">
      <c r="A16" t="s">
        <v>289</v>
      </c>
      <c r="B16" s="84">
        <v>1000</v>
      </c>
    </row>
    <row r="17" spans="1:3">
      <c r="A17" t="s">
        <v>290</v>
      </c>
      <c r="B17" s="84">
        <v>1500</v>
      </c>
    </row>
    <row r="18" spans="1:3">
      <c r="A18" t="s">
        <v>280</v>
      </c>
      <c r="B18" s="84">
        <v>50</v>
      </c>
    </row>
    <row r="19" spans="1:3">
      <c r="A19" t="s">
        <v>291</v>
      </c>
      <c r="B19" s="87">
        <v>600</v>
      </c>
      <c r="C19" t="s">
        <v>292</v>
      </c>
    </row>
    <row r="20" spans="1:3">
      <c r="A20" s="3" t="s">
        <v>118</v>
      </c>
    </row>
    <row r="21" spans="1:3">
      <c r="A21" s="22" t="s">
        <v>119</v>
      </c>
      <c r="B21" s="70">
        <v>200</v>
      </c>
    </row>
    <row r="22" spans="1:3">
      <c r="A22" t="s">
        <v>120</v>
      </c>
      <c r="B22" s="1">
        <v>1200</v>
      </c>
    </row>
    <row r="23" spans="1:3">
      <c r="A23" t="s">
        <v>121</v>
      </c>
      <c r="B23" s="1">
        <v>20</v>
      </c>
    </row>
    <row r="24" spans="1:3">
      <c r="A24" s="22" t="s">
        <v>251</v>
      </c>
      <c r="B24" s="70">
        <v>20</v>
      </c>
    </row>
    <row r="25" spans="1:3">
      <c r="A25" t="s">
        <v>157</v>
      </c>
      <c r="B25" s="1">
        <v>50</v>
      </c>
    </row>
    <row r="26" spans="1:3">
      <c r="A26" t="s">
        <v>158</v>
      </c>
      <c r="B26" s="1">
        <v>100</v>
      </c>
    </row>
    <row r="27" spans="1:3">
      <c r="A27" t="s">
        <v>159</v>
      </c>
      <c r="B27" s="1">
        <v>50</v>
      </c>
    </row>
    <row r="29" spans="1:3">
      <c r="A29" s="3" t="s">
        <v>252</v>
      </c>
    </row>
    <row r="30" spans="1:3">
      <c r="A30" s="10" t="s">
        <v>77</v>
      </c>
      <c r="B30" s="71">
        <v>25</v>
      </c>
    </row>
    <row r="31" spans="1:3">
      <c r="A31" t="s">
        <v>78</v>
      </c>
      <c r="B31" s="72">
        <v>7</v>
      </c>
    </row>
    <row r="32" spans="1:3">
      <c r="A32" t="s">
        <v>264</v>
      </c>
      <c r="B32" s="79">
        <v>150</v>
      </c>
    </row>
    <row r="33" spans="1:3">
      <c r="A33" t="s">
        <v>265</v>
      </c>
      <c r="B33" s="79" t="b">
        <v>0</v>
      </c>
    </row>
    <row r="34" spans="1:3">
      <c r="A34" t="s">
        <v>82</v>
      </c>
      <c r="B34" s="72">
        <v>12000</v>
      </c>
    </row>
    <row r="35" spans="1:3">
      <c r="A35" t="s">
        <v>83</v>
      </c>
      <c r="B35" s="72">
        <v>1000</v>
      </c>
    </row>
    <row r="36" spans="1:3">
      <c r="A36" t="s">
        <v>168</v>
      </c>
      <c r="B36" s="72" t="s">
        <v>169</v>
      </c>
    </row>
    <row r="38" spans="1:3">
      <c r="A38" s="3" t="s">
        <v>253</v>
      </c>
    </row>
    <row r="39" spans="1:3">
      <c r="A39" t="s">
        <v>267</v>
      </c>
      <c r="B39" s="71">
        <v>25</v>
      </c>
    </row>
    <row r="40" spans="1:3">
      <c r="A40" t="s">
        <v>79</v>
      </c>
      <c r="B40" s="1">
        <v>8</v>
      </c>
      <c r="C40" t="s">
        <v>279</v>
      </c>
    </row>
    <row r="41" spans="1:3">
      <c r="A41" t="s">
        <v>80</v>
      </c>
      <c r="B41" s="1">
        <v>100</v>
      </c>
      <c r="C41" t="s">
        <v>278</v>
      </c>
    </row>
    <row r="42" spans="1:3">
      <c r="A42" t="s">
        <v>270</v>
      </c>
      <c r="B42" s="80">
        <v>1000</v>
      </c>
      <c r="C42" t="s">
        <v>277</v>
      </c>
    </row>
    <row r="43" spans="1:3">
      <c r="A43" t="s">
        <v>269</v>
      </c>
      <c r="B43" s="83" t="b">
        <v>0</v>
      </c>
      <c r="C43" t="s">
        <v>276</v>
      </c>
    </row>
    <row r="44" spans="1:3">
      <c r="A44" t="s">
        <v>81</v>
      </c>
      <c r="B44" s="80">
        <v>0</v>
      </c>
      <c r="C44" t="s">
        <v>268</v>
      </c>
    </row>
    <row r="45" spans="1:3">
      <c r="A45" t="s">
        <v>274</v>
      </c>
      <c r="B45" s="82" t="s">
        <v>273</v>
      </c>
      <c r="C45" t="s">
        <v>275</v>
      </c>
    </row>
    <row r="46" spans="1:3">
      <c r="A46" t="s">
        <v>266</v>
      </c>
      <c r="B46" s="80">
        <v>12000</v>
      </c>
    </row>
    <row r="47" spans="1:3">
      <c r="A47" t="s">
        <v>84</v>
      </c>
      <c r="B47" s="80">
        <v>1000</v>
      </c>
    </row>
  </sheetData>
  <dataValidations count="3">
    <dataValidation type="list" allowBlank="1" showInputMessage="1" showErrorMessage="1" sqref="B45" xr:uid="{5B3D701C-F861-43B1-87C8-03FDE1FD0286}">
      <formula1>OPTR_Options</formula1>
    </dataValidation>
    <dataValidation type="list" allowBlank="1" showInputMessage="1" showErrorMessage="1" sqref="B43" xr:uid="{EC6ACA9E-526C-4F2F-A259-9EFDE3EB3234}">
      <formula1>boollist</formula1>
    </dataValidation>
    <dataValidation type="list" allowBlank="1" showInputMessage="1" showErrorMessage="1" sqref="B7 B15" xr:uid="{2735FAC8-05B3-440F-82B5-EC320B3E9C6C}">
      <formula1>OPTR_D1D2_Option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4"/>
  <sheetViews>
    <sheetView topLeftCell="A19" zoomScale="85" zoomScaleNormal="85" workbookViewId="0">
      <selection activeCell="A25" sqref="A25"/>
    </sheetView>
  </sheetViews>
  <sheetFormatPr defaultRowHeight="15"/>
  <cols>
    <col min="1" max="1" width="38.140625" bestFit="1" customWidth="1"/>
    <col min="2" max="2" width="14.28515625" customWidth="1"/>
    <col min="8" max="8" width="32.5703125" customWidth="1"/>
    <col min="9" max="9" width="9.140625" bestFit="1" customWidth="1"/>
    <col min="12" max="12" width="23" bestFit="1" customWidth="1"/>
  </cols>
  <sheetData>
    <row r="1" spans="1:13">
      <c r="A1" s="3" t="s">
        <v>367</v>
      </c>
    </row>
    <row r="2" spans="1:13">
      <c r="A2" t="s">
        <v>332</v>
      </c>
      <c r="B2">
        <v>150</v>
      </c>
    </row>
    <row r="3" spans="1:13">
      <c r="A3" t="s">
        <v>333</v>
      </c>
      <c r="B3">
        <v>100</v>
      </c>
    </row>
    <row r="4" spans="1:13">
      <c r="A4" t="s">
        <v>334</v>
      </c>
      <c r="B4">
        <v>200</v>
      </c>
    </row>
    <row r="5" spans="1:13">
      <c r="A5" t="s">
        <v>335</v>
      </c>
      <c r="B5">
        <v>18</v>
      </c>
    </row>
    <row r="6" spans="1:13">
      <c r="A6" t="s">
        <v>336</v>
      </c>
      <c r="B6">
        <v>18</v>
      </c>
      <c r="M6" s="2"/>
    </row>
    <row r="7" spans="1:13">
      <c r="A7" t="s">
        <v>378</v>
      </c>
      <c r="B7">
        <v>200</v>
      </c>
      <c r="M7" s="92"/>
    </row>
    <row r="8" spans="1:13">
      <c r="A8" t="s">
        <v>379</v>
      </c>
      <c r="B8">
        <v>200</v>
      </c>
      <c r="M8" s="93"/>
    </row>
    <row r="9" spans="1:13">
      <c r="M9" s="94"/>
    </row>
    <row r="10" spans="1:13">
      <c r="A10" s="3" t="s">
        <v>337</v>
      </c>
      <c r="L10" s="24"/>
      <c r="M10" s="85"/>
    </row>
    <row r="11" spans="1:13">
      <c r="A11" t="s">
        <v>338</v>
      </c>
      <c r="B11">
        <v>12</v>
      </c>
    </row>
    <row r="12" spans="1:13">
      <c r="A12" t="s">
        <v>339</v>
      </c>
      <c r="B12">
        <v>100</v>
      </c>
    </row>
    <row r="13" spans="1:13">
      <c r="A13" t="s">
        <v>361</v>
      </c>
      <c r="B13">
        <v>1000</v>
      </c>
    </row>
    <row r="14" spans="1:13">
      <c r="A14" t="s">
        <v>362</v>
      </c>
      <c r="B14">
        <v>8000</v>
      </c>
    </row>
    <row r="15" spans="1:13">
      <c r="A15" t="s">
        <v>390</v>
      </c>
      <c r="B15">
        <v>20</v>
      </c>
      <c r="C15" t="s">
        <v>387</v>
      </c>
    </row>
    <row r="16" spans="1:13">
      <c r="A16" s="3" t="s">
        <v>340</v>
      </c>
    </row>
    <row r="17" spans="1:3">
      <c r="A17" t="s">
        <v>341</v>
      </c>
      <c r="B17" s="86" t="s">
        <v>282</v>
      </c>
    </row>
    <row r="18" spans="1:3">
      <c r="A18" t="s">
        <v>342</v>
      </c>
      <c r="B18">
        <v>12</v>
      </c>
    </row>
    <row r="19" spans="1:3" ht="15.6" customHeight="1">
      <c r="A19" t="s">
        <v>343</v>
      </c>
      <c r="B19">
        <v>100</v>
      </c>
    </row>
    <row r="20" spans="1:3">
      <c r="A20" t="s">
        <v>344</v>
      </c>
      <c r="B20">
        <v>10</v>
      </c>
    </row>
    <row r="21" spans="1:3">
      <c r="A21" t="s">
        <v>363</v>
      </c>
      <c r="B21">
        <v>1000</v>
      </c>
    </row>
    <row r="22" spans="1:3">
      <c r="A22" t="s">
        <v>364</v>
      </c>
      <c r="B22">
        <v>8000</v>
      </c>
    </row>
    <row r="23" spans="1:3">
      <c r="A23" t="s">
        <v>384</v>
      </c>
      <c r="B23">
        <v>100</v>
      </c>
      <c r="C23" t="s">
        <v>387</v>
      </c>
    </row>
    <row r="24" spans="1:3">
      <c r="A24" t="s">
        <v>385</v>
      </c>
      <c r="B24">
        <v>100</v>
      </c>
      <c r="C24" t="s">
        <v>388</v>
      </c>
    </row>
    <row r="25" spans="1:3">
      <c r="A25" s="3" t="s">
        <v>345</v>
      </c>
    </row>
    <row r="26" spans="1:3">
      <c r="A26" t="s">
        <v>346</v>
      </c>
      <c r="B26">
        <v>12</v>
      </c>
    </row>
    <row r="27" spans="1:3">
      <c r="A27" t="s">
        <v>347</v>
      </c>
      <c r="B27">
        <v>100</v>
      </c>
    </row>
    <row r="28" spans="1:3">
      <c r="A28" t="s">
        <v>365</v>
      </c>
      <c r="B28">
        <v>1000</v>
      </c>
    </row>
    <row r="29" spans="1:3">
      <c r="A29" t="s">
        <v>366</v>
      </c>
      <c r="B29">
        <v>8000</v>
      </c>
    </row>
    <row r="30" spans="1:3">
      <c r="A30" t="s">
        <v>391</v>
      </c>
      <c r="B30">
        <v>20</v>
      </c>
      <c r="C30" t="s">
        <v>387</v>
      </c>
    </row>
    <row r="32" spans="1:3">
      <c r="A32" s="95" t="s">
        <v>368</v>
      </c>
    </row>
    <row r="33" spans="1:3">
      <c r="A33" s="96" t="s">
        <v>348</v>
      </c>
      <c r="B33">
        <v>150</v>
      </c>
    </row>
    <row r="34" spans="1:3">
      <c r="A34" s="96" t="s">
        <v>349</v>
      </c>
      <c r="B34">
        <v>100</v>
      </c>
    </row>
    <row r="35" spans="1:3">
      <c r="A35" s="96" t="s">
        <v>350</v>
      </c>
      <c r="B35">
        <v>200</v>
      </c>
    </row>
    <row r="36" spans="1:3">
      <c r="A36" s="96" t="s">
        <v>351</v>
      </c>
      <c r="B36">
        <v>18</v>
      </c>
    </row>
    <row r="37" spans="1:3">
      <c r="A37" s="96" t="s">
        <v>352</v>
      </c>
      <c r="B37">
        <v>18</v>
      </c>
    </row>
    <row r="38" spans="1:3">
      <c r="A38" s="96" t="s">
        <v>380</v>
      </c>
      <c r="B38">
        <v>200</v>
      </c>
    </row>
    <row r="39" spans="1:3">
      <c r="A39" s="96" t="s">
        <v>381</v>
      </c>
      <c r="B39">
        <v>200</v>
      </c>
    </row>
    <row r="40" spans="1:3">
      <c r="A40" s="96" t="s">
        <v>382</v>
      </c>
      <c r="B40">
        <v>100</v>
      </c>
    </row>
    <row r="41" spans="1:3">
      <c r="A41" s="96" t="s">
        <v>383</v>
      </c>
      <c r="B41">
        <v>100</v>
      </c>
    </row>
    <row r="42" spans="1:3">
      <c r="A42" s="44" t="s">
        <v>375</v>
      </c>
    </row>
    <row r="43" spans="1:3">
      <c r="A43" s="8" t="s">
        <v>353</v>
      </c>
      <c r="B43">
        <v>12</v>
      </c>
    </row>
    <row r="44" spans="1:3">
      <c r="A44" s="8" t="s">
        <v>354</v>
      </c>
      <c r="B44">
        <v>100</v>
      </c>
    </row>
    <row r="45" spans="1:3">
      <c r="A45" s="8" t="s">
        <v>373</v>
      </c>
      <c r="B45">
        <v>1000</v>
      </c>
    </row>
    <row r="46" spans="1:3">
      <c r="A46" s="8" t="s">
        <v>374</v>
      </c>
      <c r="B46">
        <v>8000</v>
      </c>
    </row>
    <row r="47" spans="1:3">
      <c r="A47" s="8" t="s">
        <v>392</v>
      </c>
      <c r="B47">
        <v>20</v>
      </c>
      <c r="C47" t="s">
        <v>387</v>
      </c>
    </row>
    <row r="48" spans="1:3">
      <c r="A48" s="3" t="s">
        <v>376</v>
      </c>
    </row>
    <row r="49" spans="1:3">
      <c r="A49" t="s">
        <v>355</v>
      </c>
      <c r="B49" s="86" t="s">
        <v>282</v>
      </c>
    </row>
    <row r="50" spans="1:3">
      <c r="A50" t="s">
        <v>356</v>
      </c>
      <c r="B50">
        <v>12</v>
      </c>
    </row>
    <row r="51" spans="1:3">
      <c r="A51" t="s">
        <v>357</v>
      </c>
      <c r="B51">
        <v>100</v>
      </c>
    </row>
    <row r="52" spans="1:3">
      <c r="A52" t="s">
        <v>358</v>
      </c>
      <c r="B52">
        <v>10</v>
      </c>
    </row>
    <row r="53" spans="1:3">
      <c r="A53" t="s">
        <v>371</v>
      </c>
      <c r="B53">
        <v>1000</v>
      </c>
    </row>
    <row r="54" spans="1:3">
      <c r="A54" t="s">
        <v>372</v>
      </c>
      <c r="B54">
        <v>8000</v>
      </c>
    </row>
    <row r="55" spans="1:3">
      <c r="A55" t="s">
        <v>386</v>
      </c>
      <c r="B55">
        <v>100</v>
      </c>
      <c r="C55" t="s">
        <v>387</v>
      </c>
    </row>
    <row r="56" spans="1:3">
      <c r="A56" t="s">
        <v>389</v>
      </c>
      <c r="B56">
        <v>100</v>
      </c>
      <c r="C56" t="s">
        <v>388</v>
      </c>
    </row>
    <row r="57" spans="1:3">
      <c r="A57" s="3" t="s">
        <v>377</v>
      </c>
    </row>
    <row r="58" spans="1:3">
      <c r="A58" t="s">
        <v>359</v>
      </c>
      <c r="B58">
        <v>12</v>
      </c>
    </row>
    <row r="59" spans="1:3">
      <c r="A59" t="s">
        <v>360</v>
      </c>
      <c r="B59">
        <v>100</v>
      </c>
    </row>
    <row r="60" spans="1:3">
      <c r="A60" t="s">
        <v>369</v>
      </c>
      <c r="B60">
        <v>1000</v>
      </c>
    </row>
    <row r="61" spans="1:3">
      <c r="A61" t="s">
        <v>370</v>
      </c>
      <c r="B61">
        <v>8000</v>
      </c>
    </row>
    <row r="62" spans="1:3">
      <c r="A62" t="s">
        <v>393</v>
      </c>
      <c r="B62">
        <v>20</v>
      </c>
      <c r="C62" t="s">
        <v>387</v>
      </c>
    </row>
    <row r="74" spans="1:2">
      <c r="A74" s="22"/>
      <c r="B74" s="22"/>
    </row>
  </sheetData>
  <dataValidations count="1">
    <dataValidation type="list" allowBlank="1" showInputMessage="1" showErrorMessage="1" sqref="B17 B49" xr:uid="{9C6F3E74-2B8A-4FA0-8D1B-D946555966ED}">
      <formula1>OPTR_D1D2_Option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13</vt:i4>
      </vt:variant>
      <vt:variant>
        <vt:lpstr>Zone denumite</vt:lpstr>
      </vt:variant>
      <vt:variant>
        <vt:i4>3</vt:i4>
      </vt:variant>
    </vt:vector>
  </HeadingPairs>
  <TitlesOfParts>
    <vt:vector size="16" baseType="lpstr">
      <vt:lpstr>INPUT</vt:lpstr>
      <vt:lpstr>Global</vt:lpstr>
      <vt:lpstr>Anchor</vt:lpstr>
      <vt:lpstr>Piles</vt:lpstr>
      <vt:lpstr>BottomR</vt:lpstr>
      <vt:lpstr>TopR</vt:lpstr>
      <vt:lpstr>UnderPlateBottomR</vt:lpstr>
      <vt:lpstr>OverPlateTopR</vt:lpstr>
      <vt:lpstr>AnchorsReinforcement</vt:lpstr>
      <vt:lpstr>UBarsAroundBolts</vt:lpstr>
      <vt:lpstr>ChairsR</vt:lpstr>
      <vt:lpstr>Materials</vt:lpstr>
      <vt:lpstr>BS8666ShapeCodes</vt:lpstr>
      <vt:lpstr>boollist</vt:lpstr>
      <vt:lpstr>OPTR_D1D2_Option</vt:lpstr>
      <vt:lpstr>OPTR_Options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2017-11-27T15:18:27Z</dcterms:modified>
</cp:coreProperties>
</file>